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0E6AAB85902E2BA5354C3EE94D09774623CB0BE0" xr6:coauthVersionLast="47" xr6:coauthVersionMax="47" xr10:uidLastSave="{4BA69267-E30D-4528-9C1C-C632F1DE108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9" i="3" s="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F90" i="3"/>
  <c r="E98" i="3" s="1"/>
  <c r="E90" i="3"/>
  <c r="D90" i="3"/>
  <c r="C90" i="3"/>
  <c r="F89" i="3"/>
  <c r="E97" i="3" s="1"/>
  <c r="E89" i="3"/>
  <c r="D89" i="3"/>
  <c r="C89" i="3"/>
  <c r="E88" i="3"/>
  <c r="D88" i="3"/>
  <c r="C88" i="3"/>
  <c r="W140" i="3" s="1"/>
  <c r="E87" i="3"/>
  <c r="D87" i="3"/>
  <c r="C87" i="3"/>
  <c r="U140" i="3" s="1"/>
  <c r="F86" i="3"/>
  <c r="T172" i="3" s="1"/>
  <c r="E86" i="3"/>
  <c r="D86" i="3"/>
  <c r="C86" i="3"/>
  <c r="S140" i="3" s="1"/>
  <c r="E71" i="3"/>
  <c r="D71" i="3"/>
  <c r="C71" i="3"/>
  <c r="F71" i="3" s="1"/>
  <c r="E70" i="3"/>
  <c r="D70" i="3"/>
  <c r="C70" i="3"/>
  <c r="F70" i="3" s="1"/>
  <c r="E69" i="3"/>
  <c r="D69" i="3"/>
  <c r="C69" i="3"/>
  <c r="F69" i="3" s="1"/>
  <c r="E51" i="3"/>
  <c r="F51" i="3" s="1"/>
  <c r="D51" i="3"/>
  <c r="C51" i="3"/>
  <c r="E50" i="3"/>
  <c r="D50" i="3"/>
  <c r="F50" i="3" s="1"/>
  <c r="C50" i="3"/>
  <c r="E49" i="3"/>
  <c r="D49" i="3"/>
  <c r="C49" i="3"/>
  <c r="F49" i="3" s="1"/>
  <c r="E48" i="3"/>
  <c r="D48" i="3"/>
  <c r="C48" i="3"/>
  <c r="F48" i="3" s="1"/>
  <c r="E47" i="3"/>
  <c r="F47" i="3" s="1"/>
  <c r="D47" i="3"/>
  <c r="C47" i="3"/>
  <c r="E46" i="3"/>
  <c r="D46" i="3"/>
  <c r="C46" i="3"/>
  <c r="F46" i="3" s="1"/>
  <c r="E31" i="3"/>
  <c r="D31" i="3"/>
  <c r="C31" i="3"/>
  <c r="F31" i="3" s="1"/>
  <c r="E30" i="3"/>
  <c r="D30" i="3"/>
  <c r="C30" i="3"/>
  <c r="F30" i="3" s="1"/>
  <c r="E29" i="3"/>
  <c r="D29" i="3"/>
  <c r="F29" i="3" s="1"/>
  <c r="C29" i="3"/>
  <c r="E16" i="3"/>
  <c r="D16" i="3"/>
  <c r="C16" i="3"/>
  <c r="F16" i="3" s="1"/>
  <c r="C9" i="3"/>
  <c r="D9" i="3" s="1"/>
  <c r="C8" i="3"/>
  <c r="D8" i="3" s="1"/>
  <c r="C7" i="3"/>
  <c r="D7" i="3" s="1"/>
  <c r="E75" i="3" l="1"/>
  <c r="D75" i="3"/>
  <c r="C75" i="3"/>
  <c r="E55" i="3"/>
  <c r="D55" i="3"/>
  <c r="C55" i="3"/>
  <c r="E76" i="3"/>
  <c r="D76" i="3"/>
  <c r="C76" i="3"/>
  <c r="C56" i="3"/>
  <c r="E56" i="3"/>
  <c r="D56" i="3"/>
  <c r="E114" i="3"/>
  <c r="C114" i="3"/>
  <c r="D114" i="3"/>
  <c r="C57" i="3"/>
  <c r="E57" i="3"/>
  <c r="D57" i="3"/>
  <c r="R168" i="3"/>
  <c r="R163" i="3"/>
  <c r="R158" i="3"/>
  <c r="R153" i="3"/>
  <c r="R148" i="3"/>
  <c r="R143" i="3"/>
  <c r="E20" i="3"/>
  <c r="R172" i="3"/>
  <c r="R167" i="3"/>
  <c r="R162" i="3"/>
  <c r="R157" i="3"/>
  <c r="R152" i="3"/>
  <c r="R147" i="3"/>
  <c r="R142" i="3"/>
  <c r="D20" i="3"/>
  <c r="C20" i="3"/>
  <c r="R171" i="3"/>
  <c r="R166" i="3"/>
  <c r="R161" i="3"/>
  <c r="R156" i="3"/>
  <c r="R151" i="3"/>
  <c r="R146" i="3"/>
  <c r="R170" i="3"/>
  <c r="R165" i="3"/>
  <c r="R160" i="3"/>
  <c r="R155" i="3"/>
  <c r="R150" i="3"/>
  <c r="R145" i="3"/>
  <c r="R169" i="3"/>
  <c r="R164" i="3"/>
  <c r="R159" i="3"/>
  <c r="R154" i="3"/>
  <c r="R149" i="3"/>
  <c r="R144" i="3"/>
  <c r="E115" i="3"/>
  <c r="D115" i="3"/>
  <c r="C115" i="3"/>
  <c r="E58" i="3"/>
  <c r="D58" i="3"/>
  <c r="C58" i="3"/>
  <c r="E116" i="3"/>
  <c r="D116" i="3"/>
  <c r="C116" i="3"/>
  <c r="G129" i="3"/>
  <c r="E59" i="3"/>
  <c r="D59" i="3"/>
  <c r="C59" i="3"/>
  <c r="E117" i="3"/>
  <c r="D117" i="3"/>
  <c r="C117" i="3"/>
  <c r="E36" i="3"/>
  <c r="D36" i="3"/>
  <c r="C36" i="3"/>
  <c r="E77" i="3"/>
  <c r="D77" i="3"/>
  <c r="C77" i="3"/>
  <c r="E35" i="3"/>
  <c r="D35" i="3"/>
  <c r="C35" i="3"/>
  <c r="E37" i="3"/>
  <c r="D37" i="3"/>
  <c r="C37" i="3"/>
  <c r="E60" i="3"/>
  <c r="D60" i="3"/>
  <c r="C60" i="3"/>
  <c r="C94" i="3"/>
  <c r="T143" i="3"/>
  <c r="T148" i="3"/>
  <c r="T153" i="3"/>
  <c r="T158" i="3"/>
  <c r="T163" i="3"/>
  <c r="T168" i="3"/>
  <c r="D94" i="3"/>
  <c r="E94" i="3"/>
  <c r="T144" i="3"/>
  <c r="T149" i="3"/>
  <c r="T154" i="3"/>
  <c r="T159" i="3"/>
  <c r="T164" i="3"/>
  <c r="T169" i="3"/>
  <c r="T145" i="3"/>
  <c r="T150" i="3"/>
  <c r="T155" i="3"/>
  <c r="T160" i="3"/>
  <c r="T165" i="3"/>
  <c r="T170" i="3"/>
  <c r="Q140" i="3"/>
  <c r="D97" i="3"/>
  <c r="C98" i="3"/>
  <c r="T146" i="3"/>
  <c r="T151" i="3"/>
  <c r="T156" i="3"/>
  <c r="T161" i="3"/>
  <c r="T166" i="3"/>
  <c r="T171" i="3"/>
  <c r="F87" i="3"/>
  <c r="C97" i="3"/>
  <c r="F88" i="3"/>
  <c r="D98" i="3"/>
  <c r="T142" i="3"/>
  <c r="T147" i="3"/>
  <c r="T152" i="3"/>
  <c r="T157" i="3"/>
  <c r="T162" i="3"/>
  <c r="T167" i="3"/>
  <c r="X172" i="3" l="1"/>
  <c r="X167" i="3"/>
  <c r="X162" i="3"/>
  <c r="X157" i="3"/>
  <c r="X152" i="3"/>
  <c r="X147" i="3"/>
  <c r="X142" i="3"/>
  <c r="X171" i="3"/>
  <c r="X166" i="3"/>
  <c r="X161" i="3"/>
  <c r="X156" i="3"/>
  <c r="X151" i="3"/>
  <c r="X146" i="3"/>
  <c r="D96" i="3"/>
  <c r="E96" i="3"/>
  <c r="X170" i="3"/>
  <c r="X165" i="3"/>
  <c r="X160" i="3"/>
  <c r="X155" i="3"/>
  <c r="X150" i="3"/>
  <c r="X145" i="3"/>
  <c r="X169" i="3"/>
  <c r="X164" i="3"/>
  <c r="X159" i="3"/>
  <c r="X154" i="3"/>
  <c r="X149" i="3"/>
  <c r="X144" i="3"/>
  <c r="C96" i="3"/>
  <c r="X168" i="3"/>
  <c r="X163" i="3"/>
  <c r="X158" i="3"/>
  <c r="X153" i="3"/>
  <c r="X148" i="3"/>
  <c r="X143" i="3"/>
  <c r="V172" i="3"/>
  <c r="V167" i="3"/>
  <c r="V162" i="3"/>
  <c r="V157" i="3"/>
  <c r="V152" i="3"/>
  <c r="V147" i="3"/>
  <c r="V142" i="3"/>
  <c r="V171" i="3"/>
  <c r="V166" i="3"/>
  <c r="V161" i="3"/>
  <c r="V156" i="3"/>
  <c r="V151" i="3"/>
  <c r="V146" i="3"/>
  <c r="V170" i="3"/>
  <c r="V165" i="3"/>
  <c r="V160" i="3"/>
  <c r="V155" i="3"/>
  <c r="V150" i="3"/>
  <c r="V145" i="3"/>
  <c r="V169" i="3"/>
  <c r="V164" i="3"/>
  <c r="V159" i="3"/>
  <c r="V154" i="3"/>
  <c r="V149" i="3"/>
  <c r="V144" i="3"/>
  <c r="E95" i="3"/>
  <c r="D95" i="3"/>
  <c r="C95" i="3"/>
  <c r="V168" i="3"/>
  <c r="V163" i="3"/>
  <c r="V158" i="3"/>
  <c r="V153" i="3"/>
  <c r="V148" i="3"/>
  <c r="V1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Cisco switch must be running an IOS release that is currently supported by Cisco Systems.</t>
        </r>
      </text>
    </comment>
    <comment ref="J19" authorId="0" shapeId="0" xr:uid="{00000000-0006-0000-0400-000002000000}">
      <text>
        <r>
          <rPr>
            <sz val="11"/>
            <rFont val="Calibri"/>
          </rPr>
          <t>The Cisco switch must be configured to enforce approved authorizations for controlling the flow of management information within the device based on control policies.</t>
        </r>
      </text>
    </comment>
    <comment ref="K19" authorId="0" shapeId="0" xr:uid="{00000000-0006-0000-0400-000004000000}">
      <text>
        <r>
          <rPr>
            <sz val="11"/>
            <rFont val="Calibri"/>
          </rPr>
          <t>The Cisco switch must be configured to enforce approved authorizations for controlling the flow of information within the network based on organization-defined information flow control policies.</t>
        </r>
      </text>
    </comment>
    <comment ref="L19" authorId="0" shapeId="0" xr:uid="{00000000-0006-0000-0400-000003000000}">
      <text>
        <r>
          <rPr>
            <sz val="11"/>
            <rFont val="Calibri"/>
          </rPr>
          <t>The Cisco perimeter switch must be configured to enforce approved authorizations for controlling the flow of information between interconnected networks in accordance with applicable policy.</t>
        </r>
      </text>
    </comment>
    <comment ref="J26" authorId="0" shapeId="0" xr:uid="{00000000-0006-0000-0400-000005000000}">
      <text>
        <r>
          <rPr>
            <sz val="11"/>
            <rFont val="Calibri"/>
          </rPr>
          <t>The Cisco switch must be configured to authenticate SNMP messages using a FIPS-validated Keyed-Hash Message Authentication Code (HMAC).</t>
        </r>
      </text>
    </comment>
    <comment ref="K26" authorId="0" shapeId="0" xr:uid="{00000000-0006-0000-0400-000007000000}">
      <text>
        <r>
          <rPr>
            <sz val="11"/>
            <rFont val="Calibri"/>
          </rPr>
          <t>The Cisco switch must be configured to encrypt SNMP messages using a FIPS 140-2 approved algorithm.</t>
        </r>
      </text>
    </comment>
    <comment ref="L26" authorId="0" shapeId="0" xr:uid="{00000000-0006-0000-0400-000008000000}">
      <text>
        <r>
          <rPr>
            <sz val="11"/>
            <rFont val="Calibri"/>
          </rPr>
          <t>The Cisco switch must be configured to use FIPS-validated Keyed-Hash Message Authentication Code (HMAC) to protect the integrity of remote maintenance sessions.</t>
        </r>
      </text>
    </comment>
    <comment ref="M26" authorId="0" shapeId="0" xr:uid="{00000000-0006-0000-0400-000006000000}">
      <text>
        <r>
          <rPr>
            <sz val="11"/>
            <rFont val="Calibri"/>
          </rPr>
          <t>The Cisco switch must be configured to implement cryptographic mechanisms to protect the confidentiality of remote maintenance sessions.</t>
        </r>
      </text>
    </comment>
    <comment ref="J32" authorId="0" shapeId="0" xr:uid="{00000000-0006-0000-0400-000009000000}">
      <text>
        <r>
          <rPr>
            <sz val="11"/>
            <rFont val="Calibri"/>
          </rPr>
          <t>The Cisco switch must be configured to display the Standard Mandatory DoD Notice and Consent Banner before granting access to the device.</t>
        </r>
      </text>
    </comment>
    <comment ref="J34" authorId="0" shapeId="0" xr:uid="{00000000-0006-0000-0400-00000A000000}">
      <text>
        <r>
          <rPr>
            <sz val="11"/>
            <rFont val="Calibri"/>
          </rPr>
          <t>The Cisco switch must be configured to limit the number of concurrent management sessions to an organization-defined number.</t>
        </r>
      </text>
    </comment>
    <comment ref="K34" authorId="0" shapeId="0" xr:uid="{00000000-0006-0000-0400-00000B000000}">
      <text>
        <r>
          <rPr>
            <sz val="11"/>
            <rFont val="Calibri"/>
          </rPr>
          <t>The Cisco switch must be configured to terminate all network connections associated with device management after five minutes of inactivity.</t>
        </r>
      </text>
    </comment>
    <comment ref="J35" authorId="0" shapeId="0" xr:uid="{00000000-0006-0000-0400-00000C000000}">
      <text>
        <r>
          <rPr>
            <sz val="11"/>
            <rFont val="Calibri"/>
          </rPr>
          <t>The Cisco perimeter switch must be configured to deny network traffic by default and allow network traffic by exception.</t>
        </r>
      </text>
    </comment>
    <comment ref="K35" authorId="0" shapeId="0" xr:uid="{00000000-0006-0000-0400-00000F000000}">
      <text>
        <r>
          <rPr>
            <sz val="11"/>
            <rFont val="Calibri"/>
          </rPr>
          <t>The Cisco perimeter switch must be configured to only allow incoming communications from authorized sources to be routed to authorized destinations.</t>
        </r>
      </text>
    </comment>
    <comment ref="L35" authorId="0" shapeId="0" xr:uid="{00000000-0006-0000-0400-000010000000}">
      <text>
        <r>
          <rPr>
            <sz val="11"/>
            <rFont val="Calibri"/>
          </rPr>
          <t>The Cisco perimeter switch must be configured to block inbound packets with source Bogon IP address prefixes.</t>
        </r>
      </text>
    </comment>
    <comment ref="M35" authorId="0" shapeId="0" xr:uid="{00000000-0006-0000-0400-000011000000}">
      <text>
        <r>
          <rPr>
            <sz val="11"/>
            <rFont val="Calibri"/>
          </rPr>
          <t>The Cisco perimeter switch must be configured to filter traffic destined to the enclave in accordance with the guidelines contained in DoD Instruction 8551.1.</t>
        </r>
      </text>
    </comment>
    <comment ref="N35" authorId="0" shapeId="0" xr:uid="{00000000-0006-0000-0400-00000D000000}">
      <text>
        <r>
          <rPr>
            <sz val="11"/>
            <rFont val="Calibri"/>
          </rPr>
          <t>The Cisco perimeter switch must be configured to filter ingress traffic at the external interface on an inbound direction.</t>
        </r>
      </text>
    </comment>
    <comment ref="O35" authorId="0" shapeId="0" xr:uid="{00000000-0006-0000-0400-00000E000000}">
      <text>
        <r>
          <rPr>
            <sz val="11"/>
            <rFont val="Calibri"/>
          </rPr>
          <t>The Cisco perimeter switch must be configured to filter egress traffic at the internal interface on an inbound direction.</t>
        </r>
      </text>
    </comment>
    <comment ref="J38" authorId="0" shapeId="0" xr:uid="{00000000-0006-0000-0400-000012000000}">
      <text>
        <r>
          <rPr>
            <sz val="11"/>
            <rFont val="Calibri"/>
          </rPr>
          <t>The Cisco switch must be configured with only one local account to be used as the account of last resort in the event the authentication server is unavailable.</t>
        </r>
      </text>
    </comment>
    <comment ref="J39" authorId="0" shapeId="0" xr:uid="{00000000-0006-0000-0400-000013000000}">
      <text>
        <r>
          <rPr>
            <sz val="11"/>
            <rFont val="Calibri"/>
          </rPr>
          <t>The Cisco switch must be configured to prohibit the use of all unnecessary and nonsecure functions and services.</t>
        </r>
      </text>
    </comment>
    <comment ref="K39" authorId="0" shapeId="0" xr:uid="{00000000-0006-0000-0400-000014000000}">
      <text>
        <r>
          <rPr>
            <sz val="11"/>
            <rFont val="Calibri"/>
          </rPr>
          <t>The Cisco switch must be configured to have all inactive layer 3 interfaces disabled.</t>
        </r>
      </text>
    </comment>
    <comment ref="L39" authorId="0" shapeId="0" xr:uid="{00000000-0006-0000-0400-000015000000}">
      <text>
        <r>
          <rPr>
            <sz val="11"/>
            <rFont val="Calibri"/>
          </rPr>
          <t>The Cisco switch must not be configured to have any zero-touch deployment feature enabled when connected to an operational network.</t>
        </r>
      </text>
    </comment>
    <comment ref="M39" authorId="0" shapeId="0" xr:uid="{00000000-0006-0000-0400-000016000000}">
      <text>
        <r>
          <rPr>
            <sz val="11"/>
            <rFont val="Calibri"/>
          </rPr>
          <t>The Cisco switch must be configured to disable the auxiliary port unless it is connected to a secured modem providing encryption and authentication.</t>
        </r>
      </text>
    </comment>
    <comment ref="N39" authorId="0" shapeId="0" xr:uid="{00000000-0006-0000-0400-000017000000}">
      <text>
        <r>
          <rPr>
            <sz val="11"/>
            <rFont val="Calibri"/>
          </rPr>
          <t>The Cisco perimeter switch must be configured to have Link Layer Discovery Protocol (LLDP) disabled on all external interfaces.</t>
        </r>
      </text>
    </comment>
    <comment ref="O39" authorId="0" shapeId="0" xr:uid="{00000000-0006-0000-0400-000018000000}">
      <text>
        <r>
          <rPr>
            <sz val="11"/>
            <rFont val="Calibri"/>
          </rPr>
          <t>The Cisco perimeter switch must be configured to have Cisco Discovery Protocol (CDP) disabled on all external interfaces.</t>
        </r>
      </text>
    </comment>
    <comment ref="J41" authorId="0" shapeId="0" xr:uid="{00000000-0006-0000-0400-000019000000}">
      <text>
        <r>
          <rPr>
            <sz val="11"/>
            <rFont val="Calibri"/>
          </rPr>
          <t>The Cisco switch must be configured to enforce the limit of three consecutive invalid logon attempts, after which time it must lock out the user account from accessing the device for 15 minutes.</t>
        </r>
      </text>
    </comment>
    <comment ref="J45" authorId="0" shapeId="0" xr:uid="{00000000-0006-0000-0400-00001A000000}">
      <text>
        <r>
          <rPr>
            <sz val="11"/>
            <rFont val="Calibri"/>
          </rPr>
          <t>The Cisco switch must be configured to automatically audit account creation.</t>
        </r>
      </text>
    </comment>
    <comment ref="K45" authorId="0" shapeId="0" xr:uid="{00000000-0006-0000-0400-00001B000000}">
      <text>
        <r>
          <rPr>
            <sz val="11"/>
            <rFont val="Calibri"/>
          </rPr>
          <t>The Cisco switch must be configured to automatically audit account modification.</t>
        </r>
      </text>
    </comment>
    <comment ref="L45" authorId="0" shapeId="0" xr:uid="{00000000-0006-0000-0400-00001C000000}">
      <text>
        <r>
          <rPr>
            <sz val="11"/>
            <rFont val="Calibri"/>
          </rPr>
          <t>The Cisco switch must be configured to automatically audit account disabling actions.</t>
        </r>
      </text>
    </comment>
    <comment ref="M45" authorId="0" shapeId="0" xr:uid="{00000000-0006-0000-0400-00001D000000}">
      <text>
        <r>
          <rPr>
            <sz val="11"/>
            <rFont val="Calibri"/>
          </rPr>
          <t>The Cisco switch must be configured to automatically audit account removal actions.</t>
        </r>
      </text>
    </comment>
    <comment ref="N45" authorId="0" shapeId="0" xr:uid="{00000000-0006-0000-0400-00001E000000}">
      <text>
        <r>
          <rPr>
            <sz val="11"/>
            <rFont val="Calibri"/>
          </rPr>
          <t>The Cisco switch must be configured to automatically audit account enabling actions.</t>
        </r>
      </text>
    </comment>
    <comment ref="J46" authorId="0" shapeId="0" xr:uid="{00000000-0006-0000-0400-00001F000000}">
      <text>
        <r>
          <rPr>
            <sz val="11"/>
            <rFont val="Calibri"/>
          </rPr>
          <t>The Cisco switch must be configured to enforce a minimum 15-character password length.</t>
        </r>
      </text>
    </comment>
    <comment ref="K46" authorId="0" shapeId="0" xr:uid="{00000000-0006-0000-0400-000020000000}">
      <text>
        <r>
          <rPr>
            <sz val="11"/>
            <rFont val="Calibri"/>
          </rPr>
          <t>The Cisco switch must be configured to enforce password complexity by requiring that at least one uppercase character be used.</t>
        </r>
      </text>
    </comment>
    <comment ref="L46" authorId="0" shapeId="0" xr:uid="{00000000-0006-0000-0400-000021000000}">
      <text>
        <r>
          <rPr>
            <sz val="11"/>
            <rFont val="Calibri"/>
          </rPr>
          <t>The Cisco switch must be configured to enforce password complexity by requiring that at least one lowercase character be used.</t>
        </r>
      </text>
    </comment>
    <comment ref="M46" authorId="0" shapeId="0" xr:uid="{00000000-0006-0000-0400-000022000000}">
      <text>
        <r>
          <rPr>
            <sz val="11"/>
            <rFont val="Calibri"/>
          </rPr>
          <t>The Cisco switch must be configured to enforce password complexity by requiring that at least one numeric character be used.</t>
        </r>
      </text>
    </comment>
    <comment ref="N46" authorId="0" shapeId="0" xr:uid="{00000000-0006-0000-0400-000023000000}">
      <text>
        <r>
          <rPr>
            <sz val="11"/>
            <rFont val="Calibri"/>
          </rPr>
          <t>The Cisco switch must be configured to enforce password complexity by requiring that at least one special character be used.</t>
        </r>
      </text>
    </comment>
    <comment ref="O46" authorId="0" shapeId="0" xr:uid="{00000000-0006-0000-0400-000024000000}">
      <text>
        <r>
          <rPr>
            <sz val="11"/>
            <rFont val="Calibri"/>
          </rPr>
          <t>The Cisco switch must only store cryptographic representations of passwords.</t>
        </r>
      </text>
    </comment>
    <comment ref="J48" authorId="0" shapeId="0" xr:uid="{00000000-0006-0000-0400-000025000000}">
      <text>
        <r>
          <rPr>
            <sz val="11"/>
            <rFont val="Calibri"/>
          </rPr>
          <t>The Cisco device must be configured to audit all administrator activity.</t>
        </r>
      </text>
    </comment>
    <comment ref="K48" authorId="0" shapeId="0" xr:uid="{00000000-0006-0000-0400-000026000000}">
      <text>
        <r>
          <rPr>
            <sz val="11"/>
            <rFont val="Calibri"/>
          </rPr>
          <t>The Cisco switch must be configured to limit privileges to change the software resident within software libraries.</t>
        </r>
      </text>
    </comment>
    <comment ref="L48" authorId="0" shapeId="0" xr:uid="{00000000-0006-0000-0400-000027000000}">
      <text>
        <r>
          <rPr>
            <sz val="11"/>
            <rFont val="Calibri"/>
          </rPr>
          <t>The Cisco switch must be configured with only one local account to be used as the account of last resort in the event the authentication server is unavailable.</t>
        </r>
      </text>
    </comment>
    <comment ref="J52" authorId="0" shapeId="0" xr:uid="{00000000-0006-0000-0400-000028000000}">
      <text>
        <r>
          <rPr>
            <sz val="11"/>
            <rFont val="Calibri"/>
          </rPr>
          <t>The Cisco switch must be configured to automatically audit account creation.</t>
        </r>
      </text>
    </comment>
    <comment ref="K52" authorId="0" shapeId="0" xr:uid="{00000000-0006-0000-0400-000029000000}">
      <text>
        <r>
          <rPr>
            <sz val="11"/>
            <rFont val="Calibri"/>
          </rPr>
          <t>The Cisco switch must be configured to automatically audit account modification.</t>
        </r>
      </text>
    </comment>
    <comment ref="L52" authorId="0" shapeId="0" xr:uid="{00000000-0006-0000-0400-00002A000000}">
      <text>
        <r>
          <rPr>
            <sz val="11"/>
            <rFont val="Calibri"/>
          </rPr>
          <t>The Cisco switch must be configured to automatically audit account disabling actions.</t>
        </r>
      </text>
    </comment>
    <comment ref="M52" authorId="0" shapeId="0" xr:uid="{00000000-0006-0000-0400-00002B000000}">
      <text>
        <r>
          <rPr>
            <sz val="11"/>
            <rFont val="Calibri"/>
          </rPr>
          <t>The Cisco switch must be configured to automatically audit account removal actions.</t>
        </r>
      </text>
    </comment>
    <comment ref="N52" authorId="0" shapeId="0" xr:uid="{00000000-0006-0000-0400-00002C000000}">
      <text>
        <r>
          <rPr>
            <sz val="11"/>
            <rFont val="Calibri"/>
          </rPr>
          <t>The Cisco switch must be configured to automatically audit account enabling actions.</t>
        </r>
      </text>
    </comment>
    <comment ref="J53" authorId="0" shapeId="0" xr:uid="{00000000-0006-0000-0400-00002D000000}">
      <text>
        <r>
          <rPr>
            <sz val="11"/>
            <rFont val="Calibri"/>
          </rPr>
          <t>The Cisco switch must be configured to automatically audit account creation.</t>
        </r>
      </text>
    </comment>
    <comment ref="K53" authorId="0" shapeId="0" xr:uid="{00000000-0006-0000-0400-00002E000000}">
      <text>
        <r>
          <rPr>
            <sz val="11"/>
            <rFont val="Calibri"/>
          </rPr>
          <t>The Cisco switch must be configured to automatically audit account modification.</t>
        </r>
      </text>
    </comment>
    <comment ref="L53" authorId="0" shapeId="0" xr:uid="{00000000-0006-0000-0400-00002F000000}">
      <text>
        <r>
          <rPr>
            <sz val="11"/>
            <rFont val="Calibri"/>
          </rPr>
          <t>The Cisco switch must be configured to automatically audit account disabling actions.</t>
        </r>
      </text>
    </comment>
    <comment ref="M53" authorId="0" shapeId="0" xr:uid="{00000000-0006-0000-0400-000030000000}">
      <text>
        <r>
          <rPr>
            <sz val="11"/>
            <rFont val="Calibri"/>
          </rPr>
          <t>The Cisco switch must be configured to automatically audit account removal actions.</t>
        </r>
      </text>
    </comment>
    <comment ref="N53" authorId="0" shapeId="0" xr:uid="{00000000-0006-0000-0400-000031000000}">
      <text>
        <r>
          <rPr>
            <sz val="11"/>
            <rFont val="Calibri"/>
          </rPr>
          <t>The Cisco switch must be configured to automatically audit account enabling actions.</t>
        </r>
      </text>
    </comment>
    <comment ref="J63" authorId="0" shapeId="0" xr:uid="{00000000-0006-0000-0400-000032000000}">
      <text>
        <r>
          <rPr>
            <sz val="11"/>
            <rFont val="Calibri"/>
          </rPr>
          <t>The Cisco switch must be running an IOS release that is currently supported by Cisco Systems.</t>
        </r>
      </text>
    </comment>
    <comment ref="J70" authorId="0" shapeId="0" xr:uid="{00000000-0006-0000-0400-000033000000}">
      <text>
        <r>
          <rPr>
            <sz val="11"/>
            <rFont val="Calibri"/>
          </rPr>
          <t>The Cisco switch must produce audit records containing information to establish when (date and time) the events occurred.</t>
        </r>
      </text>
    </comment>
    <comment ref="K70" authorId="0" shapeId="0" xr:uid="{00000000-0006-0000-0400-000036000000}">
      <text>
        <r>
          <rPr>
            <sz val="11"/>
            <rFont val="Calibri"/>
          </rPr>
          <t>The Cisco switch must produce audit records containing information to establish where the events occurred.</t>
        </r>
      </text>
    </comment>
    <comment ref="L70" authorId="0" shapeId="0" xr:uid="{00000000-0006-0000-0400-000037000000}">
      <text>
        <r>
          <rPr>
            <sz val="11"/>
            <rFont val="Calibri"/>
          </rPr>
          <t>The Cisco switch must be configured to generate audit records containing the full-text recording of privileged commands.</t>
        </r>
      </text>
    </comment>
    <comment ref="M70" authorId="0" shapeId="0" xr:uid="{00000000-0006-0000-0400-000038000000}">
      <text>
        <r>
          <rPr>
            <sz val="11"/>
            <rFont val="Calibri"/>
          </rPr>
          <t>The Cisco switch must be configured to allocate audit record storage capacity in accordance with organization-defined audit record storage requirements.</t>
        </r>
      </text>
    </comment>
    <comment ref="N70" authorId="0" shapeId="0" xr:uid="{00000000-0006-0000-0400-000039000000}">
      <text>
        <r>
          <rPr>
            <sz val="11"/>
            <rFont val="Calibri"/>
          </rPr>
          <t>The Cisco switch must be configured to generate audit records when successful/unsuccessful logon attempts occur.</t>
        </r>
      </text>
    </comment>
    <comment ref="O70" authorId="0" shapeId="0" xr:uid="{00000000-0006-0000-0400-00003A000000}">
      <text>
        <r>
          <rPr>
            <sz val="11"/>
            <rFont val="Calibri"/>
          </rPr>
          <t>The Cisco switch must be configured to send log data to at least two central log servers for the purpose of forwarding alerts to the administrators and the information system security officer (ISSO).</t>
        </r>
      </text>
    </comment>
    <comment ref="P70" authorId="0" shapeId="0" xr:uid="{00000000-0006-0000-0400-000034000000}">
      <text>
        <r>
          <rPr>
            <sz val="11"/>
            <rFont val="Calibri"/>
          </rPr>
          <t>The Cisco switch must be configured to produce audit records containing information to establish where the events occurred.</t>
        </r>
      </text>
    </comment>
    <comment ref="Q70" authorId="0" shapeId="0" xr:uid="{00000000-0006-0000-0400-000035000000}">
      <text>
        <r>
          <rPr>
            <sz val="11"/>
            <rFont val="Calibri"/>
          </rPr>
          <t>The Cisco switch must be configured to produce audit records containing information to establish the source of the events.</t>
        </r>
      </text>
    </comment>
    <comment ref="J72" authorId="0" shapeId="0" xr:uid="{00000000-0006-0000-0400-00003B000000}">
      <text>
        <r>
          <rPr>
            <sz val="11"/>
            <rFont val="Calibri"/>
          </rPr>
          <t>The Cisco switch must produce audit records containing information to establish when (date and time) the events occurred.</t>
        </r>
      </text>
    </comment>
    <comment ref="K72" authorId="0" shapeId="0" xr:uid="{00000000-0006-0000-0400-00003C000000}">
      <text>
        <r>
          <rPr>
            <sz val="11"/>
            <rFont val="Calibri"/>
          </rPr>
          <t>The Cisco switch must be configured to synchronize its clock with the primary and secondary time sources using redundant authoritative time sources.</t>
        </r>
      </text>
    </comment>
    <comment ref="L72" authorId="0" shapeId="0" xr:uid="{00000000-0006-0000-0400-00003D000000}">
      <text>
        <r>
          <rPr>
            <sz val="11"/>
            <rFont val="Calibri"/>
          </rPr>
          <t>The Cisco switch must be configured to authenticate Network Time Protocol (NTP) sources using authentication that is cryptographically based.</t>
        </r>
      </text>
    </comment>
    <comment ref="J73" authorId="0" shapeId="0" xr:uid="{00000000-0006-0000-0400-00003E000000}">
      <text>
        <r>
          <rPr>
            <sz val="11"/>
            <rFont val="Calibri"/>
          </rPr>
          <t>The Cisco device must be configured to audit all administrator activity.</t>
        </r>
      </text>
    </comment>
    <comment ref="K73" authorId="0" shapeId="0" xr:uid="{00000000-0006-0000-0400-000040000000}">
      <text>
        <r>
          <rPr>
            <sz val="11"/>
            <rFont val="Calibri"/>
          </rPr>
          <t>The Cisco switch must produce audit records containing information to establish where the events occurred.</t>
        </r>
      </text>
    </comment>
    <comment ref="L73" authorId="0" shapeId="0" xr:uid="{00000000-0006-0000-0400-000041000000}">
      <text>
        <r>
          <rPr>
            <sz val="11"/>
            <rFont val="Calibri"/>
          </rPr>
          <t>The Cisco switch must be configured to generate audit records containing the full-text recording of privileged commands.</t>
        </r>
      </text>
    </comment>
    <comment ref="M73" authorId="0" shapeId="0" xr:uid="{00000000-0006-0000-0400-000042000000}">
      <text>
        <r>
          <rPr>
            <sz val="11"/>
            <rFont val="Calibri"/>
          </rPr>
          <t>The Cisco switch must be configured to limit privileges to change the software resident within software libraries.</t>
        </r>
      </text>
    </comment>
    <comment ref="N73" authorId="0" shapeId="0" xr:uid="{00000000-0006-0000-0400-000043000000}">
      <text>
        <r>
          <rPr>
            <sz val="11"/>
            <rFont val="Calibri"/>
          </rPr>
          <t>The Cisco switch must be configured to allocate audit record storage capacity in accordance with organization-defined audit record storage requirements.</t>
        </r>
      </text>
    </comment>
    <comment ref="O73" authorId="0" shapeId="0" xr:uid="{00000000-0006-0000-0400-000044000000}">
      <text>
        <r>
          <rPr>
            <sz val="11"/>
            <rFont val="Calibri"/>
          </rPr>
          <t>The Cisco switch must be configured to generate log records when administrator privileges are deleted.</t>
        </r>
      </text>
    </comment>
    <comment ref="P73" authorId="0" shapeId="0" xr:uid="{00000000-0006-0000-0400-000045000000}">
      <text>
        <r>
          <rPr>
            <sz val="11"/>
            <rFont val="Calibri"/>
          </rPr>
          <t>The Cisco switch must be configured to generate log records for privileged activities.</t>
        </r>
      </text>
    </comment>
    <comment ref="Q73" authorId="0" shapeId="0" xr:uid="{00000000-0006-0000-0400-000046000000}">
      <text>
        <r>
          <rPr>
            <sz val="11"/>
            <rFont val="Calibri"/>
          </rPr>
          <t>The Cisco switch must be configured to produce audit records containing information to establish where the events occurred.</t>
        </r>
      </text>
    </comment>
    <comment ref="R73" authorId="0" shapeId="0" xr:uid="{00000000-0006-0000-0400-00003F000000}">
      <text>
        <r>
          <rPr>
            <sz val="11"/>
            <rFont val="Calibri"/>
          </rPr>
          <t>The Cisco switch must be configured to produce audit records containing information to establish the source of the events.</t>
        </r>
      </text>
    </comment>
    <comment ref="J76" authorId="0" shapeId="0" xr:uid="{00000000-0006-0000-0400-000047000000}">
      <text>
        <r>
          <rPr>
            <sz val="11"/>
            <rFont val="Calibri"/>
          </rPr>
          <t>The Cisco switch must be configured to generate audit records containing the full-text recording of privileged commands.</t>
        </r>
      </text>
    </comment>
    <comment ref="K76" authorId="0" shapeId="0" xr:uid="{00000000-0006-0000-0400-000048000000}">
      <text>
        <r>
          <rPr>
            <sz val="11"/>
            <rFont val="Calibri"/>
          </rPr>
          <t>The Cisco switch must be configured to generate log records when administrator privileges are deleted.</t>
        </r>
      </text>
    </comment>
    <comment ref="L76" authorId="0" shapeId="0" xr:uid="{00000000-0006-0000-0400-000049000000}">
      <text>
        <r>
          <rPr>
            <sz val="11"/>
            <rFont val="Calibri"/>
          </rPr>
          <t>The Cisco switch must be configured to generate log records for privileged activities.</t>
        </r>
      </text>
    </comment>
    <comment ref="J77" authorId="0" shapeId="0" xr:uid="{00000000-0006-0000-0400-00004A000000}">
      <text>
        <r>
          <rPr>
            <sz val="11"/>
            <rFont val="Calibri"/>
          </rPr>
          <t>The Cisco switch must be configured to send log data to at least two central log servers for the purpose of forwarding alerts to the administrators and the information system security officer (ISSO).</t>
        </r>
      </text>
    </comment>
    <comment ref="J79" authorId="0" shapeId="0" xr:uid="{00000000-0006-0000-0400-00004B000000}">
      <text>
        <r>
          <rPr>
            <sz val="11"/>
            <rFont val="Calibri"/>
          </rPr>
          <t>The Cisco switch must be configured to generate an alert for all audit failure events.</t>
        </r>
      </text>
    </comment>
    <comment ref="J86" authorId="0" shapeId="0" xr:uid="{00000000-0006-0000-0400-00004C000000}">
      <text>
        <r>
          <rPr>
            <sz val="11"/>
            <rFont val="Calibri"/>
          </rPr>
          <t>The Cisco perimeter switch must be configured to restrict it from accepting outbound IP packets that contain an illegitimate address in the source address field via egress filter or by enabling Unicast Reverse Path Forwarding (uRPF).</t>
        </r>
      </text>
    </comment>
    <comment ref="K86" authorId="0" shapeId="0" xr:uid="{00000000-0006-0000-0400-00004D000000}">
      <text>
        <r>
          <rPr>
            <sz val="11"/>
            <rFont val="Calibri"/>
          </rPr>
          <t>The Cisco PE switch must be configured with Unicast Reverse Path Forwarding (uRPF) loose mode enabled on all CE-facing interfaces.</t>
        </r>
      </text>
    </comment>
    <comment ref="J99" authorId="0" shapeId="0" xr:uid="{00000000-0006-0000-0400-00004E000000}">
      <text>
        <r>
          <rPr>
            <sz val="11"/>
            <rFont val="Calibri"/>
          </rPr>
          <t>The Cisco switch must be configured to support organizational requirements to conduct backups of the configuration when changes occur.</t>
        </r>
      </text>
    </comment>
    <comment ref="J100" authorId="0" shapeId="0" xr:uid="{00000000-0006-0000-0400-00004F000000}">
      <text>
        <r>
          <rPr>
            <sz val="11"/>
            <rFont val="Calibri"/>
          </rPr>
          <t>The Cisco switch must be configured to support organizational requirements to conduct backups of the configuration when changes occur.</t>
        </r>
      </text>
    </comment>
    <comment ref="J104" authorId="0" shapeId="0" xr:uid="{00000000-0006-0000-0400-000050000000}">
      <text>
        <r>
          <rPr>
            <sz val="11"/>
            <rFont val="Calibri"/>
          </rPr>
          <t>The Cisco switch must be running an IOS release that is currently supported by Cisco Systems.</t>
        </r>
      </text>
    </comment>
    <comment ref="J105" authorId="0" shapeId="0" xr:uid="{00000000-0006-0000-0400-000051000000}">
      <text>
        <r>
          <rPr>
            <sz val="11"/>
            <rFont val="Calibri"/>
          </rPr>
          <t>The Cisco switch must be configured to enforce approved authorizations for controlling the flow of management information within the device based on control policies.</t>
        </r>
      </text>
    </comment>
    <comment ref="K105" authorId="0" shapeId="0" xr:uid="{00000000-0006-0000-0400-000071000000}">
      <text>
        <r>
          <rPr>
            <sz val="11"/>
            <rFont val="Calibri"/>
          </rPr>
          <t>The Cisco switch must have Root Guard enabled on all switch ports connecting to access layer switches.</t>
        </r>
      </text>
    </comment>
    <comment ref="L105" authorId="0" shapeId="0" xr:uid="{00000000-0006-0000-0400-000072000000}">
      <text>
        <r>
          <rPr>
            <sz val="11"/>
            <rFont val="Calibri"/>
          </rPr>
          <t>The Cisco switch must have BPDU Guard enabled on all user-facing or untrusted access switch ports.</t>
        </r>
      </text>
    </comment>
    <comment ref="M105" authorId="0" shapeId="0" xr:uid="{00000000-0006-0000-0400-000073000000}">
      <text>
        <r>
          <rPr>
            <sz val="11"/>
            <rFont val="Calibri"/>
          </rPr>
          <t>The Cisco switch must have STP Loop Guard enabled.</t>
        </r>
      </text>
    </comment>
    <comment ref="N105" authorId="0" shapeId="0" xr:uid="{00000000-0006-0000-0400-000074000000}">
      <text>
        <r>
          <rPr>
            <sz val="11"/>
            <rFont val="Calibri"/>
          </rPr>
          <t>The Cisco switch must have DHCP snooping for all user VLANs to validate DHCP messages from untrusted sources.</t>
        </r>
      </text>
    </comment>
    <comment ref="O105" authorId="0" shapeId="0" xr:uid="{00000000-0006-0000-0400-000075000000}">
      <text>
        <r>
          <rPr>
            <sz val="11"/>
            <rFont val="Calibri"/>
          </rPr>
          <t>The Cisco switch must have IP Source Guard enabled on all user-facing or untrusted access switch ports.</t>
        </r>
      </text>
    </comment>
    <comment ref="P105" authorId="0" shapeId="0" xr:uid="{00000000-0006-0000-0400-000076000000}">
      <text>
        <r>
          <rPr>
            <sz val="11"/>
            <rFont val="Calibri"/>
          </rPr>
          <t>The Cisco switch must have Dynamic Address Resolution Protocol (ARP) Inspection (DAI) enabled on all user VLANs.</t>
        </r>
      </text>
    </comment>
    <comment ref="Q105" authorId="0" shapeId="0" xr:uid="{00000000-0006-0000-0400-000077000000}">
      <text>
        <r>
          <rPr>
            <sz val="11"/>
            <rFont val="Calibri"/>
          </rPr>
          <t>The Cisco switch must have Storm Control configured on all host-facing switchports.</t>
        </r>
      </text>
    </comment>
    <comment ref="R105" authorId="0" shapeId="0" xr:uid="{00000000-0006-0000-0400-000078000000}">
      <text>
        <r>
          <rPr>
            <sz val="11"/>
            <rFont val="Calibri"/>
          </rPr>
          <t>The Cisco switch must have IGMP or MLD Snooping configured on all VLANs.</t>
        </r>
      </text>
    </comment>
    <comment ref="S105" authorId="0" shapeId="0" xr:uid="{00000000-0006-0000-0400-000052000000}">
      <text>
        <r>
          <rPr>
            <sz val="11"/>
            <rFont val="Calibri"/>
          </rPr>
          <t>The Cisco switch must implement Rapid STP where VLANs span multiple switches with redundant links.</t>
        </r>
      </text>
    </comment>
    <comment ref="T105" authorId="0" shapeId="0" xr:uid="{00000000-0006-0000-0400-000053000000}">
      <text>
        <r>
          <rPr>
            <sz val="11"/>
            <rFont val="Calibri"/>
          </rPr>
          <t>The Cisco switch must enable Unidirectional Link Detection (UDLD) to protect against one-way connections.</t>
        </r>
      </text>
    </comment>
    <comment ref="U105" authorId="0" shapeId="0" xr:uid="{00000000-0006-0000-0400-000054000000}">
      <text>
        <r>
          <rPr>
            <sz val="11"/>
            <rFont val="Calibri"/>
          </rPr>
          <t>The Cisco switch must have all trunk links enabled statically.</t>
        </r>
      </text>
    </comment>
    <comment ref="V105" authorId="0" shapeId="0" xr:uid="{00000000-0006-0000-0400-000055000000}">
      <text>
        <r>
          <rPr>
            <sz val="11"/>
            <rFont val="Calibri"/>
          </rPr>
          <t>The Cisco switch must have all disabled switch ports assigned to an unused VLAN.</t>
        </r>
      </text>
    </comment>
    <comment ref="W105" authorId="0" shapeId="0" xr:uid="{00000000-0006-0000-0400-000056000000}">
      <text>
        <r>
          <rPr>
            <sz val="11"/>
            <rFont val="Calibri"/>
          </rPr>
          <t>The Cisco switch must not have the default VLAN assigned to any host-facing switch ports.</t>
        </r>
      </text>
    </comment>
    <comment ref="X105" authorId="0" shapeId="0" xr:uid="{00000000-0006-0000-0400-000057000000}">
      <text>
        <r>
          <rPr>
            <sz val="11"/>
            <rFont val="Calibri"/>
          </rPr>
          <t>The Cisco switch must have the default VLAN pruned from all trunk ports that do not require it.</t>
        </r>
      </text>
    </comment>
    <comment ref="Y105" authorId="0" shapeId="0" xr:uid="{00000000-0006-0000-0400-000058000000}">
      <text>
        <r>
          <rPr>
            <sz val="11"/>
            <rFont val="Calibri"/>
          </rPr>
          <t>The Cisco switch must have all user-facing or untrusted ports configured as access switch ports.</t>
        </r>
      </text>
    </comment>
    <comment ref="Z105" authorId="0" shapeId="0" xr:uid="{00000000-0006-0000-0400-000059000000}">
      <text>
        <r>
          <rPr>
            <sz val="11"/>
            <rFont val="Calibri"/>
          </rPr>
          <t>The Cisco switch must have the native VLAN assigned to an ID other than the default VLAN for all 802.1q trunk links.</t>
        </r>
      </text>
    </comment>
    <comment ref="AA105" authorId="0" shapeId="0" xr:uid="{00000000-0006-0000-0400-00005A000000}">
      <text>
        <r>
          <rPr>
            <sz val="11"/>
            <rFont val="Calibri"/>
          </rPr>
          <t>The Cisco switch must not have any switchports assigned to the native VLAN.</t>
        </r>
      </text>
    </comment>
    <comment ref="AB105" authorId="0" shapeId="0" xr:uid="{00000000-0006-0000-0400-00005B000000}">
      <text>
        <r>
          <rPr>
            <sz val="11"/>
            <rFont val="Calibri"/>
          </rPr>
          <t>The Cisco switch must be configured to enforce approved authorizations for controlling the flow of information within the network based on organization-defined information flow control policies.</t>
        </r>
      </text>
    </comment>
    <comment ref="AC105" authorId="0" shapeId="0" xr:uid="{00000000-0006-0000-0400-00005C000000}">
      <text>
        <r>
          <rPr>
            <sz val="11"/>
            <rFont val="Calibri"/>
          </rPr>
          <t>The Cisco switch must be configured to have all inactive layer 3 interfaces disabled.</t>
        </r>
      </text>
    </comment>
    <comment ref="AD105" authorId="0" shapeId="0" xr:uid="{00000000-0006-0000-0400-00005D000000}">
      <text>
        <r>
          <rPr>
            <sz val="11"/>
            <rFont val="Calibri"/>
          </rPr>
          <t>The Cisco switch must be configured to have Gratuitous ARP disabled on all external interfaces.</t>
        </r>
      </text>
    </comment>
    <comment ref="AE105" authorId="0" shapeId="0" xr:uid="{00000000-0006-0000-0400-00005E000000}">
      <text>
        <r>
          <rPr>
            <sz val="11"/>
            <rFont val="Calibri"/>
          </rPr>
          <t>The Cisco switch must be configured to have IP directed broadcast disabled on all interfaces.</t>
        </r>
      </text>
    </comment>
    <comment ref="AF105" authorId="0" shapeId="0" xr:uid="{00000000-0006-0000-0400-00005F000000}">
      <text>
        <r>
          <rPr>
            <sz val="11"/>
            <rFont val="Calibri"/>
          </rPr>
          <t>The Cisco switch must be configured to have Internet Control Message Protocol (ICMP) unreachable messages disabled on all external interfaces.</t>
        </r>
      </text>
    </comment>
    <comment ref="AG105" authorId="0" shapeId="0" xr:uid="{00000000-0006-0000-0400-000060000000}">
      <text>
        <r>
          <rPr>
            <sz val="11"/>
            <rFont val="Calibri"/>
          </rPr>
          <t>The Cisco switch must be configured to have Internet Control Message Protocol (ICMP) mask reply messages disabled on all external interfaces.</t>
        </r>
      </text>
    </comment>
    <comment ref="AH105" authorId="0" shapeId="0" xr:uid="{00000000-0006-0000-0400-000061000000}">
      <text>
        <r>
          <rPr>
            <sz val="11"/>
            <rFont val="Calibri"/>
          </rPr>
          <t>The Cisco switch must be configured to have Internet Control Message Protocol (ICMP) redirect messages disabled on all external interfaces.</t>
        </r>
      </text>
    </comment>
    <comment ref="AI105" authorId="0" shapeId="0" xr:uid="{00000000-0006-0000-0400-000062000000}">
      <text>
        <r>
          <rPr>
            <sz val="11"/>
            <rFont val="Calibri"/>
          </rPr>
          <t>The Cisco perimeter switch must be configured to enforce approved authorizations for controlling the flow of information between interconnected networks in accordance with applicable policy.</t>
        </r>
      </text>
    </comment>
    <comment ref="AJ105" authorId="0" shapeId="0" xr:uid="{00000000-0006-0000-0400-000063000000}">
      <text>
        <r>
          <rPr>
            <sz val="11"/>
            <rFont val="Calibri"/>
          </rPr>
          <t>The Cisco perimeter switch must be configured to block all packets with any IP options.</t>
        </r>
      </text>
    </comment>
    <comment ref="AK105" authorId="0" shapeId="0" xr:uid="{00000000-0006-0000-0400-000064000000}">
      <text>
        <r>
          <rPr>
            <sz val="11"/>
            <rFont val="Calibri"/>
          </rPr>
          <t>The Cisco perimeter switch must be configured to have Proxy ARP disabled on all external interfaces.</t>
        </r>
      </text>
    </comment>
    <comment ref="AL105" authorId="0" shapeId="0" xr:uid="{00000000-0006-0000-0400-000065000000}">
      <text>
        <r>
          <rPr>
            <sz val="11"/>
            <rFont val="Calibri"/>
          </rPr>
          <t>The Cisco BGP switch must be configured to enable the Generalized TTL Security Mechanism (GTSM).</t>
        </r>
      </text>
    </comment>
    <comment ref="AM105" authorId="0" shapeId="0" xr:uid="{00000000-0006-0000-0400-000066000000}">
      <text>
        <r>
          <rPr>
            <sz val="11"/>
            <rFont val="Calibri"/>
          </rPr>
          <t>The Cisco BGP switch must be configured to reject inbound route advertisements for any Bogon prefixes.</t>
        </r>
      </text>
    </comment>
    <comment ref="AN105" authorId="0" shapeId="0" xr:uid="{00000000-0006-0000-0400-000067000000}">
      <text>
        <r>
          <rPr>
            <sz val="11"/>
            <rFont val="Calibri"/>
          </rPr>
          <t>The Cisco BGP switch must be configured to reject inbound route advertisements for any prefixes belonging to the local autonomous system (AS).</t>
        </r>
      </text>
    </comment>
    <comment ref="AO105" authorId="0" shapeId="0" xr:uid="{00000000-0006-0000-0400-000068000000}">
      <text>
        <r>
          <rPr>
            <sz val="11"/>
            <rFont val="Calibri"/>
          </rPr>
          <t>The Cisco BGP switch must be configured to reject inbound route advertisements from a customer edge (CE) switch for prefixes that are not allocated to that customer.</t>
        </r>
      </text>
    </comment>
    <comment ref="AP105" authorId="0" shapeId="0" xr:uid="{00000000-0006-0000-0400-000069000000}">
      <text>
        <r>
          <rPr>
            <sz val="11"/>
            <rFont val="Calibri"/>
          </rPr>
          <t>The Cisco BGP switch must be configured to reject outbound route advertisements for any prefixes that do not belong to any customers or the local autonomous system (AS).</t>
        </r>
      </text>
    </comment>
    <comment ref="AQ105" authorId="0" shapeId="0" xr:uid="{00000000-0006-0000-0400-00006A000000}">
      <text>
        <r>
          <rPr>
            <sz val="11"/>
            <rFont val="Calibri"/>
          </rPr>
          <t>The Cisco BGP switch must be configured to reject outbound route advertisements for any prefixes belonging to the IP core.</t>
        </r>
      </text>
    </comment>
    <comment ref="AR105" authorId="0" shapeId="0" xr:uid="{00000000-0006-0000-0400-00006B000000}">
      <text>
        <r>
          <rPr>
            <sz val="11"/>
            <rFont val="Calibri"/>
          </rPr>
          <t>The Cisco BGP switch must be configured to reject route advertisements from BGP peers that do not list their autonomous system (AS) number as the first AS in the AS_PATH attribute.</t>
        </r>
      </text>
    </comment>
    <comment ref="AS105" authorId="0" shapeId="0" xr:uid="{00000000-0006-0000-0400-00006C000000}">
      <text>
        <r>
          <rPr>
            <sz val="11"/>
            <rFont val="Calibri"/>
          </rPr>
          <t>The Cisco BGP switch must be configured to reject route advertisements from CE switches with an originating AS in the AS_PATH attribute that does not belong to that customer.</t>
        </r>
      </text>
    </comment>
    <comment ref="AT105" authorId="0" shapeId="0" xr:uid="{00000000-0006-0000-0400-00006D000000}">
      <text>
        <r>
          <rPr>
            <sz val="11"/>
            <rFont val="Calibri"/>
          </rPr>
          <t>The Cisco BGP switch must be configured to limit the prefix size on any inbound route advertisement to /24, or the least significant prefixes issued to the customer.</t>
        </r>
      </text>
    </comment>
    <comment ref="AU105" authorId="0" shapeId="0" xr:uid="{00000000-0006-0000-0400-00006E000000}">
      <text>
        <r>
          <rPr>
            <sz val="11"/>
            <rFont val="Calibri"/>
          </rPr>
          <t>The Cisco BGP switch must be configured to use its loopback address as the source address for iBGP peering sessions.</t>
        </r>
      </text>
    </comment>
    <comment ref="AV105" authorId="0" shapeId="0" xr:uid="{00000000-0006-0000-0400-00006F000000}">
      <text>
        <r>
          <rPr>
            <sz val="11"/>
            <rFont val="Calibri"/>
          </rPr>
          <t>The Cisco MPLS switch must be configured to use its loopback address as the source address for LDP peering sessions.</t>
        </r>
      </text>
    </comment>
    <comment ref="AW105" authorId="0" shapeId="0" xr:uid="{00000000-0006-0000-0400-000070000000}">
      <text>
        <r>
          <rPr>
            <sz val="11"/>
            <rFont val="Calibri"/>
          </rPr>
          <t>The Cisco MPLS switch must be configured to synchronize Interior Gateway Protocol (IGP) and LDP to minimize packet loss when an IGP adjacency is established prior to LDP peers completing label exchange.</t>
        </r>
      </text>
    </comment>
    <comment ref="J106" authorId="0" shapeId="0" xr:uid="{00000000-0006-0000-0400-000079000000}">
      <text>
        <r>
          <rPr>
            <sz val="11"/>
            <rFont val="Calibri"/>
          </rPr>
          <t>The Cisco switch must not use the default VLAN for management traffic.</t>
        </r>
      </text>
    </comment>
    <comment ref="K106" authorId="0" shapeId="0" xr:uid="{00000000-0006-0000-0400-00007A000000}">
      <text>
        <r>
          <rPr>
            <sz val="11"/>
            <rFont val="Calibri"/>
          </rPr>
          <t>The Cisco perimeter switch must be configured to block all outbound management traffic.</t>
        </r>
      </text>
    </comment>
    <comment ref="L106" authorId="0" shapeId="0" xr:uid="{00000000-0006-0000-0400-00007B000000}">
      <text>
        <r>
          <rPr>
            <sz val="11"/>
            <rFont val="Calibri"/>
          </rPr>
          <t>The Cisco switch must be configured to only permit management traffic that ingresses and egresses the out-of-band management (OOBM) interface.</t>
        </r>
      </text>
    </comment>
    <comment ref="J108" authorId="0" shapeId="0" xr:uid="{00000000-0006-0000-0400-00007C000000}">
      <text>
        <r>
          <rPr>
            <sz val="11"/>
            <rFont val="Calibri"/>
          </rPr>
          <t>The Cisco switch must be configured to use at least two authentication servers for the purpose of authenticating users prior to granting administrative access.</t>
        </r>
      </text>
    </comment>
    <comment ref="J109" authorId="0" shapeId="0" xr:uid="{00000000-0006-0000-0400-00007D000000}">
      <text>
        <r>
          <rPr>
            <sz val="11"/>
            <rFont val="Calibri"/>
          </rPr>
          <t>The Cisco switch must be configured to authenticate SNMP messages using a FIPS-validated Keyed-Hash Message Authentication Code (HMAC).</t>
        </r>
      </text>
    </comment>
    <comment ref="K109" authorId="0" shapeId="0" xr:uid="{00000000-0006-0000-0400-00007E000000}">
      <text>
        <r>
          <rPr>
            <sz val="11"/>
            <rFont val="Calibri"/>
          </rPr>
          <t>The Cisco switch must be configured to encrypt SNMP messages using a FIPS 140-2 approved algorithm.</t>
        </r>
      </text>
    </comment>
    <comment ref="L109" authorId="0" shapeId="0" xr:uid="{00000000-0006-0000-0400-00007F000000}">
      <text>
        <r>
          <rPr>
            <sz val="11"/>
            <rFont val="Calibri"/>
          </rPr>
          <t>The Cisco switch must be configured to use FIPS-validated Keyed-Hash Message Authentication Code (HMAC) to protect the integrity of remote maintenance sessions.</t>
        </r>
      </text>
    </comment>
    <comment ref="M109" authorId="0" shapeId="0" xr:uid="{00000000-0006-0000-0400-000080000000}">
      <text>
        <r>
          <rPr>
            <sz val="11"/>
            <rFont val="Calibri"/>
          </rPr>
          <t>The Cisco switch must be configured to implement cryptographic mechanisms to protect the confidentiality of remote maintenance sessions.</t>
        </r>
      </text>
    </comment>
    <comment ref="N109" authorId="0" shapeId="0" xr:uid="{00000000-0006-0000-0400-000081000000}">
      <text>
        <r>
          <rPr>
            <sz val="11"/>
            <rFont val="Calibri"/>
          </rPr>
          <t>The Cisco switch must be configured to obtain its public key certificates from an appropriate certificate policy through an approved service provider.</t>
        </r>
      </text>
    </comment>
    <comment ref="O109" authorId="0" shapeId="0" xr:uid="{00000000-0006-0000-0400-000082000000}">
      <text>
        <r>
          <rPr>
            <sz val="11"/>
            <rFont val="Calibri"/>
          </rPr>
          <t>The Cisco switch must authenticate all VLAN Trunk Protocol (VTP) messages with a hash function using the most secured cryptographic algorithm available.</t>
        </r>
      </text>
    </comment>
    <comment ref="P109" authorId="0" shapeId="0" xr:uid="{00000000-0006-0000-0400-000083000000}">
      <text>
        <r>
          <rPr>
            <sz val="11"/>
            <rFont val="Calibri"/>
          </rPr>
          <t>The Cisco switch must be configured to enable routing protocol authentication using FIPS 198-1 algorithms with keys not exceeding 180 days of lifetime.</t>
        </r>
      </text>
    </comment>
    <comment ref="Q109" authorId="0" shapeId="0" xr:uid="{00000000-0006-0000-0400-000084000000}">
      <text>
        <r>
          <rPr>
            <sz val="11"/>
            <rFont val="Calibri"/>
          </rPr>
          <t>The Cisco BGP switch must be configured to use a unique key for each autonomous system (AS) that it peers with.</t>
        </r>
      </text>
    </comment>
    <comment ref="R109" authorId="0" shapeId="0" xr:uid="{00000000-0006-0000-0400-000085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J111" authorId="0" shapeId="0" xr:uid="{00000000-0006-0000-0400-000086000000}">
      <text>
        <r>
          <rPr>
            <sz val="11"/>
            <rFont val="Calibri"/>
          </rPr>
          <t>The Cisco switch must not use the default VLAN for management traffic.</t>
        </r>
      </text>
    </comment>
    <comment ref="K111" authorId="0" shapeId="0" xr:uid="{00000000-0006-0000-0400-000087000000}">
      <text>
        <r>
          <rPr>
            <sz val="11"/>
            <rFont val="Calibri"/>
          </rPr>
          <t>The Cisco perimeter switch must be configured to block all outbound management traffic.</t>
        </r>
      </text>
    </comment>
    <comment ref="L111" authorId="0" shapeId="0" xr:uid="{00000000-0006-0000-0400-000088000000}">
      <text>
        <r>
          <rPr>
            <sz val="11"/>
            <rFont val="Calibri"/>
          </rPr>
          <t>The Cisco switch must be configured to only permit management traffic that ingresses and egresses the out-of-band management (OOBM) interface.</t>
        </r>
      </text>
    </comment>
    <comment ref="J116" authorId="0" shapeId="0" xr:uid="{00000000-0006-0000-0400-000089000000}">
      <text>
        <r>
          <rPr>
            <sz val="11"/>
            <rFont val="Calibri"/>
          </rPr>
          <t>The Cisco perimeter switch must be configured to deny network traffic by default and allow network traffic by exception.</t>
        </r>
      </text>
    </comment>
    <comment ref="K116" authorId="0" shapeId="0" xr:uid="{00000000-0006-0000-0400-00008A000000}">
      <text>
        <r>
          <rPr>
            <sz val="11"/>
            <rFont val="Calibri"/>
          </rPr>
          <t>The Cisco perimeter switch must be configured to only allow incoming communications from authorized sources to be routed to authorized destinations.</t>
        </r>
      </text>
    </comment>
    <comment ref="L116" authorId="0" shapeId="0" xr:uid="{00000000-0006-0000-0400-00008B000000}">
      <text>
        <r>
          <rPr>
            <sz val="11"/>
            <rFont val="Calibri"/>
          </rPr>
          <t>The Cisco perimeter switch must be configured to block inbound packets with source Bogon IP address prefixes.</t>
        </r>
      </text>
    </comment>
    <comment ref="M116" authorId="0" shapeId="0" xr:uid="{00000000-0006-0000-0400-00008C000000}">
      <text>
        <r>
          <rPr>
            <sz val="11"/>
            <rFont val="Calibri"/>
          </rPr>
          <t>The Cisco perimeter switch must be configured to filter traffic destined to the enclave in accordance with the guidelines contained in DoD Instruction 8551.1.</t>
        </r>
      </text>
    </comment>
    <comment ref="N116" authorId="0" shapeId="0" xr:uid="{00000000-0006-0000-0400-00008D000000}">
      <text>
        <r>
          <rPr>
            <sz val="11"/>
            <rFont val="Calibri"/>
          </rPr>
          <t>The Cisco perimeter switch must be configured to filter ingress traffic at the external interface on an inbound direction.</t>
        </r>
      </text>
    </comment>
    <comment ref="O116" authorId="0" shapeId="0" xr:uid="{00000000-0006-0000-0400-00008E000000}">
      <text>
        <r>
          <rPr>
            <sz val="11"/>
            <rFont val="Calibri"/>
          </rPr>
          <t>The Cisco perimeter switch must be configured to filter egress traffic at the internal interface on an inbound direction.</t>
        </r>
      </text>
    </comment>
    <comment ref="J120" authorId="0" shapeId="0" xr:uid="{00000000-0006-0000-0400-00008F000000}">
      <text>
        <r>
          <rPr>
            <sz val="11"/>
            <rFont val="Calibri"/>
          </rPr>
          <t>The Cisco switch must manage excess bandwidth to limit the effects of packet flooding types of denial-of-service (DoS) attacks.</t>
        </r>
      </text>
    </comment>
    <comment ref="K120" authorId="0" shapeId="0" xr:uid="{00000000-0006-0000-0400-000090000000}">
      <text>
        <r>
          <rPr>
            <sz val="11"/>
            <rFont val="Calibri"/>
          </rPr>
          <t>The Cisco switch must have Unknown Unicast Flood Blocking (UUFB) enabled.</t>
        </r>
      </text>
    </comment>
    <comment ref="L120" authorId="0" shapeId="0" xr:uid="{00000000-0006-0000-0400-000091000000}">
      <text>
        <r>
          <rPr>
            <sz val="11"/>
            <rFont val="Calibri"/>
          </rPr>
          <t>The Cisco switch must be configured to protect against or limit the effects of denial-of-service (DoS) attacks by employing control plane protection.</t>
        </r>
      </text>
    </comment>
    <comment ref="M120" authorId="0" shapeId="0" xr:uid="{00000000-0006-0000-0400-000092000000}">
      <text>
        <r>
          <rPr>
            <sz val="11"/>
            <rFont val="Calibri"/>
          </rPr>
          <t>The Cisco BGP switch must be configured to use the maximum prefixes feature to protect against route table flooding and prefix de-aggregation attacks.</t>
        </r>
      </text>
    </comment>
    <comment ref="N120" authorId="0" shapeId="0" xr:uid="{00000000-0006-0000-0400-000093000000}">
      <text>
        <r>
          <rPr>
            <sz val="11"/>
            <rFont val="Calibri"/>
          </rPr>
          <t>The Cisco switch must be configured to enforce a Quality-of-Service (QoS) policy to limit the effects of packet flooding denial-of-service (DoS) attacks.</t>
        </r>
      </text>
    </comment>
    <comment ref="O120" authorId="0" shapeId="0" xr:uid="{00000000-0006-0000-0400-000094000000}">
      <text>
        <r>
          <rPr>
            <sz val="11"/>
            <rFont val="Calibri"/>
          </rPr>
          <t>The Cisco multicast Rendezvous Point (RP) must be configured to rate limit the number of Protocol Independent Multicast (PIM) Register messages.</t>
        </r>
      </text>
    </comment>
    <comment ref="J121" authorId="0" shapeId="0" xr:uid="{00000000-0006-0000-0400-000095000000}">
      <text>
        <r>
          <rPr>
            <sz val="11"/>
            <rFont val="Calibri"/>
          </rPr>
          <t>The Cisco switch must uniquely identify and authenticate all network-connected endpoint devices before establishing any connection.</t>
        </r>
      </text>
    </comment>
    <comment ref="J122" authorId="0" shapeId="0" xr:uid="{00000000-0006-0000-0400-000096000000}">
      <text>
        <r>
          <rPr>
            <sz val="11"/>
            <rFont val="Calibri"/>
          </rPr>
          <t>The Cisco perimeter switch must be configured to deny network traffic by default and allow network traffic by exception.</t>
        </r>
      </text>
    </comment>
    <comment ref="K122" authorId="0" shapeId="0" xr:uid="{00000000-0006-0000-0400-000097000000}">
      <text>
        <r>
          <rPr>
            <sz val="11"/>
            <rFont val="Calibri"/>
          </rPr>
          <t>The Cisco perimeter switch must be configured to block inbound packets with source Bogon IP address prefixes.</t>
        </r>
      </text>
    </comment>
    <comment ref="L122" authorId="0" shapeId="0" xr:uid="{00000000-0006-0000-0400-000098000000}">
      <text>
        <r>
          <rPr>
            <sz val="11"/>
            <rFont val="Calibri"/>
          </rPr>
          <t>The Cisco perimeter switch must be configured to filter traffic destined to the enclave in accordance with the guidelines contained in DoD Instruction 8551.1.</t>
        </r>
      </text>
    </comment>
    <comment ref="M122" authorId="0" shapeId="0" xr:uid="{00000000-0006-0000-0400-000099000000}">
      <text>
        <r>
          <rPr>
            <sz val="11"/>
            <rFont val="Calibri"/>
          </rPr>
          <t>The Cisco perimeter switch must be configured to filter ingress traffic at the external interface on an inbound direction.</t>
        </r>
      </text>
    </comment>
    <comment ref="N122" authorId="0" shapeId="0" xr:uid="{00000000-0006-0000-0400-00009A000000}">
      <text>
        <r>
          <rPr>
            <sz val="11"/>
            <rFont val="Calibri"/>
          </rPr>
          <t>The Cisco perimeter switch must be configured to filter egress traffic at the internal interface on an inbound direction.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Cisco switch must be configured to enforce the limit of three consecutive invalid logon attempts, after which time it must lock out the user account from accessing the device for 15 minutes.</t>
        </r>
      </text>
    </comment>
    <comment ref="I2" authorId="0" shapeId="0" xr:uid="{00000000-0006-0000-0500-000002000000}">
      <text>
        <r>
          <rPr>
            <sz val="11"/>
            <rFont val="Calibri"/>
          </rPr>
          <t>The Cisco switch must be configured to terminate all network connections associated with device management after five minutes of inactivity.</t>
        </r>
      </text>
    </comment>
    <comment ref="H7" authorId="0" shapeId="0" xr:uid="{00000000-0006-0000-0500-000003000000}">
      <text>
        <r>
          <rPr>
            <sz val="11"/>
            <rFont val="Calibri"/>
          </rPr>
          <t>The Cisco switch must produce audit records containing information to establish when (date and time) the events occurred.</t>
        </r>
      </text>
    </comment>
    <comment ref="I7" authorId="0" shapeId="0" xr:uid="{00000000-0006-0000-0500-00000C000000}">
      <text>
        <r>
          <rPr>
            <sz val="11"/>
            <rFont val="Calibri"/>
          </rPr>
          <t>The Cisco switch must produce audit records containing information to establish where the events occurred.</t>
        </r>
      </text>
    </comment>
    <comment ref="J7" authorId="0" shapeId="0" xr:uid="{00000000-0006-0000-0500-000004000000}">
      <text>
        <r>
          <rPr>
            <sz val="11"/>
            <rFont val="Calibri"/>
          </rPr>
          <t>The Cisco switch must be configured to generate audit records containing the full-text recording of privileged commands.</t>
        </r>
      </text>
    </comment>
    <comment ref="K7" authorId="0" shapeId="0" xr:uid="{00000000-0006-0000-0500-000005000000}">
      <text>
        <r>
          <rPr>
            <sz val="11"/>
            <rFont val="Calibri"/>
          </rPr>
          <t>The Cisco switch must be configured to allocate audit record storage capacity in accordance with organization-defined audit record storage requirements.</t>
        </r>
      </text>
    </comment>
    <comment ref="L7" authorId="0" shapeId="0" xr:uid="{00000000-0006-0000-0500-000006000000}">
      <text>
        <r>
          <rPr>
            <sz val="11"/>
            <rFont val="Calibri"/>
          </rPr>
          <t>The Cisco switch must be configured to generate log records when administrator privileges are deleted.</t>
        </r>
      </text>
    </comment>
    <comment ref="M7" authorId="0" shapeId="0" xr:uid="{00000000-0006-0000-0500-000007000000}">
      <text>
        <r>
          <rPr>
            <sz val="11"/>
            <rFont val="Calibri"/>
          </rPr>
          <t>The Cisco switch must be configured to generate audit records when successful/unsuccessful logon attempts occur.</t>
        </r>
      </text>
    </comment>
    <comment ref="N7" authorId="0" shapeId="0" xr:uid="{00000000-0006-0000-0500-000008000000}">
      <text>
        <r>
          <rPr>
            <sz val="11"/>
            <rFont val="Calibri"/>
          </rPr>
          <t>The Cisco switch must be configured to generate log records for privileged activities.</t>
        </r>
      </text>
    </comment>
    <comment ref="O7" authorId="0" shapeId="0" xr:uid="{00000000-0006-0000-0500-000009000000}">
      <text>
        <r>
          <rPr>
            <sz val="11"/>
            <rFont val="Calibri"/>
          </rPr>
          <t>The Cisco switch must be configured to send log data to at least two central log servers for the purpose of forwarding alerts to the administrators and the information system security officer (ISSO).</t>
        </r>
      </text>
    </comment>
    <comment ref="P7" authorId="0" shapeId="0" xr:uid="{00000000-0006-0000-0500-00000A000000}">
      <text>
        <r>
          <rPr>
            <sz val="11"/>
            <rFont val="Calibri"/>
          </rPr>
          <t>The Cisco switch must be configured to produce audit records containing information to establish where the events occurred.</t>
        </r>
      </text>
    </comment>
    <comment ref="Q7" authorId="0" shapeId="0" xr:uid="{00000000-0006-0000-0500-00000B000000}">
      <text>
        <r>
          <rPr>
            <sz val="11"/>
            <rFont val="Calibri"/>
          </rPr>
          <t>The Cisco switch must be configured to produce audit records containing information to establish the source of the events.</t>
        </r>
      </text>
    </comment>
    <comment ref="H12" authorId="0" shapeId="0" xr:uid="{00000000-0006-0000-0500-00000D000000}">
      <text>
        <r>
          <rPr>
            <sz val="11"/>
            <rFont val="Calibri"/>
          </rPr>
          <t>The Cisco switch must be configured to support organizational requirements to conduct backups of the configuration when changes occur.</t>
        </r>
      </text>
    </comment>
    <comment ref="H14" authorId="0" shapeId="0" xr:uid="{00000000-0006-0000-0500-00000E000000}">
      <text>
        <r>
          <rPr>
            <sz val="11"/>
            <rFont val="Calibri"/>
          </rPr>
          <t>The Cisco switch must be configured to prohibit the use of all unnecessary and nonsecure functions and services.</t>
        </r>
      </text>
    </comment>
    <comment ref="I14" authorId="0" shapeId="0" xr:uid="{00000000-0006-0000-0500-00000F000000}">
      <text>
        <r>
          <rPr>
            <sz val="11"/>
            <rFont val="Calibri"/>
          </rPr>
          <t>The Cisco switch must be configured to have all inactive layer 3 interfaces disabled.</t>
        </r>
      </text>
    </comment>
    <comment ref="J14" authorId="0" shapeId="0" xr:uid="{00000000-0006-0000-0500-000010000000}">
      <text>
        <r>
          <rPr>
            <sz val="11"/>
            <rFont val="Calibri"/>
          </rPr>
          <t>The Cisco switch must not be configured to have any zero-touch deployment feature enabled when connected to an operational network.</t>
        </r>
      </text>
    </comment>
    <comment ref="K14" authorId="0" shapeId="0" xr:uid="{00000000-0006-0000-0500-000011000000}">
      <text>
        <r>
          <rPr>
            <sz val="11"/>
            <rFont val="Calibri"/>
          </rPr>
          <t>The Cisco switch must be configured to disable the auxiliary port unless it is connected to a secured modem providing encryption and authentication.</t>
        </r>
      </text>
    </comment>
    <comment ref="L14" authorId="0" shapeId="0" xr:uid="{00000000-0006-0000-0500-000012000000}">
      <text>
        <r>
          <rPr>
            <sz val="11"/>
            <rFont val="Calibri"/>
          </rPr>
          <t>The Cisco perimeter switch must be configured to have Link Layer Discovery Protocol (LLDP) disabled on all external interfaces.</t>
        </r>
      </text>
    </comment>
    <comment ref="M14" authorId="0" shapeId="0" xr:uid="{00000000-0006-0000-0500-000013000000}">
      <text>
        <r>
          <rPr>
            <sz val="11"/>
            <rFont val="Calibri"/>
          </rPr>
          <t>The Cisco perimeter switch must be configured to have Cisco Discovery Protocol (CDP) disabled on all external interfaces.</t>
        </r>
      </text>
    </comment>
    <comment ref="H16" authorId="0" shapeId="0" xr:uid="{00000000-0006-0000-0500-000014000000}">
      <text>
        <r>
          <rPr>
            <sz val="11"/>
            <rFont val="Calibri"/>
          </rPr>
          <t>The Cisco switch must be configured to authenticate SNMP messages using a FIPS-validated Keyed-Hash Message Authentication Code (HMAC).</t>
        </r>
      </text>
    </comment>
    <comment ref="I16" authorId="0" shapeId="0" xr:uid="{00000000-0006-0000-0500-000015000000}">
      <text>
        <r>
          <rPr>
            <sz val="11"/>
            <rFont val="Calibri"/>
          </rPr>
          <t>The Cisco switch must be configured to encrypt SNMP messages using a FIPS 140-2 approved algorithm.</t>
        </r>
      </text>
    </comment>
    <comment ref="J16" authorId="0" shapeId="0" xr:uid="{00000000-0006-0000-0500-000016000000}">
      <text>
        <r>
          <rPr>
            <sz val="11"/>
            <rFont val="Calibri"/>
          </rPr>
          <t>The Cisco switch must be configured to use FIPS-validated Keyed-Hash Message Authentication Code (HMAC) to protect the integrity of remote maintenance sessions.</t>
        </r>
      </text>
    </comment>
    <comment ref="K16" authorId="0" shapeId="0" xr:uid="{00000000-0006-0000-0500-000017000000}">
      <text>
        <r>
          <rPr>
            <sz val="11"/>
            <rFont val="Calibri"/>
          </rPr>
          <t>The Cisco switch must be configured to implement cryptographic mechanisms to protect the confidentiality of remote maintenance sessions.</t>
        </r>
      </text>
    </comment>
    <comment ref="L16" authorId="0" shapeId="0" xr:uid="{00000000-0006-0000-0500-000018000000}">
      <text>
        <r>
          <rPr>
            <sz val="11"/>
            <rFont val="Calibri"/>
          </rPr>
          <t>The Cisco switch must be configured to obtain its public key certificates from an appropriate certificate policy through an approved service provider.</t>
        </r>
      </text>
    </comment>
    <comment ref="H20" authorId="0" shapeId="0" xr:uid="{00000000-0006-0000-0500-000019000000}">
      <text>
        <r>
          <rPr>
            <sz val="11"/>
            <rFont val="Calibri"/>
          </rPr>
          <t>The Cisco switch must be configured to enforce approved authorizations for controlling the flow of management information within the device based on control policies.</t>
        </r>
      </text>
    </comment>
    <comment ref="I20" authorId="0" shapeId="0" xr:uid="{00000000-0006-0000-0500-000038000000}">
      <text>
        <r>
          <rPr>
            <sz val="11"/>
            <rFont val="Calibri"/>
          </rPr>
          <t>The Cisco switch must manage excess bandwidth to limit the effects of packet flooding types of denial-of-service (DoS) attacks.</t>
        </r>
      </text>
    </comment>
    <comment ref="J20" authorId="0" shapeId="0" xr:uid="{00000000-0006-0000-0500-000039000000}">
      <text>
        <r>
          <rPr>
            <sz val="11"/>
            <rFont val="Calibri"/>
          </rPr>
          <t>The Cisco switch must have Unknown Unicast Flood Blocking (UUFB) enabled.</t>
        </r>
      </text>
    </comment>
    <comment ref="K20" authorId="0" shapeId="0" xr:uid="{00000000-0006-0000-0500-00003A000000}">
      <text>
        <r>
          <rPr>
            <sz val="11"/>
            <rFont val="Calibri"/>
          </rPr>
          <t>The Cisco switch must have Storm Control configured on all host-facing switchports.</t>
        </r>
      </text>
    </comment>
    <comment ref="L20" authorId="0" shapeId="0" xr:uid="{00000000-0006-0000-0500-00003B000000}">
      <text>
        <r>
          <rPr>
            <sz val="11"/>
            <rFont val="Calibri"/>
          </rPr>
          <t>The Cisco switch must be configured to enforce approved authorizations for controlling the flow of information within the network based on organization-defined information flow control policies.</t>
        </r>
      </text>
    </comment>
    <comment ref="M20" authorId="0" shapeId="0" xr:uid="{00000000-0006-0000-0500-00003C000000}">
      <text>
        <r>
          <rPr>
            <sz val="11"/>
            <rFont val="Calibri"/>
          </rPr>
          <t>The Cisco switch must be configured to protect against or limit the effects of denial-of-service (DoS) attacks by employing control plane protection.</t>
        </r>
      </text>
    </comment>
    <comment ref="N20" authorId="0" shapeId="0" xr:uid="{00000000-0006-0000-0500-00003D000000}">
      <text>
        <r>
          <rPr>
            <sz val="11"/>
            <rFont val="Calibri"/>
          </rPr>
          <t>The Cisco switch must be configured to have IP directed broadcast disabled on all interfaces.</t>
        </r>
      </text>
    </comment>
    <comment ref="O20" authorId="0" shapeId="0" xr:uid="{00000000-0006-0000-0500-00003E000000}">
      <text>
        <r>
          <rPr>
            <sz val="11"/>
            <rFont val="Calibri"/>
          </rPr>
          <t>The Cisco switch must be configured to have Internet Control Message Protocol (ICMP) unreachable messages disabled on all external interfaces.</t>
        </r>
      </text>
    </comment>
    <comment ref="P20" authorId="0" shapeId="0" xr:uid="{00000000-0006-0000-0500-00003F000000}">
      <text>
        <r>
          <rPr>
            <sz val="11"/>
            <rFont val="Calibri"/>
          </rPr>
          <t>The Cisco switch must be configured to have Internet Control Message Protocol (ICMP) mask reply messages disabled on all external interfaces.</t>
        </r>
      </text>
    </comment>
    <comment ref="Q20" authorId="0" shapeId="0" xr:uid="{00000000-0006-0000-0500-000040000000}">
      <text>
        <r>
          <rPr>
            <sz val="11"/>
            <rFont val="Calibri"/>
          </rPr>
          <t>The Cisco switch must be configured to have Internet Control Message Protocol (ICMP) redirect messages disabled on all external interfaces.</t>
        </r>
      </text>
    </comment>
    <comment ref="R20" authorId="0" shapeId="0" xr:uid="{00000000-0006-0000-0500-00001A000000}">
      <text>
        <r>
          <rPr>
            <sz val="11"/>
            <rFont val="Calibri"/>
          </rPr>
          <t>The Cisco perimeter switch must be configured to deny network traffic by default and allow network traffic by exception.</t>
        </r>
      </text>
    </comment>
    <comment ref="S20" authorId="0" shapeId="0" xr:uid="{00000000-0006-0000-0500-00001B000000}">
      <text>
        <r>
          <rPr>
            <sz val="11"/>
            <rFont val="Calibri"/>
          </rPr>
          <t>The Cisco perimeter switch must be configured to enforce approved authorizations for controlling the flow of information between interconnected networks in accordance with applicable policy.</t>
        </r>
      </text>
    </comment>
    <comment ref="T20" authorId="0" shapeId="0" xr:uid="{00000000-0006-0000-0500-00001C000000}">
      <text>
        <r>
          <rPr>
            <sz val="11"/>
            <rFont val="Calibri"/>
          </rPr>
          <t>The Cisco perimeter switch must be configured to only allow incoming communications from authorized sources to be routed to authorized destinations.</t>
        </r>
      </text>
    </comment>
    <comment ref="U20" authorId="0" shapeId="0" xr:uid="{00000000-0006-0000-0500-00001D000000}">
      <text>
        <r>
          <rPr>
            <sz val="11"/>
            <rFont val="Calibri"/>
          </rPr>
          <t>The Cisco perimeter switch must be configured to block inbound packets with source Bogon IP address prefixes.</t>
        </r>
      </text>
    </comment>
    <comment ref="V20" authorId="0" shapeId="0" xr:uid="{00000000-0006-0000-0500-00001E000000}">
      <text>
        <r>
          <rPr>
            <sz val="11"/>
            <rFont val="Calibri"/>
          </rPr>
          <t>The Cisco perimeter switch must be configured to filter traffic destined to the enclave in accordance with the guidelines contained in DoD Instruction 8551.1.</t>
        </r>
      </text>
    </comment>
    <comment ref="W20" authorId="0" shapeId="0" xr:uid="{00000000-0006-0000-0500-00001F000000}">
      <text>
        <r>
          <rPr>
            <sz val="11"/>
            <rFont val="Calibri"/>
          </rPr>
          <t>The Cisco perimeter switch must be configured to filter ingress traffic at the external interface on an inbound direction.</t>
        </r>
      </text>
    </comment>
    <comment ref="X20" authorId="0" shapeId="0" xr:uid="{00000000-0006-0000-0500-000020000000}">
      <text>
        <r>
          <rPr>
            <sz val="11"/>
            <rFont val="Calibri"/>
          </rPr>
          <t>The Cisco perimeter switch must be configured to filter egress traffic at the internal interface on an inbound direction.</t>
        </r>
      </text>
    </comment>
    <comment ref="Y20" authorId="0" shapeId="0" xr:uid="{00000000-0006-0000-0500-000021000000}">
      <text>
        <r>
          <rPr>
            <sz val="11"/>
            <rFont val="Calibri"/>
          </rPr>
          <t>The Cisco perimeter switch must be configured to block all packets with any IP options.</t>
        </r>
      </text>
    </comment>
    <comment ref="Z20" authorId="0" shapeId="0" xr:uid="{00000000-0006-0000-0500-000022000000}">
      <text>
        <r>
          <rPr>
            <sz val="11"/>
            <rFont val="Calibri"/>
          </rPr>
          <t>The Cisco BGP switch must be configured to reject inbound route advertisements for any Bogon prefixes.</t>
        </r>
      </text>
    </comment>
    <comment ref="AA20" authorId="0" shapeId="0" xr:uid="{00000000-0006-0000-0500-000023000000}">
      <text>
        <r>
          <rPr>
            <sz val="11"/>
            <rFont val="Calibri"/>
          </rPr>
          <t>The Cisco BGP switch must be configured to reject inbound route advertisements for any prefixes belonging to the local autonomous system (AS).</t>
        </r>
      </text>
    </comment>
    <comment ref="AB20" authorId="0" shapeId="0" xr:uid="{00000000-0006-0000-0500-000024000000}">
      <text>
        <r>
          <rPr>
            <sz val="11"/>
            <rFont val="Calibri"/>
          </rPr>
          <t>The Cisco BGP switch must be configured to reject inbound route advertisements from a customer edge (CE) switch for prefixes that are not allocated to that customer.</t>
        </r>
      </text>
    </comment>
    <comment ref="AC20" authorId="0" shapeId="0" xr:uid="{00000000-0006-0000-0500-000025000000}">
      <text>
        <r>
          <rPr>
            <sz val="11"/>
            <rFont val="Calibri"/>
          </rPr>
          <t>The Cisco BGP switch must be configured to reject outbound route advertisements for any prefixes that do not belong to any customers or the local autonomous system (AS).</t>
        </r>
      </text>
    </comment>
    <comment ref="AD20" authorId="0" shapeId="0" xr:uid="{00000000-0006-0000-0500-000026000000}">
      <text>
        <r>
          <rPr>
            <sz val="11"/>
            <rFont val="Calibri"/>
          </rPr>
          <t>The Cisco BGP switch must be configured to reject outbound route advertisements for any prefixes belonging to the IP core.</t>
        </r>
      </text>
    </comment>
    <comment ref="AE20" authorId="0" shapeId="0" xr:uid="{00000000-0006-0000-0500-000027000000}">
      <text>
        <r>
          <rPr>
            <sz val="11"/>
            <rFont val="Calibri"/>
          </rPr>
          <t>The Cisco BGP switch must be configured to reject route advertisements from BGP peers that do not list their autonomous system (AS) number as the first AS in the AS_PATH attribute.</t>
        </r>
      </text>
    </comment>
    <comment ref="AF20" authorId="0" shapeId="0" xr:uid="{00000000-0006-0000-0500-000028000000}">
      <text>
        <r>
          <rPr>
            <sz val="11"/>
            <rFont val="Calibri"/>
          </rPr>
          <t>The Cisco BGP switch must be configured to reject route advertisements from CE switches with an originating AS in the AS_PATH attribute that does not belong to that customer.</t>
        </r>
      </text>
    </comment>
    <comment ref="AG20" authorId="0" shapeId="0" xr:uid="{00000000-0006-0000-0500-000029000000}">
      <text>
        <r>
          <rPr>
            <sz val="11"/>
            <rFont val="Calibri"/>
          </rPr>
          <t>The Cisco BGP switch must be configured to use the maximum prefixes feature to protect against route table flooding and prefix de-aggregation attacks.</t>
        </r>
      </text>
    </comment>
    <comment ref="AH20" authorId="0" shapeId="0" xr:uid="{00000000-0006-0000-0500-00002A000000}">
      <text>
        <r>
          <rPr>
            <sz val="11"/>
            <rFont val="Calibri"/>
          </rPr>
          <t>The Cisco BGP switch must be configured to limit the prefix size on any inbound route advertisement to /24, or the least significant prefixes issued to the customer.</t>
        </r>
      </text>
    </comment>
    <comment ref="AI20" authorId="0" shapeId="0" xr:uid="{00000000-0006-0000-0500-00002B000000}">
      <text>
        <r>
          <rPr>
            <sz val="11"/>
            <rFont val="Calibri"/>
          </rPr>
          <t>The Cisco BGP switch must be configured to use its loopback address as the source address for iBGP peering sessions.</t>
        </r>
      </text>
    </comment>
    <comment ref="AJ20" authorId="0" shapeId="0" xr:uid="{00000000-0006-0000-0500-00002C000000}">
      <text>
        <r>
          <rPr>
            <sz val="11"/>
            <rFont val="Calibri"/>
          </rPr>
          <t>The Cisco PE switch providing Virtual Private LAN Services (VPLS) must be configured to have traffic storm control thresholds on CE-facing interfaces.</t>
        </r>
      </text>
    </comment>
    <comment ref="AK20" authorId="0" shapeId="0" xr:uid="{00000000-0006-0000-0500-00002D000000}">
      <text>
        <r>
          <rPr>
            <sz val="11"/>
            <rFont val="Calibri"/>
          </rPr>
          <t>The Cisco PE switch must be configured to ignore or drop all packets with any IP options.</t>
        </r>
      </text>
    </comment>
    <comment ref="AL20" authorId="0" shapeId="0" xr:uid="{00000000-0006-0000-0500-00002E000000}">
      <text>
        <r>
          <rPr>
            <sz val="11"/>
            <rFont val="Calibri"/>
          </rPr>
          <t>The Cisco P switch must be configured to enforce a Quality-of-Service (QoS) policy to provide preferred treatment for mission-critical applications.</t>
        </r>
      </text>
    </comment>
    <comment ref="AM20" authorId="0" shapeId="0" xr:uid="{00000000-0006-0000-0500-00002F000000}">
      <text>
        <r>
          <rPr>
            <sz val="11"/>
            <rFont val="Calibri"/>
          </rPr>
          <t>The Cisco switch must be configured to enforce a Quality-of-Service (QoS) policy to limit the effects of packet flooding denial-of-service (DoS) attacks.</t>
        </r>
      </text>
    </comment>
    <comment ref="AN20" authorId="0" shapeId="0" xr:uid="{00000000-0006-0000-0500-000030000000}">
      <text>
        <r>
          <rPr>
            <sz val="11"/>
            <rFont val="Calibri"/>
          </rPr>
          <t>The Cisco multicast switch must be configured to disable Protocol Independent Multicast (PIM) on all interfaces that are not required to support multicast routing.</t>
        </r>
      </text>
    </comment>
    <comment ref="AO20" authorId="0" shapeId="0" xr:uid="{00000000-0006-0000-0500-000031000000}">
      <text>
        <r>
          <rPr>
            <sz val="11"/>
            <rFont val="Calibri"/>
          </rPr>
          <t>The Cisco multicast switch must be configured to bind a Protocol Independent Multicast (PIM) neighbor filter to interfaces that have PIM enabled.</t>
        </r>
      </text>
    </comment>
    <comment ref="AP20" authorId="0" shapeId="0" xr:uid="{00000000-0006-0000-0500-000032000000}">
      <text>
        <r>
          <rPr>
            <sz val="11"/>
            <rFont val="Calibri"/>
          </rPr>
          <t>The Cisco multicast edge switch must be configured to establish boundaries for administratively scoped multicast traffic.</t>
        </r>
      </text>
    </comment>
    <comment ref="AQ20" authorId="0" shapeId="0" xr:uid="{00000000-0006-0000-0500-000033000000}">
      <text>
        <r>
          <rPr>
            <sz val="11"/>
            <rFont val="Calibri"/>
          </rPr>
          <t>The Cisco multicast Rendezvous Point (RP) switch must be configured to limit the multicast forwarding cache so that its resources are not saturated by managing an overwhelming number of Protocol Independent Multicast (PIM) and Multicast Source Discovery Protocol (MSDP) source-active entries.</t>
        </r>
      </text>
    </comment>
    <comment ref="AR20" authorId="0" shapeId="0" xr:uid="{00000000-0006-0000-0500-000034000000}">
      <text>
        <r>
          <rPr>
            <sz val="11"/>
            <rFont val="Calibri"/>
          </rPr>
          <t>The Cisco multicast Rendezvous Point (RP) switch must be configured to filter Protocol Independent Multicast (PIM) Register messages received from the Designated switch (DR) for any undesirable multicast groups and sources.</t>
        </r>
      </text>
    </comment>
    <comment ref="AS20" authorId="0" shapeId="0" xr:uid="{00000000-0006-0000-0500-000035000000}">
      <text>
        <r>
          <rPr>
            <sz val="11"/>
            <rFont val="Calibri"/>
          </rPr>
          <t>The Cisco multicast Rendezvous Point (RP) switch must be configured to filter Protocol Independent Multicast (PIM) Join messages received from the Designated Cisco switch (DR) for any undesirable multicast groups.</t>
        </r>
      </text>
    </comment>
    <comment ref="AT20" authorId="0" shapeId="0" xr:uid="{00000000-0006-0000-0500-000036000000}">
      <text>
        <r>
          <rPr>
            <sz val="11"/>
            <rFont val="Calibri"/>
          </rPr>
          <t>The Cisco multicast Rendezvous Point (RP) must be configured to rate limit the number of Protocol Independent Multicast (PIM) Register messages.</t>
        </r>
      </text>
    </comment>
    <comment ref="AU20" authorId="0" shapeId="0" xr:uid="{00000000-0006-0000-0500-000037000000}">
      <text>
        <r>
          <rPr>
            <sz val="11"/>
            <rFont val="Calibri"/>
          </rPr>
          <t>The Cisco multicast Designated switch (DR) must be configured to set the shortest-path tree (SPT) threshold to infinity to minimalize source-group (S, G) state within the multicast topology where Any Source Multicast (ASM) is deployed.</t>
        </r>
      </text>
    </comment>
    <comment ref="H21" authorId="0" shapeId="0" xr:uid="{00000000-0006-0000-0500-000041000000}">
      <text>
        <r>
          <rPr>
            <sz val="11"/>
            <rFont val="Calibri"/>
          </rPr>
          <t>The Cisco switch must be configured to limit the number of concurrent management sessions to an organization-defined number.</t>
        </r>
      </text>
    </comment>
    <comment ref="H24" authorId="0" shapeId="0" xr:uid="{00000000-0006-0000-0500-000042000000}">
      <text>
        <r>
          <rPr>
            <sz val="11"/>
            <rFont val="Calibri"/>
          </rPr>
          <t>The Cisco switch must be configured to use at least two authentication servers for the purpose of authenticating users prior to granting administrative access.</t>
        </r>
      </text>
    </comment>
    <comment ref="H25" authorId="0" shapeId="0" xr:uid="{00000000-0006-0000-0500-000043000000}">
      <text>
        <r>
          <rPr>
            <sz val="11"/>
            <rFont val="Calibri"/>
          </rPr>
          <t>The Cisco switch must authenticate all VLAN Trunk Protocol (VTP) messages with a hash function using the most secured cryptographic algorithm available.</t>
        </r>
      </text>
    </comment>
    <comment ref="I25" authorId="0" shapeId="0" xr:uid="{00000000-0006-0000-0500-000044000000}">
      <text>
        <r>
          <rPr>
            <sz val="11"/>
            <rFont val="Calibri"/>
          </rPr>
          <t>The Cisco switch must be configured to enable routing protocol authentication using FIPS 198-1 algorithms with keys not exceeding 180 days of lifetime.</t>
        </r>
      </text>
    </comment>
    <comment ref="J25" authorId="0" shapeId="0" xr:uid="{00000000-0006-0000-0500-000045000000}">
      <text>
        <r>
          <rPr>
            <sz val="11"/>
            <rFont val="Calibri"/>
          </rPr>
          <t>The Cisco perimeter switch must be configured to restrict it from accepting outbound IP packets that contain an illegitimate address in the source address field via egress filter or by enabling Unicast Reverse Path Forwarding (uRPF).</t>
        </r>
      </text>
    </comment>
    <comment ref="K25" authorId="0" shapeId="0" xr:uid="{00000000-0006-0000-0500-000046000000}">
      <text>
        <r>
          <rPr>
            <sz val="11"/>
            <rFont val="Calibri"/>
          </rPr>
          <t>The Cisco BGP switch must be configured to use a unique key for each autonomous system (AS) that it peers with.</t>
        </r>
      </text>
    </comment>
    <comment ref="L25" authorId="0" shapeId="0" xr:uid="{00000000-0006-0000-0500-000047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M25" authorId="0" shapeId="0" xr:uid="{00000000-0006-0000-0500-000048000000}">
      <text>
        <r>
          <rPr>
            <sz val="11"/>
            <rFont val="Calibri"/>
          </rPr>
          <t>The Cisco PE switch must be configured with Unicast Reverse Path Forwarding (uRPF) loose mode enabled on all CE-facing interfaces.</t>
        </r>
      </text>
    </comment>
    <comment ref="H26" authorId="0" shapeId="0" xr:uid="{00000000-0006-0000-0500-000049000000}">
      <text>
        <r>
          <rPr>
            <sz val="11"/>
            <rFont val="Calibri"/>
          </rPr>
          <t>The Cisco switch must uniquely identify and authenticate all network-connected endpoint devices before establishing any connection.</t>
        </r>
      </text>
    </comment>
    <comment ref="I26" authorId="0" shapeId="0" xr:uid="{00000000-0006-0000-0500-00004A000000}">
      <text>
        <r>
          <rPr>
            <sz val="11"/>
            <rFont val="Calibri"/>
          </rPr>
          <t>The Cisco switch must have Root Guard enabled on all switch ports connecting to access layer switches.</t>
        </r>
      </text>
    </comment>
    <comment ref="J26" authorId="0" shapeId="0" xr:uid="{00000000-0006-0000-0500-00004B000000}">
      <text>
        <r>
          <rPr>
            <sz val="11"/>
            <rFont val="Calibri"/>
          </rPr>
          <t>The Cisco switch must have BPDU Guard enabled on all user-facing or untrusted access switch ports.</t>
        </r>
      </text>
    </comment>
    <comment ref="K26" authorId="0" shapeId="0" xr:uid="{00000000-0006-0000-0500-00004C000000}">
      <text>
        <r>
          <rPr>
            <sz val="11"/>
            <rFont val="Calibri"/>
          </rPr>
          <t>The Cisco switch must have STP Loop Guard enabled.</t>
        </r>
      </text>
    </comment>
    <comment ref="L26" authorId="0" shapeId="0" xr:uid="{00000000-0006-0000-0500-00004D000000}">
      <text>
        <r>
          <rPr>
            <sz val="11"/>
            <rFont val="Calibri"/>
          </rPr>
          <t>The Cisco switch must have DHCP snooping for all user VLANs to validate DHCP messages from untrusted sources.</t>
        </r>
      </text>
    </comment>
    <comment ref="M26" authorId="0" shapeId="0" xr:uid="{00000000-0006-0000-0500-00004E000000}">
      <text>
        <r>
          <rPr>
            <sz val="11"/>
            <rFont val="Calibri"/>
          </rPr>
          <t>The Cisco switch must have IP Source Guard enabled on all user-facing or untrusted access switch ports.</t>
        </r>
      </text>
    </comment>
    <comment ref="N26" authorId="0" shapeId="0" xr:uid="{00000000-0006-0000-0500-00004F000000}">
      <text>
        <r>
          <rPr>
            <sz val="11"/>
            <rFont val="Calibri"/>
          </rPr>
          <t>The Cisco switch must have Dynamic Address Resolution Protocol (ARP) Inspection (DAI) enabled on all user VLANs.</t>
        </r>
      </text>
    </comment>
    <comment ref="O26" authorId="0" shapeId="0" xr:uid="{00000000-0006-0000-0500-000050000000}">
      <text>
        <r>
          <rPr>
            <sz val="11"/>
            <rFont val="Calibri"/>
          </rPr>
          <t>The Cisco switch must have IGMP or MLD Snooping configured on all VLANs.</t>
        </r>
      </text>
    </comment>
    <comment ref="P26" authorId="0" shapeId="0" xr:uid="{00000000-0006-0000-0500-000051000000}">
      <text>
        <r>
          <rPr>
            <sz val="11"/>
            <rFont val="Calibri"/>
          </rPr>
          <t>The Cisco switch must implement Rapid STP where VLANs span multiple switches with redundant links.</t>
        </r>
      </text>
    </comment>
    <comment ref="Q26" authorId="0" shapeId="0" xr:uid="{00000000-0006-0000-0500-000052000000}">
      <text>
        <r>
          <rPr>
            <sz val="11"/>
            <rFont val="Calibri"/>
          </rPr>
          <t>The Cisco switch must enable Unidirectional Link Detection (UDLD) to protect against one-way connections.</t>
        </r>
      </text>
    </comment>
    <comment ref="R26" authorId="0" shapeId="0" xr:uid="{00000000-0006-0000-0500-000053000000}">
      <text>
        <r>
          <rPr>
            <sz val="11"/>
            <rFont val="Calibri"/>
          </rPr>
          <t>The Cisco switch must have all trunk links enabled statically.</t>
        </r>
      </text>
    </comment>
    <comment ref="S26" authorId="0" shapeId="0" xr:uid="{00000000-0006-0000-0500-000054000000}">
      <text>
        <r>
          <rPr>
            <sz val="11"/>
            <rFont val="Calibri"/>
          </rPr>
          <t>The Cisco switch must have all disabled switch ports assigned to an unused VLAN.</t>
        </r>
      </text>
    </comment>
    <comment ref="T26" authorId="0" shapeId="0" xr:uid="{00000000-0006-0000-0500-000055000000}">
      <text>
        <r>
          <rPr>
            <sz val="11"/>
            <rFont val="Calibri"/>
          </rPr>
          <t>The Cisco switch must not have the default VLAN assigned to any host-facing switch ports.</t>
        </r>
      </text>
    </comment>
    <comment ref="U26" authorId="0" shapeId="0" xr:uid="{00000000-0006-0000-0500-000056000000}">
      <text>
        <r>
          <rPr>
            <sz val="11"/>
            <rFont val="Calibri"/>
          </rPr>
          <t>The Cisco switch must have the default VLAN pruned from all trunk ports that do not require it.</t>
        </r>
      </text>
    </comment>
    <comment ref="V26" authorId="0" shapeId="0" xr:uid="{00000000-0006-0000-0500-000057000000}">
      <text>
        <r>
          <rPr>
            <sz val="11"/>
            <rFont val="Calibri"/>
          </rPr>
          <t>The Cisco switch must not use the default VLAN for management traffic.</t>
        </r>
      </text>
    </comment>
    <comment ref="W26" authorId="0" shapeId="0" xr:uid="{00000000-0006-0000-0500-000058000000}">
      <text>
        <r>
          <rPr>
            <sz val="11"/>
            <rFont val="Calibri"/>
          </rPr>
          <t>The Cisco switch must have all user-facing or untrusted ports configured as access switch ports.</t>
        </r>
      </text>
    </comment>
    <comment ref="X26" authorId="0" shapeId="0" xr:uid="{00000000-0006-0000-0500-000059000000}">
      <text>
        <r>
          <rPr>
            <sz val="11"/>
            <rFont val="Calibri"/>
          </rPr>
          <t>The Cisco switch must have the native VLAN assigned to an ID other than the default VLAN for all 802.1q trunk links.</t>
        </r>
      </text>
    </comment>
    <comment ref="Y26" authorId="0" shapeId="0" xr:uid="{00000000-0006-0000-0500-00005A000000}">
      <text>
        <r>
          <rPr>
            <sz val="11"/>
            <rFont val="Calibri"/>
          </rPr>
          <t>The Cisco switch must not have any switchports assigned to the native VLAN.</t>
        </r>
      </text>
    </comment>
    <comment ref="Z26" authorId="0" shapeId="0" xr:uid="{00000000-0006-0000-0500-00005B000000}">
      <text>
        <r>
          <rPr>
            <sz val="11"/>
            <rFont val="Calibri"/>
          </rPr>
          <t>The Cisco switch must be configured to have Gratuitous ARP disabled on all external interfaces.</t>
        </r>
      </text>
    </comment>
    <comment ref="AA26" authorId="0" shapeId="0" xr:uid="{00000000-0006-0000-0500-00005C000000}">
      <text>
        <r>
          <rPr>
            <sz val="11"/>
            <rFont val="Calibri"/>
          </rPr>
          <t>The Cisco switch must be configured to have IP directed broadcast disabled on all interfaces.</t>
        </r>
      </text>
    </comment>
    <comment ref="AB26" authorId="0" shapeId="0" xr:uid="{00000000-0006-0000-0500-00005D000000}">
      <text>
        <r>
          <rPr>
            <sz val="11"/>
            <rFont val="Calibri"/>
          </rPr>
          <t>The Cisco switch must be configured to have Internet Control Message Protocol (ICMP) unreachable messages disabled on all external interfaces.</t>
        </r>
      </text>
    </comment>
    <comment ref="AC26" authorId="0" shapeId="0" xr:uid="{00000000-0006-0000-0500-00005E000000}">
      <text>
        <r>
          <rPr>
            <sz val="11"/>
            <rFont val="Calibri"/>
          </rPr>
          <t>The Cisco switch must be configured to have Internet Control Message Protocol (ICMP) mask reply messages disabled on all external interfaces.</t>
        </r>
      </text>
    </comment>
    <comment ref="AD26" authorId="0" shapeId="0" xr:uid="{00000000-0006-0000-0500-00005F000000}">
      <text>
        <r>
          <rPr>
            <sz val="11"/>
            <rFont val="Calibri"/>
          </rPr>
          <t>The Cisco switch must be configured to have Internet Control Message Protocol (ICMP) redirect messages disabled on all external interfaces.</t>
        </r>
      </text>
    </comment>
    <comment ref="AE26" authorId="0" shapeId="0" xr:uid="{00000000-0006-0000-0500-000060000000}">
      <text>
        <r>
          <rPr>
            <sz val="11"/>
            <rFont val="Calibri"/>
          </rPr>
          <t>The Cisco perimeter switch must be configured to block all packets with any IP options.</t>
        </r>
      </text>
    </comment>
    <comment ref="AF26" authorId="0" shapeId="0" xr:uid="{00000000-0006-0000-0500-000061000000}">
      <text>
        <r>
          <rPr>
            <sz val="11"/>
            <rFont val="Calibri"/>
          </rPr>
          <t>The Cisco perimeter switch must be configured to have Proxy ARP disabled on all external interfaces.</t>
        </r>
      </text>
    </comment>
    <comment ref="AG26" authorId="0" shapeId="0" xr:uid="{00000000-0006-0000-0500-000062000000}">
      <text>
        <r>
          <rPr>
            <sz val="11"/>
            <rFont val="Calibri"/>
          </rPr>
          <t>The Cisco perimeter switch must be configured to block all outbound management traffic.</t>
        </r>
      </text>
    </comment>
    <comment ref="AH26" authorId="0" shapeId="0" xr:uid="{00000000-0006-0000-0500-000063000000}">
      <text>
        <r>
          <rPr>
            <sz val="11"/>
            <rFont val="Calibri"/>
          </rPr>
          <t>The Cisco switch must be configured to only permit management traffic that ingresses and egresses the out-of-band management (OOBM) interface.</t>
        </r>
      </text>
    </comment>
    <comment ref="AI26" authorId="0" shapeId="0" xr:uid="{00000000-0006-0000-0500-000064000000}">
      <text>
        <r>
          <rPr>
            <sz val="11"/>
            <rFont val="Calibri"/>
          </rPr>
          <t>The Cisco BGP switch must be configured to enable the Generalized TTL Security Mechanism (GTSM).</t>
        </r>
      </text>
    </comment>
    <comment ref="AJ26" authorId="0" shapeId="0" xr:uid="{00000000-0006-0000-0500-000065000000}">
      <text>
        <r>
          <rPr>
            <sz val="11"/>
            <rFont val="Calibri"/>
          </rPr>
          <t>The Cisco MPLS switch must be configured to use its loopback address as the source address for LDP peering sessions.</t>
        </r>
      </text>
    </comment>
    <comment ref="AK26" authorId="0" shapeId="0" xr:uid="{00000000-0006-0000-0500-000066000000}">
      <text>
        <r>
          <rPr>
            <sz val="11"/>
            <rFont val="Calibri"/>
          </rPr>
          <t>The Cisco MPLS switch must be configured to synchronize Interior Gateway Protocol (IGP) and LDP to minimize packet loss when an IGP adjacency is established prior to LDP peers completing label exchange.</t>
        </r>
      </text>
    </comment>
    <comment ref="AL26" authorId="0" shapeId="0" xr:uid="{00000000-0006-0000-0500-000067000000}">
      <text>
        <r>
          <rPr>
            <sz val="11"/>
            <rFont val="Calibri"/>
          </rPr>
          <t>The MPLS switch with RSVP-TE enabled must be configured with message pacing to adjust maximum burst and maximum number of RSVP messages to an output queue based on the link speed and input queue size of adjacent core switches.</t>
        </r>
      </text>
    </comment>
    <comment ref="AM26" authorId="0" shapeId="0" xr:uid="{00000000-0006-0000-0500-000068000000}">
      <text>
        <r>
          <rPr>
            <sz val="11"/>
            <rFont val="Calibri"/>
          </rPr>
          <t>The Cisco MPLS switch must be configured to have TTL Propagation disabled.</t>
        </r>
      </text>
    </comment>
    <comment ref="AN26" authorId="0" shapeId="0" xr:uid="{00000000-0006-0000-0500-000069000000}">
      <text>
        <r>
          <rPr>
            <sz val="11"/>
            <rFont val="Calibri"/>
          </rPr>
          <t>The Cisco PE switch must be configured to have each Virtual Routing and Forwarding (VRF) instance bound to the appropriate physical or logical interfaces to maintain traffic separation between all MPLS L3VPNs.</t>
        </r>
      </text>
    </comment>
    <comment ref="AO26" authorId="0" shapeId="0" xr:uid="{00000000-0006-0000-0500-00006A000000}">
      <text>
        <r>
          <rPr>
            <sz val="11"/>
            <rFont val="Calibri"/>
          </rPr>
          <t>The Cisco PE switch must be configured to have each Virtual Routing and Forwarding (VRF) instance with the appropriate Route Target (RT).</t>
        </r>
      </text>
    </comment>
    <comment ref="AP26" authorId="0" shapeId="0" xr:uid="{00000000-0006-0000-0500-00006B000000}">
      <text>
        <r>
          <rPr>
            <sz val="11"/>
            <rFont val="Calibri"/>
          </rPr>
          <t>The Cisco PE switch must be configured to have each VRF with the appropriate Route Distinguisher (RD).</t>
        </r>
      </text>
    </comment>
    <comment ref="AQ26" authorId="0" shapeId="0" xr:uid="{00000000-0006-0000-0500-00006C000000}">
      <text>
        <r>
          <rPr>
            <sz val="11"/>
            <rFont val="Calibri"/>
          </rPr>
          <t>The Cisco PE switch providing MPLS Virtual Private Wire Service (VPWS) must be configured to have the appropriate virtual circuit identification (VC ID) for each attachment circuit.</t>
        </r>
      </text>
    </comment>
    <comment ref="AR26" authorId="0" shapeId="0" xr:uid="{00000000-0006-0000-0500-00006D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AS26" authorId="0" shapeId="0" xr:uid="{00000000-0006-0000-0500-00006E000000}">
      <text>
        <r>
          <rPr>
            <sz val="11"/>
            <rFont val="Calibri"/>
          </rPr>
          <t>The Cisco PE switch must be configured to enforce the split-horizon rule for all pseudowires within a Virtual Private LAN Services (VPLS) bridge domain.</t>
        </r>
      </text>
    </comment>
    <comment ref="AT26" authorId="0" shapeId="0" xr:uid="{00000000-0006-0000-0500-00006F000000}">
      <text>
        <r>
          <rPr>
            <sz val="11"/>
            <rFont val="Calibri"/>
          </rPr>
          <t>The Cisco PE switch must be configured to implement Internet Group Management Protocol (IGMP) or Multicast Listener Discovery (MLD) snooping for each Virtual Private LAN Services (VPLS) bridge domain.</t>
        </r>
      </text>
    </comment>
    <comment ref="AU26" authorId="0" shapeId="0" xr:uid="{00000000-0006-0000-0500-000070000000}">
      <text>
        <r>
          <rPr>
            <sz val="11"/>
            <rFont val="Calibri"/>
          </rPr>
          <t>The Cisco PE switch must be configured to limit the number of MAC addresses it can learn for each Virtual Private LAN Services (VPLS) bridge domain.</t>
        </r>
      </text>
    </comment>
    <comment ref="H29" authorId="0" shapeId="0" xr:uid="{00000000-0006-0000-0500-000071000000}">
      <text>
        <r>
          <rPr>
            <sz val="11"/>
            <rFont val="Calibri"/>
          </rPr>
          <t>The Cisco switch must be configured to enforce a minimum 15-character password length.</t>
        </r>
      </text>
    </comment>
    <comment ref="I29" authorId="0" shapeId="0" xr:uid="{00000000-0006-0000-0500-000072000000}">
      <text>
        <r>
          <rPr>
            <sz val="11"/>
            <rFont val="Calibri"/>
          </rPr>
          <t>The Cisco switch must be configured to enforce password complexity by requiring that at least one uppercase character be used.</t>
        </r>
      </text>
    </comment>
    <comment ref="J29" authorId="0" shapeId="0" xr:uid="{00000000-0006-0000-0500-000073000000}">
      <text>
        <r>
          <rPr>
            <sz val="11"/>
            <rFont val="Calibri"/>
          </rPr>
          <t>The Cisco switch must be configured to enforce password complexity by requiring that at least one lowercase character be used.</t>
        </r>
      </text>
    </comment>
    <comment ref="K29" authorId="0" shapeId="0" xr:uid="{00000000-0006-0000-0500-000074000000}">
      <text>
        <r>
          <rPr>
            <sz val="11"/>
            <rFont val="Calibri"/>
          </rPr>
          <t>The Cisco switch must be configured to enforce password complexity by requiring that at least one numeric character be used.</t>
        </r>
      </text>
    </comment>
    <comment ref="L29" authorId="0" shapeId="0" xr:uid="{00000000-0006-0000-0500-000075000000}">
      <text>
        <r>
          <rPr>
            <sz val="11"/>
            <rFont val="Calibri"/>
          </rPr>
          <t>The Cisco switch must be configured to enforce password complexity by requiring that at least one special character be used.</t>
        </r>
      </text>
    </comment>
    <comment ref="M29" authorId="0" shapeId="0" xr:uid="{00000000-0006-0000-0500-000076000000}">
      <text>
        <r>
          <rPr>
            <sz val="11"/>
            <rFont val="Calibri"/>
          </rPr>
          <t>The Cisco switch must only store cryptographic representations of passwords.</t>
        </r>
      </text>
    </comment>
    <comment ref="H31" authorId="0" shapeId="0" xr:uid="{00000000-0006-0000-0500-000077000000}">
      <text>
        <r>
          <rPr>
            <sz val="11"/>
            <rFont val="Calibri"/>
          </rPr>
          <t>The Cisco switch must be configured to automatically audit account creation.</t>
        </r>
      </text>
    </comment>
    <comment ref="I31" authorId="0" shapeId="0" xr:uid="{00000000-0006-0000-0500-000078000000}">
      <text>
        <r>
          <rPr>
            <sz val="11"/>
            <rFont val="Calibri"/>
          </rPr>
          <t>The Cisco switch must be configured to automatically audit account modification.</t>
        </r>
      </text>
    </comment>
    <comment ref="J31" authorId="0" shapeId="0" xr:uid="{00000000-0006-0000-0500-000079000000}">
      <text>
        <r>
          <rPr>
            <sz val="11"/>
            <rFont val="Calibri"/>
          </rPr>
          <t>The Cisco switch must be configured to automatically audit account disabling actions.</t>
        </r>
      </text>
    </comment>
    <comment ref="K31" authorId="0" shapeId="0" xr:uid="{00000000-0006-0000-0500-00007A000000}">
      <text>
        <r>
          <rPr>
            <sz val="11"/>
            <rFont val="Calibri"/>
          </rPr>
          <t>The Cisco switch must be configured to automatically audit account removal actions.</t>
        </r>
      </text>
    </comment>
    <comment ref="L31" authorId="0" shapeId="0" xr:uid="{00000000-0006-0000-0500-00007B000000}">
      <text>
        <r>
          <rPr>
            <sz val="11"/>
            <rFont val="Calibri"/>
          </rPr>
          <t>The Cisco device must be configured to audit all administrator activity.</t>
        </r>
      </text>
    </comment>
    <comment ref="M31" authorId="0" shapeId="0" xr:uid="{00000000-0006-0000-0500-00007C000000}">
      <text>
        <r>
          <rPr>
            <sz val="11"/>
            <rFont val="Calibri"/>
          </rPr>
          <t>The Cisco switch must be configured to limit privileges to change the software resident within software libraries.</t>
        </r>
      </text>
    </comment>
    <comment ref="N31" authorId="0" shapeId="0" xr:uid="{00000000-0006-0000-0500-00007D000000}">
      <text>
        <r>
          <rPr>
            <sz val="11"/>
            <rFont val="Calibri"/>
          </rPr>
          <t>The Cisco switch must be configured with only one local account to be used as the account of last resort in the event the authentication server is unavailable.</t>
        </r>
      </text>
    </comment>
    <comment ref="O31" authorId="0" shapeId="0" xr:uid="{00000000-0006-0000-0500-00007E000000}">
      <text>
        <r>
          <rPr>
            <sz val="11"/>
            <rFont val="Calibri"/>
          </rPr>
          <t>The Cisco switch must be configured to automatically audit account enabling actions.</t>
        </r>
      </text>
    </comment>
    <comment ref="P31" authorId="0" shapeId="0" xr:uid="{00000000-0006-0000-0500-00007F000000}">
      <text>
        <r>
          <rPr>
            <sz val="11"/>
            <rFont val="Calibri"/>
          </rPr>
          <t>The Cisco switch must be configured to generate log records when administrator privileges are deleted.</t>
        </r>
      </text>
    </comment>
    <comment ref="Q31" authorId="0" shapeId="0" xr:uid="{00000000-0006-0000-0500-000080000000}">
      <text>
        <r>
          <rPr>
            <sz val="11"/>
            <rFont val="Calibri"/>
          </rPr>
          <t>The Cisco switch must be configured to generate log records for privileged activities.</t>
        </r>
      </text>
    </comment>
    <comment ref="H41" authorId="0" shapeId="0" xr:uid="{00000000-0006-0000-0500-000081000000}">
      <text>
        <r>
          <rPr>
            <sz val="11"/>
            <rFont val="Calibri"/>
          </rPr>
          <t>The Cisco switch must be running an IOS release that is currently supported by Cisco Systems.</t>
        </r>
      </text>
    </comment>
    <comment ref="H43" authorId="0" shapeId="0" xr:uid="{00000000-0006-0000-0500-000082000000}">
      <text>
        <r>
          <rPr>
            <sz val="11"/>
            <rFont val="Calibri"/>
          </rPr>
          <t>The Cisco switch must be configured to enforce approved authorizations for controlling the flow of management information within the device based on control policies.</t>
        </r>
      </text>
    </comment>
    <comment ref="I43" authorId="0" shapeId="0" xr:uid="{00000000-0006-0000-0500-000083000000}">
      <text>
        <r>
          <rPr>
            <sz val="11"/>
            <rFont val="Calibri"/>
          </rPr>
          <t>The Cisco switch must be configured to enforce approved authorizations for controlling the flow of information within the network based on organization-defined information flow control policies.</t>
        </r>
      </text>
    </comment>
    <comment ref="J43" authorId="0" shapeId="0" xr:uid="{00000000-0006-0000-0500-000084000000}">
      <text>
        <r>
          <rPr>
            <sz val="11"/>
            <rFont val="Calibri"/>
          </rPr>
          <t>The Cisco perimeter switch must be configured to enforce approved authorizations for controlling the flow of information between interconnected networks in accordance with applicable policy.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Cisco switch must be configured to automatically audit account creation.</t>
        </r>
      </text>
    </comment>
    <comment ref="K3" authorId="0" shapeId="0" xr:uid="{00000000-0006-0000-0600-000008000000}">
      <text>
        <r>
          <rPr>
            <sz val="11"/>
            <rFont val="Calibri"/>
          </rPr>
          <t>The Cisco switch must be configured to automatically audit account modification.</t>
        </r>
      </text>
    </comment>
    <comment ref="L3" authorId="0" shapeId="0" xr:uid="{00000000-0006-0000-0600-000002000000}">
      <text>
        <r>
          <rPr>
            <sz val="11"/>
            <rFont val="Calibri"/>
          </rPr>
          <t>The Cisco switch must be configured to automatically audit account disabling actions.</t>
        </r>
      </text>
    </comment>
    <comment ref="M3" authorId="0" shapeId="0" xr:uid="{00000000-0006-0000-0600-000003000000}">
      <text>
        <r>
          <rPr>
            <sz val="11"/>
            <rFont val="Calibri"/>
          </rPr>
          <t>The Cisco switch must be configured to automatically audit account removal actions.</t>
        </r>
      </text>
    </comment>
    <comment ref="N3" authorId="0" shapeId="0" xr:uid="{00000000-0006-0000-0600-000004000000}">
      <text>
        <r>
          <rPr>
            <sz val="11"/>
            <rFont val="Calibri"/>
          </rPr>
          <t>The Cisco switch must be configured to enforce approved authorizations for controlling the flow of management information within the device based on control policies.</t>
        </r>
      </text>
    </comment>
    <comment ref="O3" authorId="0" shapeId="0" xr:uid="{00000000-0006-0000-0600-000005000000}">
      <text>
        <r>
          <rPr>
            <sz val="11"/>
            <rFont val="Calibri"/>
          </rPr>
          <t>The Cisco switch must be configured to automatically audit account enabling actions.</t>
        </r>
      </text>
    </comment>
    <comment ref="P3" authorId="0" shapeId="0" xr:uid="{00000000-0006-0000-0600-000006000000}">
      <text>
        <r>
          <rPr>
            <sz val="11"/>
            <rFont val="Calibri"/>
          </rPr>
          <t>The Cisco switch must be configured to enforce approved authorizations for controlling the flow of information within the network based on organization-defined information flow control policies.</t>
        </r>
      </text>
    </comment>
    <comment ref="Q3" authorId="0" shapeId="0" xr:uid="{00000000-0006-0000-0600-000007000000}">
      <text>
        <r>
          <rPr>
            <sz val="11"/>
            <rFont val="Calibri"/>
          </rPr>
          <t>The Cisco perimeter switch must be configured to enforce approved authorizations for controlling the flow of information between interconnected networks in accordance with applicable policy.</t>
        </r>
      </text>
    </comment>
    <comment ref="J5" authorId="0" shapeId="0" xr:uid="{00000000-0006-0000-0600-000009000000}">
      <text>
        <r>
          <rPr>
            <sz val="11"/>
            <rFont val="Calibri"/>
          </rPr>
          <t>The Cisco switch must be configured to enforce approved authorizations for controlling the flow of management information within the device based on control policies.</t>
        </r>
      </text>
    </comment>
    <comment ref="K5" authorId="0" shapeId="0" xr:uid="{00000000-0006-0000-0600-00000A000000}">
      <text>
        <r>
          <rPr>
            <sz val="11"/>
            <rFont val="Calibri"/>
          </rPr>
          <t>The Cisco switch must be configured to enforce approved authorizations for controlling the flow of information within the network based on organization-defined information flow control policies.</t>
        </r>
      </text>
    </comment>
    <comment ref="L5" authorId="0" shapeId="0" xr:uid="{00000000-0006-0000-0600-00000B000000}">
      <text>
        <r>
          <rPr>
            <sz val="11"/>
            <rFont val="Calibri"/>
          </rPr>
          <t>The Cisco perimeter switch must be configured to deny network traffic by default and allow network traffic by exception.</t>
        </r>
      </text>
    </comment>
    <comment ref="M5" authorId="0" shapeId="0" xr:uid="{00000000-0006-0000-0600-00000C000000}">
      <text>
        <r>
          <rPr>
            <sz val="11"/>
            <rFont val="Calibri"/>
          </rPr>
          <t>The Cisco perimeter switch must be configured to enforce approved authorizations for controlling the flow of information between interconnected networks in accordance with applicable policy.</t>
        </r>
      </text>
    </comment>
    <comment ref="N5" authorId="0" shapeId="0" xr:uid="{00000000-0006-0000-0600-00000D000000}">
      <text>
        <r>
          <rPr>
            <sz val="11"/>
            <rFont val="Calibri"/>
          </rPr>
          <t>The Cisco perimeter switch must be configured to block inbound packets with source Bogon IP address prefixes.</t>
        </r>
      </text>
    </comment>
    <comment ref="O5" authorId="0" shapeId="0" xr:uid="{00000000-0006-0000-0600-00000E000000}">
      <text>
        <r>
          <rPr>
            <sz val="11"/>
            <rFont val="Calibri"/>
          </rPr>
          <t>The Cisco perimeter switch must be configured to filter traffic destined to the enclave in accordance with the guidelines contained in DoD Instruction 8551.1.</t>
        </r>
      </text>
    </comment>
    <comment ref="P5" authorId="0" shapeId="0" xr:uid="{00000000-0006-0000-0600-00000F000000}">
      <text>
        <r>
          <rPr>
            <sz val="11"/>
            <rFont val="Calibri"/>
          </rPr>
          <t>The Cisco perimeter switch must be configured to filter ingress traffic at the external interface on an inbound direction.</t>
        </r>
      </text>
    </comment>
    <comment ref="Q5" authorId="0" shapeId="0" xr:uid="{00000000-0006-0000-0600-000010000000}">
      <text>
        <r>
          <rPr>
            <sz val="11"/>
            <rFont val="Calibri"/>
          </rPr>
          <t>The Cisco perimeter switch must be configured to filter egress traffic at the internal interface on an inbound direction.</t>
        </r>
      </text>
    </comment>
    <comment ref="J7" authorId="0" shapeId="0" xr:uid="{00000000-0006-0000-0600-000011000000}">
      <text>
        <r>
          <rPr>
            <sz val="11"/>
            <rFont val="Calibri"/>
          </rPr>
          <t>The Cisco device must be configured to audit all administrator activity.</t>
        </r>
      </text>
    </comment>
    <comment ref="K7" authorId="0" shapeId="0" xr:uid="{00000000-0006-0000-0600-000012000000}">
      <text>
        <r>
          <rPr>
            <sz val="11"/>
            <rFont val="Calibri"/>
          </rPr>
          <t>The Cisco switch must be configured to limit privileges to change the software resident within software libraries.</t>
        </r>
      </text>
    </comment>
    <comment ref="L7" authorId="0" shapeId="0" xr:uid="{00000000-0006-0000-0600-000013000000}">
      <text>
        <r>
          <rPr>
            <sz val="11"/>
            <rFont val="Calibri"/>
          </rPr>
          <t>The Cisco switch must be configured with only one local account to be used as the account of last resort in the event the authentication server is unavailable.</t>
        </r>
      </text>
    </comment>
    <comment ref="J8" authorId="0" shapeId="0" xr:uid="{00000000-0006-0000-0600-000014000000}">
      <text>
        <r>
          <rPr>
            <sz val="11"/>
            <rFont val="Calibri"/>
          </rPr>
          <t>The Cisco device must be configured to audit all administrator activity.</t>
        </r>
      </text>
    </comment>
    <comment ref="K8" authorId="0" shapeId="0" xr:uid="{00000000-0006-0000-0600-000015000000}">
      <text>
        <r>
          <rPr>
            <sz val="11"/>
            <rFont val="Calibri"/>
          </rPr>
          <t>The Cisco switch must be configured to limit privileges to change the software resident within software libraries.</t>
        </r>
      </text>
    </comment>
    <comment ref="J12" authorId="0" shapeId="0" xr:uid="{00000000-0006-0000-0600-000016000000}">
      <text>
        <r>
          <rPr>
            <sz val="11"/>
            <rFont val="Calibri"/>
          </rPr>
          <t>The Cisco switch must be configured to limit the number of concurrent management sessions to an organization-defined number.</t>
        </r>
      </text>
    </comment>
    <comment ref="J13" authorId="0" shapeId="0" xr:uid="{00000000-0006-0000-0600-000017000000}">
      <text>
        <r>
          <rPr>
            <sz val="11"/>
            <rFont val="Calibri"/>
          </rPr>
          <t>The Cisco switch must be configured to terminate all network connections associated with device management after five minutes of inactivity.</t>
        </r>
      </text>
    </comment>
    <comment ref="J23" authorId="0" shapeId="0" xr:uid="{00000000-0006-0000-0600-000018000000}">
      <text>
        <r>
          <rPr>
            <sz val="11"/>
            <rFont val="Calibri"/>
          </rPr>
          <t>The Cisco switch must be configured to automatically audit account creation.</t>
        </r>
      </text>
    </comment>
    <comment ref="K23" authorId="0" shapeId="0" xr:uid="{00000000-0006-0000-0600-000020000000}">
      <text>
        <r>
          <rPr>
            <sz val="11"/>
            <rFont val="Calibri"/>
          </rPr>
          <t>The Cisco switch must be configured to automatically audit account modification.</t>
        </r>
      </text>
    </comment>
    <comment ref="L23" authorId="0" shapeId="0" xr:uid="{00000000-0006-0000-0600-000021000000}">
      <text>
        <r>
          <rPr>
            <sz val="11"/>
            <rFont val="Calibri"/>
          </rPr>
          <t>The Cisco switch must be configured to automatically audit account disabling actions.</t>
        </r>
      </text>
    </comment>
    <comment ref="M23" authorId="0" shapeId="0" xr:uid="{00000000-0006-0000-0600-000022000000}">
      <text>
        <r>
          <rPr>
            <sz val="11"/>
            <rFont val="Calibri"/>
          </rPr>
          <t>The Cisco switch must be configured to automatically audit account removal actions.</t>
        </r>
      </text>
    </comment>
    <comment ref="N23" authorId="0" shapeId="0" xr:uid="{00000000-0006-0000-0600-000023000000}">
      <text>
        <r>
          <rPr>
            <sz val="11"/>
            <rFont val="Calibri"/>
          </rPr>
          <t>The Cisco switch must produce audit records containing information to establish when (date and time) the events occurred.</t>
        </r>
      </text>
    </comment>
    <comment ref="O23" authorId="0" shapeId="0" xr:uid="{00000000-0006-0000-0600-000024000000}">
      <text>
        <r>
          <rPr>
            <sz val="11"/>
            <rFont val="Calibri"/>
          </rPr>
          <t>The Cisco switch must produce audit records containing information to establish where the events occurred.</t>
        </r>
      </text>
    </comment>
    <comment ref="P23" authorId="0" shapeId="0" xr:uid="{00000000-0006-0000-0600-000025000000}">
      <text>
        <r>
          <rPr>
            <sz val="11"/>
            <rFont val="Calibri"/>
          </rPr>
          <t>The Cisco switch must be configured to generate audit records containing the full-text recording of privileged commands.</t>
        </r>
      </text>
    </comment>
    <comment ref="Q23" authorId="0" shapeId="0" xr:uid="{00000000-0006-0000-0600-000026000000}">
      <text>
        <r>
          <rPr>
            <sz val="11"/>
            <rFont val="Calibri"/>
          </rPr>
          <t>The Cisco switch must be configured to automatically audit account enabling actions.</t>
        </r>
      </text>
    </comment>
    <comment ref="R23" authorId="0" shapeId="0" xr:uid="{00000000-0006-0000-0600-000019000000}">
      <text>
        <r>
          <rPr>
            <sz val="11"/>
            <rFont val="Calibri"/>
          </rPr>
          <t>The Cisco switch must be configured to allocate audit record storage capacity in accordance with organization-defined audit record storage requirements.</t>
        </r>
      </text>
    </comment>
    <comment ref="S23" authorId="0" shapeId="0" xr:uid="{00000000-0006-0000-0600-00001A000000}">
      <text>
        <r>
          <rPr>
            <sz val="11"/>
            <rFont val="Calibri"/>
          </rPr>
          <t>The Cisco switch must be configured to generate log records when administrator privileges are deleted.</t>
        </r>
      </text>
    </comment>
    <comment ref="T23" authorId="0" shapeId="0" xr:uid="{00000000-0006-0000-0600-00001B000000}">
      <text>
        <r>
          <rPr>
            <sz val="11"/>
            <rFont val="Calibri"/>
          </rPr>
          <t>The Cisco switch must be configured to generate audit records when successful/unsuccessful logon attempts occur.</t>
        </r>
      </text>
    </comment>
    <comment ref="U23" authorId="0" shapeId="0" xr:uid="{00000000-0006-0000-0600-00001C000000}">
      <text>
        <r>
          <rPr>
            <sz val="11"/>
            <rFont val="Calibri"/>
          </rPr>
          <t>The Cisco switch must be configured to generate log records for privileged activities.</t>
        </r>
      </text>
    </comment>
    <comment ref="V23" authorId="0" shapeId="0" xr:uid="{00000000-0006-0000-0600-00001D000000}">
      <text>
        <r>
          <rPr>
            <sz val="11"/>
            <rFont val="Calibri"/>
          </rPr>
          <t>The Cisco switch must be configured to send log data to at least two central log servers for the purpose of forwarding alerts to the administrators and the information system security officer (ISSO).</t>
        </r>
      </text>
    </comment>
    <comment ref="W23" authorId="0" shapeId="0" xr:uid="{00000000-0006-0000-0600-00001E000000}">
      <text>
        <r>
          <rPr>
            <sz val="11"/>
            <rFont val="Calibri"/>
          </rPr>
          <t>The Cisco switch must be configured to produce audit records containing information to establish where the events occurred.</t>
        </r>
      </text>
    </comment>
    <comment ref="X23" authorId="0" shapeId="0" xr:uid="{00000000-0006-0000-0600-00001F000000}">
      <text>
        <r>
          <rPr>
            <sz val="11"/>
            <rFont val="Calibri"/>
          </rPr>
          <t>The Cisco switch must be configured to produce audit records containing information to establish the source of the events.</t>
        </r>
      </text>
    </comment>
    <comment ref="J24" authorId="0" shapeId="0" xr:uid="{00000000-0006-0000-0600-000027000000}">
      <text>
        <r>
          <rPr>
            <sz val="11"/>
            <rFont val="Calibri"/>
          </rPr>
          <t>The Cisco device must be configured to audit all administrator activity.</t>
        </r>
      </text>
    </comment>
    <comment ref="K24" authorId="0" shapeId="0" xr:uid="{00000000-0006-0000-0600-000028000000}">
      <text>
        <r>
          <rPr>
            <sz val="11"/>
            <rFont val="Calibri"/>
          </rPr>
          <t>The Cisco switch must be configured to generate audit records containing the full-text recording of privileged commands.</t>
        </r>
      </text>
    </comment>
    <comment ref="L24" authorId="0" shapeId="0" xr:uid="{00000000-0006-0000-0600-000029000000}">
      <text>
        <r>
          <rPr>
            <sz val="11"/>
            <rFont val="Calibri"/>
          </rPr>
          <t>The Cisco switch must be configured to limit privileges to change the software resident within software libraries.</t>
        </r>
      </text>
    </comment>
    <comment ref="M24" authorId="0" shapeId="0" xr:uid="{00000000-0006-0000-0600-00002A000000}">
      <text>
        <r>
          <rPr>
            <sz val="11"/>
            <rFont val="Calibri"/>
          </rPr>
          <t>The Cisco switch must be configured to allocate audit record storage capacity in accordance with organization-defined audit record storage requirements.</t>
        </r>
      </text>
    </comment>
    <comment ref="N24" authorId="0" shapeId="0" xr:uid="{00000000-0006-0000-0600-00002B000000}">
      <text>
        <r>
          <rPr>
            <sz val="11"/>
            <rFont val="Calibri"/>
          </rPr>
          <t>The Cisco switch must be configured to generate log records when administrator privileges are deleted.</t>
        </r>
      </text>
    </comment>
    <comment ref="O24" authorId="0" shapeId="0" xr:uid="{00000000-0006-0000-0600-00002C000000}">
      <text>
        <r>
          <rPr>
            <sz val="11"/>
            <rFont val="Calibri"/>
          </rPr>
          <t>The Cisco switch must be configured to generate audit records when successful/unsuccessful logon attempts occur.</t>
        </r>
      </text>
    </comment>
    <comment ref="P24" authorId="0" shapeId="0" xr:uid="{00000000-0006-0000-0600-00002D000000}">
      <text>
        <r>
          <rPr>
            <sz val="11"/>
            <rFont val="Calibri"/>
          </rPr>
          <t>The Cisco switch must be configured to generate log records for privileged activities.</t>
        </r>
      </text>
    </comment>
    <comment ref="Q24" authorId="0" shapeId="0" xr:uid="{00000000-0006-0000-0600-00002E000000}">
      <text>
        <r>
          <rPr>
            <sz val="11"/>
            <rFont val="Calibri"/>
          </rPr>
          <t>The Cisco switch must be configured to produce audit records containing information to establish the source of the events.</t>
        </r>
      </text>
    </comment>
    <comment ref="J26" authorId="0" shapeId="0" xr:uid="{00000000-0006-0000-0600-00002F000000}">
      <text>
        <r>
          <rPr>
            <sz val="11"/>
            <rFont val="Calibri"/>
          </rPr>
          <t>The Cisco switch must be configured to generate an alert for all audit failure events.</t>
        </r>
      </text>
    </comment>
    <comment ref="K26" authorId="0" shapeId="0" xr:uid="{00000000-0006-0000-0600-000030000000}">
      <text>
        <r>
          <rPr>
            <sz val="11"/>
            <rFont val="Calibri"/>
          </rPr>
          <t>The Cisco switch must be configured to send log data to at least two central log servers for the purpose of forwarding alerts to the administrators and the information system security officer (ISSO).</t>
        </r>
      </text>
    </comment>
    <comment ref="J29" authorId="0" shapeId="0" xr:uid="{00000000-0006-0000-0600-000031000000}">
      <text>
        <r>
          <rPr>
            <sz val="11"/>
            <rFont val="Calibri"/>
          </rPr>
          <t>The Cisco switch must produce audit records containing information to establish when (date and time) the events occurred.</t>
        </r>
      </text>
    </comment>
    <comment ref="K29" authorId="0" shapeId="0" xr:uid="{00000000-0006-0000-0600-000032000000}">
      <text>
        <r>
          <rPr>
            <sz val="11"/>
            <rFont val="Calibri"/>
          </rPr>
          <t>The Cisco switch must be configured to synchronize its clock with the primary and secondary time sources using redundant authoritative time sources.</t>
        </r>
      </text>
    </comment>
    <comment ref="L29" authorId="0" shapeId="0" xr:uid="{00000000-0006-0000-0600-000033000000}">
      <text>
        <r>
          <rPr>
            <sz val="11"/>
            <rFont val="Calibri"/>
          </rPr>
          <t>The Cisco switch must be configured to authenticate Network Time Protocol (NTP) sources using authentication that is cryptographically based.</t>
        </r>
      </text>
    </comment>
    <comment ref="J37" authorId="0" shapeId="0" xr:uid="{00000000-0006-0000-0600-000034000000}">
      <text>
        <r>
          <rPr>
            <sz val="11"/>
            <rFont val="Calibri"/>
          </rPr>
          <t>The Cisco switch must be configured to prohibit the use of all unnecessary and nonsecure functions and services.</t>
        </r>
      </text>
    </comment>
    <comment ref="K37" authorId="0" shapeId="0" xr:uid="{00000000-0006-0000-0600-000035000000}">
      <text>
        <r>
          <rPr>
            <sz val="11"/>
            <rFont val="Calibri"/>
          </rPr>
          <t>The Cisco switch must be configured to have all inactive layer 3 interfaces disabled.</t>
        </r>
      </text>
    </comment>
    <comment ref="L37" authorId="0" shapeId="0" xr:uid="{00000000-0006-0000-0600-000036000000}">
      <text>
        <r>
          <rPr>
            <sz val="11"/>
            <rFont val="Calibri"/>
          </rPr>
          <t>The Cisco switch must not be configured to have any zero-touch deployment feature enabled when connected to an operational network.</t>
        </r>
      </text>
    </comment>
    <comment ref="M37" authorId="0" shapeId="0" xr:uid="{00000000-0006-0000-0600-000037000000}">
      <text>
        <r>
          <rPr>
            <sz val="11"/>
            <rFont val="Calibri"/>
          </rPr>
          <t>The Cisco perimeter switch must be configured to have Link Layer Discovery Protocol (LLDP) disabled on all external interfaces.</t>
        </r>
      </text>
    </comment>
    <comment ref="N37" authorId="0" shapeId="0" xr:uid="{00000000-0006-0000-0600-000038000000}">
      <text>
        <r>
          <rPr>
            <sz val="11"/>
            <rFont val="Calibri"/>
          </rPr>
          <t>The Cisco perimeter switch must be configured to have Cisco Discovery Protocol (CDP) disabled on all external interfaces.</t>
        </r>
      </text>
    </comment>
    <comment ref="J38" authorId="0" shapeId="0" xr:uid="{00000000-0006-0000-0600-000039000000}">
      <text>
        <r>
          <rPr>
            <sz val="11"/>
            <rFont val="Calibri"/>
          </rPr>
          <t>The Cisco switch must be configured to prohibit the use of all unnecessary and nonsecure functions and services.</t>
        </r>
      </text>
    </comment>
    <comment ref="J43" authorId="0" shapeId="0" xr:uid="{00000000-0006-0000-0600-00003A000000}">
      <text>
        <r>
          <rPr>
            <sz val="11"/>
            <rFont val="Calibri"/>
          </rPr>
          <t>The Cisco switch must be configured with only one local account to be used as the account of last resort in the event the authentication server is unavailable.</t>
        </r>
      </text>
    </comment>
    <comment ref="K43" authorId="0" shapeId="0" xr:uid="{00000000-0006-0000-0600-00003B000000}">
      <text>
        <r>
          <rPr>
            <sz val="11"/>
            <rFont val="Calibri"/>
          </rPr>
          <t>The Cisco switch must be configured to use at least two authentication servers for the purpose of authenticating users prior to granting administrative access.</t>
        </r>
      </text>
    </comment>
    <comment ref="J44" authorId="0" shapeId="0" xr:uid="{00000000-0006-0000-0600-00003C000000}">
      <text>
        <r>
          <rPr>
            <sz val="11"/>
            <rFont val="Calibri"/>
          </rPr>
          <t>The Cisco switch must be configured to use at least two authentication servers for the purpose of authenticating users prior to granting administrative access.</t>
        </r>
      </text>
    </comment>
    <comment ref="J47" authorId="0" shapeId="0" xr:uid="{00000000-0006-0000-0600-00003D000000}">
      <text>
        <r>
          <rPr>
            <sz val="11"/>
            <rFont val="Calibri"/>
          </rPr>
          <t>The Cisco switch must be configured to enforce the limit of three consecutive invalid logon attempts, after which time it must lock out the user account from accessing the device for 15 minutes.</t>
        </r>
      </text>
    </comment>
    <comment ref="J48" authorId="0" shapeId="0" xr:uid="{00000000-0006-0000-0600-00003E000000}">
      <text>
        <r>
          <rPr>
            <sz val="11"/>
            <rFont val="Calibri"/>
          </rPr>
          <t>The Cisco switch must be configured to enforce a minimum 15-character password length.</t>
        </r>
      </text>
    </comment>
    <comment ref="K48" authorId="0" shapeId="0" xr:uid="{00000000-0006-0000-0600-00003F000000}">
      <text>
        <r>
          <rPr>
            <sz val="11"/>
            <rFont val="Calibri"/>
          </rPr>
          <t>The Cisco switch must be configured to enforce password complexity by requiring that at least one uppercase character be used.</t>
        </r>
      </text>
    </comment>
    <comment ref="L48" authorId="0" shapeId="0" xr:uid="{00000000-0006-0000-0600-000040000000}">
      <text>
        <r>
          <rPr>
            <sz val="11"/>
            <rFont val="Calibri"/>
          </rPr>
          <t>The Cisco switch must be configured to enforce password complexity by requiring that at least one lowercase character be used.</t>
        </r>
      </text>
    </comment>
    <comment ref="M48" authorId="0" shapeId="0" xr:uid="{00000000-0006-0000-0600-000041000000}">
      <text>
        <r>
          <rPr>
            <sz val="11"/>
            <rFont val="Calibri"/>
          </rPr>
          <t>The Cisco switch must be configured to enforce password complexity by requiring that at least one numeric character be used.</t>
        </r>
      </text>
    </comment>
    <comment ref="N48" authorId="0" shapeId="0" xr:uid="{00000000-0006-0000-0600-000042000000}">
      <text>
        <r>
          <rPr>
            <sz val="11"/>
            <rFont val="Calibri"/>
          </rPr>
          <t>The Cisco switch must be configured to enforce password complexity by requiring that at least one special character be used.</t>
        </r>
      </text>
    </comment>
    <comment ref="J50" authorId="0" shapeId="0" xr:uid="{00000000-0006-0000-0600-000043000000}">
      <text>
        <r>
          <rPr>
            <sz val="11"/>
            <rFont val="Calibri"/>
          </rPr>
          <t>The Cisco switch must be configured to enforce a minimum 15-character password length.</t>
        </r>
      </text>
    </comment>
    <comment ref="K50" authorId="0" shapeId="0" xr:uid="{00000000-0006-0000-0600-000044000000}">
      <text>
        <r>
          <rPr>
            <sz val="11"/>
            <rFont val="Calibri"/>
          </rPr>
          <t>The Cisco switch must be configured to enforce password complexity by requiring that at least one uppercase character be used.</t>
        </r>
      </text>
    </comment>
    <comment ref="L50" authorId="0" shapeId="0" xr:uid="{00000000-0006-0000-0600-000045000000}">
      <text>
        <r>
          <rPr>
            <sz val="11"/>
            <rFont val="Calibri"/>
          </rPr>
          <t>The Cisco switch must be configured to enforce password complexity by requiring that at least one lowercase character be used.</t>
        </r>
      </text>
    </comment>
    <comment ref="M50" authorId="0" shapeId="0" xr:uid="{00000000-0006-0000-0600-000046000000}">
      <text>
        <r>
          <rPr>
            <sz val="11"/>
            <rFont val="Calibri"/>
          </rPr>
          <t>The Cisco switch must be configured to enforce password complexity by requiring that at least one numeric character be used.</t>
        </r>
      </text>
    </comment>
    <comment ref="N50" authorId="0" shapeId="0" xr:uid="{00000000-0006-0000-0600-000047000000}">
      <text>
        <r>
          <rPr>
            <sz val="11"/>
            <rFont val="Calibri"/>
          </rPr>
          <t>The Cisco switch must be configured to enforce password complexity by requiring that at least one special character be used.</t>
        </r>
      </text>
    </comment>
    <comment ref="J68" authorId="0" shapeId="0" xr:uid="{00000000-0006-0000-0600-000048000000}">
      <text>
        <r>
          <rPr>
            <sz val="11"/>
            <rFont val="Calibri"/>
          </rPr>
          <t>The Cisco switch must be configured to support organizational requirements to conduct backups of the configuration when changes occur.</t>
        </r>
      </text>
    </comment>
    <comment ref="J70" authorId="0" shapeId="0" xr:uid="{00000000-0006-0000-0600-000049000000}">
      <text>
        <r>
          <rPr>
            <sz val="11"/>
            <rFont val="Calibri"/>
          </rPr>
          <t>The Cisco switch must be configured to display the Standard Mandatory DoD Notice and Consent Banner before granting access to the device.</t>
        </r>
      </text>
    </comment>
    <comment ref="J88" authorId="0" shapeId="0" xr:uid="{00000000-0006-0000-0600-00004A000000}">
      <text>
        <r>
          <rPr>
            <sz val="11"/>
            <rFont val="Calibri"/>
          </rPr>
          <t>The Cisco switch must uniquely identify and authenticate all network-connected endpoint devices before establishing any connection.</t>
        </r>
      </text>
    </comment>
    <comment ref="K88" authorId="0" shapeId="0" xr:uid="{00000000-0006-0000-0600-000064000000}">
      <text>
        <r>
          <rPr>
            <sz val="11"/>
            <rFont val="Calibri"/>
          </rPr>
          <t>The Cisco switch must have Root Guard enabled on all switch ports connecting to access layer switches.</t>
        </r>
      </text>
    </comment>
    <comment ref="L88" authorId="0" shapeId="0" xr:uid="{00000000-0006-0000-0600-000065000000}">
      <text>
        <r>
          <rPr>
            <sz val="11"/>
            <rFont val="Calibri"/>
          </rPr>
          <t>The Cisco switch must have BPDU Guard enabled on all user-facing or untrusted access switch ports.</t>
        </r>
      </text>
    </comment>
    <comment ref="M88" authorId="0" shapeId="0" xr:uid="{00000000-0006-0000-0600-000066000000}">
      <text>
        <r>
          <rPr>
            <sz val="11"/>
            <rFont val="Calibri"/>
          </rPr>
          <t>The Cisco switch must have STP Loop Guard enabled.</t>
        </r>
      </text>
    </comment>
    <comment ref="N88" authorId="0" shapeId="0" xr:uid="{00000000-0006-0000-0600-000067000000}">
      <text>
        <r>
          <rPr>
            <sz val="11"/>
            <rFont val="Calibri"/>
          </rPr>
          <t>The Cisco switch must have DHCP snooping for all user VLANs to validate DHCP messages from untrusted sources.</t>
        </r>
      </text>
    </comment>
    <comment ref="O88" authorId="0" shapeId="0" xr:uid="{00000000-0006-0000-0600-000068000000}">
      <text>
        <r>
          <rPr>
            <sz val="11"/>
            <rFont val="Calibri"/>
          </rPr>
          <t>The Cisco switch must have IP Source Guard enabled on all user-facing or untrusted access switch ports.</t>
        </r>
      </text>
    </comment>
    <comment ref="P88" authorId="0" shapeId="0" xr:uid="{00000000-0006-0000-0600-000069000000}">
      <text>
        <r>
          <rPr>
            <sz val="11"/>
            <rFont val="Calibri"/>
          </rPr>
          <t>The Cisco switch must have Dynamic Address Resolution Protocol (ARP) Inspection (DAI) enabled on all user VLANs.</t>
        </r>
      </text>
    </comment>
    <comment ref="Q88" authorId="0" shapeId="0" xr:uid="{00000000-0006-0000-0600-00006A000000}">
      <text>
        <r>
          <rPr>
            <sz val="11"/>
            <rFont val="Calibri"/>
          </rPr>
          <t>The Cisco switch must have IGMP or MLD Snooping configured on all VLANs.</t>
        </r>
      </text>
    </comment>
    <comment ref="R88" authorId="0" shapeId="0" xr:uid="{00000000-0006-0000-0600-00006B000000}">
      <text>
        <r>
          <rPr>
            <sz val="11"/>
            <rFont val="Calibri"/>
          </rPr>
          <t>The Cisco switch must implement Rapid STP where VLANs span multiple switches with redundant links.</t>
        </r>
      </text>
    </comment>
    <comment ref="S88" authorId="0" shapeId="0" xr:uid="{00000000-0006-0000-0600-00006C000000}">
      <text>
        <r>
          <rPr>
            <sz val="11"/>
            <rFont val="Calibri"/>
          </rPr>
          <t>The Cisco switch must enable Unidirectional Link Detection (UDLD) to protect against one-way connections.</t>
        </r>
      </text>
    </comment>
    <comment ref="T88" authorId="0" shapeId="0" xr:uid="{00000000-0006-0000-0600-00006D000000}">
      <text>
        <r>
          <rPr>
            <sz val="11"/>
            <rFont val="Calibri"/>
          </rPr>
          <t>The Cisco switch must have all trunk links enabled statically.</t>
        </r>
      </text>
    </comment>
    <comment ref="U88" authorId="0" shapeId="0" xr:uid="{00000000-0006-0000-0600-00006E000000}">
      <text>
        <r>
          <rPr>
            <sz val="11"/>
            <rFont val="Calibri"/>
          </rPr>
          <t>The Cisco switch must have all disabled switch ports assigned to an unused VLAN.</t>
        </r>
      </text>
    </comment>
    <comment ref="V88" authorId="0" shapeId="0" xr:uid="{00000000-0006-0000-0600-00006F000000}">
      <text>
        <r>
          <rPr>
            <sz val="11"/>
            <rFont val="Calibri"/>
          </rPr>
          <t>The Cisco switch must not have the default VLAN assigned to any host-facing switch ports.</t>
        </r>
      </text>
    </comment>
    <comment ref="W88" authorId="0" shapeId="0" xr:uid="{00000000-0006-0000-0600-000070000000}">
      <text>
        <r>
          <rPr>
            <sz val="11"/>
            <rFont val="Calibri"/>
          </rPr>
          <t>The Cisco switch must have the default VLAN pruned from all trunk ports that do not require it.</t>
        </r>
      </text>
    </comment>
    <comment ref="X88" authorId="0" shapeId="0" xr:uid="{00000000-0006-0000-0600-000071000000}">
      <text>
        <r>
          <rPr>
            <sz val="11"/>
            <rFont val="Calibri"/>
          </rPr>
          <t>The Cisco switch must not use the default VLAN for management traffic.</t>
        </r>
      </text>
    </comment>
    <comment ref="Y88" authorId="0" shapeId="0" xr:uid="{00000000-0006-0000-0600-00004B000000}">
      <text>
        <r>
          <rPr>
            <sz val="11"/>
            <rFont val="Calibri"/>
          </rPr>
          <t>The Cisco switch must have all user-facing or untrusted ports configured as access switch ports.</t>
        </r>
      </text>
    </comment>
    <comment ref="Z88" authorId="0" shapeId="0" xr:uid="{00000000-0006-0000-0600-00004C000000}">
      <text>
        <r>
          <rPr>
            <sz val="11"/>
            <rFont val="Calibri"/>
          </rPr>
          <t>The Cisco switch must have the native VLAN assigned to an ID other than the default VLAN for all 802.1q trunk links.</t>
        </r>
      </text>
    </comment>
    <comment ref="AA88" authorId="0" shapeId="0" xr:uid="{00000000-0006-0000-0600-00004D000000}">
      <text>
        <r>
          <rPr>
            <sz val="11"/>
            <rFont val="Calibri"/>
          </rPr>
          <t>The Cisco switch must not have any switchports assigned to the native VLAN.</t>
        </r>
      </text>
    </comment>
    <comment ref="AB88" authorId="0" shapeId="0" xr:uid="{00000000-0006-0000-0600-00004E000000}">
      <text>
        <r>
          <rPr>
            <sz val="11"/>
            <rFont val="Calibri"/>
          </rPr>
          <t>The Cisco switch must be configured to have Gratuitous ARP disabled on all external interfaces.</t>
        </r>
      </text>
    </comment>
    <comment ref="AC88" authorId="0" shapeId="0" xr:uid="{00000000-0006-0000-0600-00004F000000}">
      <text>
        <r>
          <rPr>
            <sz val="11"/>
            <rFont val="Calibri"/>
          </rPr>
          <t>The Cisco switch must be configured to have IP directed broadcast disabled on all interfaces.</t>
        </r>
      </text>
    </comment>
    <comment ref="AD88" authorId="0" shapeId="0" xr:uid="{00000000-0006-0000-0600-000050000000}">
      <text>
        <r>
          <rPr>
            <sz val="11"/>
            <rFont val="Calibri"/>
          </rPr>
          <t>The Cisco switch must be configured to have Internet Control Message Protocol (ICMP) unreachable messages disabled on all external interfaces.</t>
        </r>
      </text>
    </comment>
    <comment ref="AE88" authorId="0" shapeId="0" xr:uid="{00000000-0006-0000-0600-000051000000}">
      <text>
        <r>
          <rPr>
            <sz val="11"/>
            <rFont val="Calibri"/>
          </rPr>
          <t>The Cisco switch must be configured to have Internet Control Message Protocol (ICMP) mask reply messages disabled on all external interfaces.</t>
        </r>
      </text>
    </comment>
    <comment ref="AF88" authorId="0" shapeId="0" xr:uid="{00000000-0006-0000-0600-000052000000}">
      <text>
        <r>
          <rPr>
            <sz val="11"/>
            <rFont val="Calibri"/>
          </rPr>
          <t>The Cisco switch must be configured to have Internet Control Message Protocol (ICMP) redirect messages disabled on all external interfaces.</t>
        </r>
      </text>
    </comment>
    <comment ref="AG88" authorId="0" shapeId="0" xr:uid="{00000000-0006-0000-0600-000053000000}">
      <text>
        <r>
          <rPr>
            <sz val="11"/>
            <rFont val="Calibri"/>
          </rPr>
          <t>The Cisco perimeter switch must be configured to deny network traffic by default and allow network traffic by exception.</t>
        </r>
      </text>
    </comment>
    <comment ref="AH88" authorId="0" shapeId="0" xr:uid="{00000000-0006-0000-0600-000054000000}">
      <text>
        <r>
          <rPr>
            <sz val="11"/>
            <rFont val="Calibri"/>
          </rPr>
          <t>The Cisco perimeter switch must be configured to only allow incoming communications from authorized sources to be routed to authorized destinations.</t>
        </r>
      </text>
    </comment>
    <comment ref="AI88" authorId="0" shapeId="0" xr:uid="{00000000-0006-0000-0600-000055000000}">
      <text>
        <r>
          <rPr>
            <sz val="11"/>
            <rFont val="Calibri"/>
          </rPr>
          <t>The Cisco perimeter switch must be configured to block inbound packets with source Bogon IP address prefixes.</t>
        </r>
      </text>
    </comment>
    <comment ref="AJ88" authorId="0" shapeId="0" xr:uid="{00000000-0006-0000-0600-000056000000}">
      <text>
        <r>
          <rPr>
            <sz val="11"/>
            <rFont val="Calibri"/>
          </rPr>
          <t>The Cisco perimeter switch must be configured to restrict it from accepting outbound IP packets that contain an illegitimate address in the source address field via egress filter or by enabling Unicast Reverse Path Forwarding (uRPF).</t>
        </r>
      </text>
    </comment>
    <comment ref="AK88" authorId="0" shapeId="0" xr:uid="{00000000-0006-0000-0600-000057000000}">
      <text>
        <r>
          <rPr>
            <sz val="11"/>
            <rFont val="Calibri"/>
          </rPr>
          <t>The Cisco perimeter switch must be configured to filter traffic destined to the enclave in accordance with the guidelines contained in DoD Instruction 8551.1.</t>
        </r>
      </text>
    </comment>
    <comment ref="AL88" authorId="0" shapeId="0" xr:uid="{00000000-0006-0000-0600-000058000000}">
      <text>
        <r>
          <rPr>
            <sz val="11"/>
            <rFont val="Calibri"/>
          </rPr>
          <t>The Cisco perimeter switch must be configured to filter ingress traffic at the external interface on an inbound direction.</t>
        </r>
      </text>
    </comment>
    <comment ref="AM88" authorId="0" shapeId="0" xr:uid="{00000000-0006-0000-0600-000059000000}">
      <text>
        <r>
          <rPr>
            <sz val="11"/>
            <rFont val="Calibri"/>
          </rPr>
          <t>The Cisco perimeter switch must be configured to filter egress traffic at the internal interface on an inbound direction.</t>
        </r>
      </text>
    </comment>
    <comment ref="AN88" authorId="0" shapeId="0" xr:uid="{00000000-0006-0000-0600-00005A000000}">
      <text>
        <r>
          <rPr>
            <sz val="11"/>
            <rFont val="Calibri"/>
          </rPr>
          <t>The Cisco perimeter switch must be configured to block all packets with any IP options.</t>
        </r>
      </text>
    </comment>
    <comment ref="AO88" authorId="0" shapeId="0" xr:uid="{00000000-0006-0000-0600-00005B000000}">
      <text>
        <r>
          <rPr>
            <sz val="11"/>
            <rFont val="Calibri"/>
          </rPr>
          <t>The Cisco perimeter switch must be configured to have Proxy ARP disabled on all external interfaces.</t>
        </r>
      </text>
    </comment>
    <comment ref="AP88" authorId="0" shapeId="0" xr:uid="{00000000-0006-0000-0600-00005C000000}">
      <text>
        <r>
          <rPr>
            <sz val="11"/>
            <rFont val="Calibri"/>
          </rPr>
          <t>The Cisco perimeter switch must be configured to block all outbound management traffic.</t>
        </r>
      </text>
    </comment>
    <comment ref="AQ88" authorId="0" shapeId="0" xr:uid="{00000000-0006-0000-0600-00005D000000}">
      <text>
        <r>
          <rPr>
            <sz val="11"/>
            <rFont val="Calibri"/>
          </rPr>
          <t>The Cisco switch must be configured to only permit management traffic that ingresses and egresses the out-of-band management (OOBM) interface.</t>
        </r>
      </text>
    </comment>
    <comment ref="AR88" authorId="0" shapeId="0" xr:uid="{00000000-0006-0000-0600-00005E000000}">
      <text>
        <r>
          <rPr>
            <sz val="11"/>
            <rFont val="Calibri"/>
          </rPr>
          <t>The Cisco BGP switch must be configured to enable the Generalized TTL Security Mechanism (GTSM).</t>
        </r>
      </text>
    </comment>
    <comment ref="AS88" authorId="0" shapeId="0" xr:uid="{00000000-0006-0000-0600-00005F000000}">
      <text>
        <r>
          <rPr>
            <sz val="11"/>
            <rFont val="Calibri"/>
          </rPr>
          <t>The Cisco BGP switch must be configured to reject inbound route advertisements for any Bogon prefixes.</t>
        </r>
      </text>
    </comment>
    <comment ref="AT88" authorId="0" shapeId="0" xr:uid="{00000000-0006-0000-0600-000060000000}">
      <text>
        <r>
          <rPr>
            <sz val="11"/>
            <rFont val="Calibri"/>
          </rPr>
          <t>The Cisco BGP switch must be configured to reject inbound route advertisements for any prefixes belonging to the local autonomous system (AS).</t>
        </r>
      </text>
    </comment>
    <comment ref="AU88" authorId="0" shapeId="0" xr:uid="{00000000-0006-0000-0600-000061000000}">
      <text>
        <r>
          <rPr>
            <sz val="11"/>
            <rFont val="Calibri"/>
          </rPr>
          <t>The Cisco BGP switch must be configured to reject inbound route advertisements from a customer edge (CE) switch for prefixes that are not allocated to that customer.</t>
        </r>
      </text>
    </comment>
    <comment ref="AV88" authorId="0" shapeId="0" xr:uid="{00000000-0006-0000-0600-000062000000}">
      <text>
        <r>
          <rPr>
            <sz val="11"/>
            <rFont val="Calibri"/>
          </rPr>
          <t>The Cisco BGP switch must be configured to reject outbound route advertisements for any prefixes that do not belong to any customers or the local autonomous system (AS).</t>
        </r>
      </text>
    </comment>
    <comment ref="AW88" authorId="0" shapeId="0" xr:uid="{00000000-0006-0000-0600-000063000000}">
      <text>
        <r>
          <rPr>
            <sz val="11"/>
            <rFont val="Calibri"/>
          </rPr>
          <t>The Cisco BGP switch must be configured to reject outbound route advertisements for any prefixes belonging to the IP core.</t>
        </r>
      </text>
    </comment>
    <comment ref="J89" authorId="0" shapeId="0" xr:uid="{00000000-0006-0000-0600-000072000000}">
      <text>
        <r>
          <rPr>
            <sz val="11"/>
            <rFont val="Calibri"/>
          </rPr>
          <t>The Cisco switch must have IGMP or MLD Snooping configured on all VLANs.</t>
        </r>
      </text>
    </comment>
    <comment ref="K89" authorId="0" shapeId="0" xr:uid="{00000000-0006-0000-0600-000073000000}">
      <text>
        <r>
          <rPr>
            <sz val="11"/>
            <rFont val="Calibri"/>
          </rPr>
          <t>The Cisco switch must implement Rapid STP where VLANs span multiple switches with redundant links.</t>
        </r>
      </text>
    </comment>
    <comment ref="L89" authorId="0" shapeId="0" xr:uid="{00000000-0006-0000-0600-000074000000}">
      <text>
        <r>
          <rPr>
            <sz val="11"/>
            <rFont val="Calibri"/>
          </rPr>
          <t>The Cisco switch must have all disabled switch ports assigned to an unused VLAN.</t>
        </r>
      </text>
    </comment>
    <comment ref="M89" authorId="0" shapeId="0" xr:uid="{00000000-0006-0000-0600-000075000000}">
      <text>
        <r>
          <rPr>
            <sz val="11"/>
            <rFont val="Calibri"/>
          </rPr>
          <t>The Cisco switch must not have the default VLAN assigned to any host-facing switch ports.</t>
        </r>
      </text>
    </comment>
    <comment ref="N89" authorId="0" shapeId="0" xr:uid="{00000000-0006-0000-0600-000076000000}">
      <text>
        <r>
          <rPr>
            <sz val="11"/>
            <rFont val="Calibri"/>
          </rPr>
          <t>The Cisco switch must have the default VLAN pruned from all trunk ports that do not require it.</t>
        </r>
      </text>
    </comment>
    <comment ref="O89" authorId="0" shapeId="0" xr:uid="{00000000-0006-0000-0600-000077000000}">
      <text>
        <r>
          <rPr>
            <sz val="11"/>
            <rFont val="Calibri"/>
          </rPr>
          <t>The Cisco switch must not have any switchports assigned to the native VLAN.</t>
        </r>
      </text>
    </comment>
    <comment ref="P89" authorId="0" shapeId="0" xr:uid="{00000000-0006-0000-0600-000078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J91" authorId="0" shapeId="0" xr:uid="{00000000-0006-0000-0600-000079000000}">
      <text>
        <r>
          <rPr>
            <sz val="11"/>
            <rFont val="Calibri"/>
          </rPr>
          <t>The Cisco switch must be configured to authenticate SNMP messages using a FIPS-validated Keyed-Hash Message Authentication Code (HMAC).</t>
        </r>
      </text>
    </comment>
    <comment ref="K91" authorId="0" shapeId="0" xr:uid="{00000000-0006-0000-0600-00007A000000}">
      <text>
        <r>
          <rPr>
            <sz val="11"/>
            <rFont val="Calibri"/>
          </rPr>
          <t>The Cisco switch must be configured to encrypt SNMP messages using a FIPS 140-2 approved algorithm.</t>
        </r>
      </text>
    </comment>
    <comment ref="L91" authorId="0" shapeId="0" xr:uid="{00000000-0006-0000-0600-00007B000000}">
      <text>
        <r>
          <rPr>
            <sz val="11"/>
            <rFont val="Calibri"/>
          </rPr>
          <t>The Cisco switch must be configured to use FIPS-validated Keyed-Hash Message Authentication Code (HMAC) to protect the integrity of remote maintenance sessions.</t>
        </r>
      </text>
    </comment>
    <comment ref="M91" authorId="0" shapeId="0" xr:uid="{00000000-0006-0000-0600-00007C000000}">
      <text>
        <r>
          <rPr>
            <sz val="11"/>
            <rFont val="Calibri"/>
          </rPr>
          <t>The Cisco switch must be configured to implement cryptographic mechanisms to protect the confidentiality of remote maintenance sessions.</t>
        </r>
      </text>
    </comment>
    <comment ref="N91" authorId="0" shapeId="0" xr:uid="{00000000-0006-0000-0600-00007D000000}">
      <text>
        <r>
          <rPr>
            <sz val="11"/>
            <rFont val="Calibri"/>
          </rPr>
          <t>The Cisco switch must authenticate all VLAN Trunk Protocol (VTP) messages with a hash function using the most secured cryptographic algorithm available.</t>
        </r>
      </text>
    </comment>
    <comment ref="O91" authorId="0" shapeId="0" xr:uid="{00000000-0006-0000-0600-00007E000000}">
      <text>
        <r>
          <rPr>
            <sz val="11"/>
            <rFont val="Calibri"/>
          </rPr>
          <t>The Cisco switch must be configured to enable routing protocol authentication using FIPS 198-1 algorithms with keys not exceeding 180 days of lifetime.</t>
        </r>
      </text>
    </comment>
    <comment ref="P91" authorId="0" shapeId="0" xr:uid="{00000000-0006-0000-0600-00007F000000}">
      <text>
        <r>
          <rPr>
            <sz val="11"/>
            <rFont val="Calibri"/>
          </rPr>
          <t>The Cisco BGP switch must be configured to use a unique key for each autonomous system (AS) that it peers with.</t>
        </r>
      </text>
    </comment>
    <comment ref="Q91" authorId="0" shapeId="0" xr:uid="{00000000-0006-0000-0600-000080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J93" authorId="0" shapeId="0" xr:uid="{00000000-0006-0000-0600-000081000000}">
      <text>
        <r>
          <rPr>
            <sz val="11"/>
            <rFont val="Calibri"/>
          </rPr>
          <t>The Cisco switch must be configured to authenticate SNMP messages using a FIPS-validated Keyed-Hash Message Authentication Code (HMAC).</t>
        </r>
      </text>
    </comment>
    <comment ref="K93" authorId="0" shapeId="0" xr:uid="{00000000-0006-0000-0600-000082000000}">
      <text>
        <r>
          <rPr>
            <sz val="11"/>
            <rFont val="Calibri"/>
          </rPr>
          <t>The Cisco switch must be configured to encrypt SNMP messages using a FIPS 140-2 approved algorithm.</t>
        </r>
      </text>
    </comment>
    <comment ref="L93" authorId="0" shapeId="0" xr:uid="{00000000-0006-0000-0600-000083000000}">
      <text>
        <r>
          <rPr>
            <sz val="11"/>
            <rFont val="Calibri"/>
          </rPr>
          <t>The Cisco switch must be configured to use FIPS-validated Keyed-Hash Message Authentication Code (HMAC) to protect the integrity of remote maintenance sessions.</t>
        </r>
      </text>
    </comment>
    <comment ref="M93" authorId="0" shapeId="0" xr:uid="{00000000-0006-0000-0600-000084000000}">
      <text>
        <r>
          <rPr>
            <sz val="11"/>
            <rFont val="Calibri"/>
          </rPr>
          <t>The Cisco switch must be configured to implement cryptographic mechanisms to protect the confidentiality of remote maintenance sessions.</t>
        </r>
      </text>
    </comment>
    <comment ref="N93" authorId="0" shapeId="0" xr:uid="{00000000-0006-0000-0600-000085000000}">
      <text>
        <r>
          <rPr>
            <sz val="11"/>
            <rFont val="Calibri"/>
          </rPr>
          <t>The Cisco switch must be configured to obtain its public key certificates from an appropriate certificate policy through an approved service provider.</t>
        </r>
      </text>
    </comment>
    <comment ref="J94" authorId="0" shapeId="0" xr:uid="{00000000-0006-0000-0600-000086000000}">
      <text>
        <r>
          <rPr>
            <sz val="11"/>
            <rFont val="Calibri"/>
          </rPr>
          <t>The Cisco switch must only store cryptographic representations of passwords.</t>
        </r>
      </text>
    </comment>
    <comment ref="K94" authorId="0" shapeId="0" xr:uid="{00000000-0006-0000-0600-000087000000}">
      <text>
        <r>
          <rPr>
            <sz val="11"/>
            <rFont val="Calibri"/>
          </rPr>
          <t>The Cisco switch must be configured to authenticate SNMP messages using a FIPS-validated Keyed-Hash Message Authentication Code (HMAC).</t>
        </r>
      </text>
    </comment>
    <comment ref="L94" authorId="0" shapeId="0" xr:uid="{00000000-0006-0000-0600-000088000000}">
      <text>
        <r>
          <rPr>
            <sz val="11"/>
            <rFont val="Calibri"/>
          </rPr>
          <t>The Cisco switch must be configured to encrypt SNMP messages using a FIPS 140-2 approved algorithm.</t>
        </r>
      </text>
    </comment>
    <comment ref="M94" authorId="0" shapeId="0" xr:uid="{00000000-0006-0000-0600-000089000000}">
      <text>
        <r>
          <rPr>
            <sz val="11"/>
            <rFont val="Calibri"/>
          </rPr>
          <t>The Cisco switch must be configured to use FIPS-validated Keyed-Hash Message Authentication Code (HMAC) to protect the integrity of remote maintenance sessions.</t>
        </r>
      </text>
    </comment>
    <comment ref="N94" authorId="0" shapeId="0" xr:uid="{00000000-0006-0000-0600-00008A000000}">
      <text>
        <r>
          <rPr>
            <sz val="11"/>
            <rFont val="Calibri"/>
          </rPr>
          <t>The Cisco switch must be configured to implement cryptographic mechanisms to protect the confidentiality of remote maintenance sessions.</t>
        </r>
      </text>
    </comment>
    <comment ref="J99" authorId="0" shapeId="0" xr:uid="{00000000-0006-0000-0600-00008B000000}">
      <text>
        <r>
          <rPr>
            <sz val="11"/>
            <rFont val="Calibri"/>
          </rPr>
          <t>The Cisco switch must be running an IOS release that is currently supported by Cisco Systems.</t>
        </r>
      </text>
    </comment>
    <comment ref="J100" authorId="0" shapeId="0" xr:uid="{00000000-0006-0000-0600-00008C000000}">
      <text>
        <r>
          <rPr>
            <sz val="11"/>
            <rFont val="Calibri"/>
          </rPr>
          <t>The Cisco switch must manage excess bandwidth to limit the effects of packet flooding types of denial-of-service (DoS) attacks.</t>
        </r>
      </text>
    </comment>
    <comment ref="K100" authorId="0" shapeId="0" xr:uid="{00000000-0006-0000-0600-00008D000000}">
      <text>
        <r>
          <rPr>
            <sz val="11"/>
            <rFont val="Calibri"/>
          </rPr>
          <t>The Cisco switch must have Unknown Unicast Flood Blocking (UUFB) enabled.</t>
        </r>
      </text>
    </comment>
    <comment ref="L100" authorId="0" shapeId="0" xr:uid="{00000000-0006-0000-0600-00008E000000}">
      <text>
        <r>
          <rPr>
            <sz val="11"/>
            <rFont val="Calibri"/>
          </rPr>
          <t>The Cisco switch must have Storm Control configured on all host-facing switchports.</t>
        </r>
      </text>
    </comment>
    <comment ref="M100" authorId="0" shapeId="0" xr:uid="{00000000-0006-0000-0600-00008F000000}">
      <text>
        <r>
          <rPr>
            <sz val="11"/>
            <rFont val="Calibri"/>
          </rPr>
          <t>The Cisco switch must be configured to protect against or limit the effects of denial-of-service (DoS) attacks by employing control plane protection.</t>
        </r>
      </text>
    </comment>
    <comment ref="N100" authorId="0" shapeId="0" xr:uid="{00000000-0006-0000-0600-000090000000}">
      <text>
        <r>
          <rPr>
            <sz val="11"/>
            <rFont val="Calibri"/>
          </rPr>
          <t>The Cisco BGP switch must be configured to use the maximum prefixes feature to protect against route table flooding and prefix de-aggregation attacks.</t>
        </r>
      </text>
    </comment>
    <comment ref="O100" authorId="0" shapeId="0" xr:uid="{00000000-0006-0000-0600-000091000000}">
      <text>
        <r>
          <rPr>
            <sz val="11"/>
            <rFont val="Calibri"/>
          </rPr>
          <t>The Cisco PE switch providing Virtual Private LAN Services (VPLS) must be configured to have traffic storm control thresholds on CE-facing interfaces.</t>
        </r>
      </text>
    </comment>
    <comment ref="P100" authorId="0" shapeId="0" xr:uid="{00000000-0006-0000-0600-000092000000}">
      <text>
        <r>
          <rPr>
            <sz val="11"/>
            <rFont val="Calibri"/>
          </rPr>
          <t>The Cisco P switch must be configured to enforce a Quality-of-Service (QoS) policy to provide preferred treatment for mission-critical applications.</t>
        </r>
      </text>
    </comment>
    <comment ref="Q100" authorId="0" shapeId="0" xr:uid="{00000000-0006-0000-0600-000093000000}">
      <text>
        <r>
          <rPr>
            <sz val="11"/>
            <rFont val="Calibri"/>
          </rPr>
          <t>The Cisco switch must be configured to enforce a Quality-of-Service (QoS) policy to limit the effects of packet flooding denial-of-service (DoS) attacks.</t>
        </r>
      </text>
    </comment>
    <comment ref="R100" authorId="0" shapeId="0" xr:uid="{00000000-0006-0000-0600-000094000000}">
      <text>
        <r>
          <rPr>
            <sz val="11"/>
            <rFont val="Calibri"/>
          </rPr>
          <t>The Cisco multicast Rendezvous Point (RP) must be configured to rate limit the number of Protocol Independent Multicast (PIM) Register messages.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Cisco switch must be configured to enforce the limit of three consecutive invalid logon attempts, after which time it must lock out the user account from accessing the device for 15 minutes.</t>
        </r>
      </text>
    </comment>
    <comment ref="I89" authorId="0" shapeId="0" xr:uid="{00000000-0006-0000-0700-000008000000}">
      <text>
        <r>
          <rPr>
            <sz val="11"/>
            <rFont val="Calibri"/>
          </rPr>
          <t>The Cisco switch must be configured to enforce a minimum 15-character password length.</t>
        </r>
      </text>
    </comment>
    <comment ref="J89" authorId="0" shapeId="0" xr:uid="{00000000-0006-0000-0700-000002000000}">
      <text>
        <r>
          <rPr>
            <sz val="11"/>
            <rFont val="Calibri"/>
          </rPr>
          <t>The Cisco switch must be configured to enforce password complexity by requiring that at least one uppercase character be used.</t>
        </r>
      </text>
    </comment>
    <comment ref="K89" authorId="0" shapeId="0" xr:uid="{00000000-0006-0000-0700-000003000000}">
      <text>
        <r>
          <rPr>
            <sz val="11"/>
            <rFont val="Calibri"/>
          </rPr>
          <t>The Cisco switch must be configured to enforce password complexity by requiring that at least one lowercase character be used.</t>
        </r>
      </text>
    </comment>
    <comment ref="L89" authorId="0" shapeId="0" xr:uid="{00000000-0006-0000-0700-000004000000}">
      <text>
        <r>
          <rPr>
            <sz val="11"/>
            <rFont val="Calibri"/>
          </rPr>
          <t>The Cisco switch must be configured to enforce password complexity by requiring that at least one numeric character be used.</t>
        </r>
      </text>
    </comment>
    <comment ref="M89" authorId="0" shapeId="0" xr:uid="{00000000-0006-0000-0700-000005000000}">
      <text>
        <r>
          <rPr>
            <sz val="11"/>
            <rFont val="Calibri"/>
          </rPr>
          <t>The Cisco switch must be configured to enforce password complexity by requiring that at least one special character be used.</t>
        </r>
      </text>
    </comment>
    <comment ref="N89" authorId="0" shapeId="0" xr:uid="{00000000-0006-0000-0700-000006000000}">
      <text>
        <r>
          <rPr>
            <sz val="11"/>
            <rFont val="Calibri"/>
          </rPr>
          <t>The Cisco switch must only store cryptographic representations of passwords.</t>
        </r>
      </text>
    </comment>
    <comment ref="O89" authorId="0" shapeId="0" xr:uid="{00000000-0006-0000-0700-000007000000}">
      <text>
        <r>
          <rPr>
            <sz val="11"/>
            <rFont val="Calibri"/>
          </rPr>
          <t>The Cisco switch must be configured to terminate all network connections associated with device management after five minutes of inactivity.</t>
        </r>
      </text>
    </comment>
    <comment ref="H91" authorId="0" shapeId="0" xr:uid="{00000000-0006-0000-0700-000009000000}">
      <text>
        <r>
          <rPr>
            <sz val="11"/>
            <rFont val="Calibri"/>
          </rPr>
          <t>The Cisco switch must be configured to display the Standard Mandatory DoD Notice and Consent Banner before granting access to the device.</t>
        </r>
      </text>
    </comment>
    <comment ref="I91" authorId="0" shapeId="0" xr:uid="{00000000-0006-0000-0700-00000E000000}">
      <text>
        <r>
          <rPr>
            <sz val="11"/>
            <rFont val="Calibri"/>
          </rPr>
          <t>The Cisco switch must be configured to authenticate SNMP messages using a FIPS-validated Keyed-Hash Message Authentication Code (HMAC).</t>
        </r>
      </text>
    </comment>
    <comment ref="J91" authorId="0" shapeId="0" xr:uid="{00000000-0006-0000-0700-00000F000000}">
      <text>
        <r>
          <rPr>
            <sz val="11"/>
            <rFont val="Calibri"/>
          </rPr>
          <t>The Cisco switch must be configured to encrypt SNMP messages using a FIPS 140-2 approved algorithm.</t>
        </r>
      </text>
    </comment>
    <comment ref="K91" authorId="0" shapeId="0" xr:uid="{00000000-0006-0000-0700-000010000000}">
      <text>
        <r>
          <rPr>
            <sz val="11"/>
            <rFont val="Calibri"/>
          </rPr>
          <t>The Cisco switch must be configured to use FIPS-validated Keyed-Hash Message Authentication Code (HMAC) to protect the integrity of remote maintenance sessions.</t>
        </r>
      </text>
    </comment>
    <comment ref="L91" authorId="0" shapeId="0" xr:uid="{00000000-0006-0000-0700-000011000000}">
      <text>
        <r>
          <rPr>
            <sz val="11"/>
            <rFont val="Calibri"/>
          </rPr>
          <t>The Cisco switch must be configured to implement cryptographic mechanisms to protect the confidentiality of remote maintenance sessions.</t>
        </r>
      </text>
    </comment>
    <comment ref="M91" authorId="0" shapeId="0" xr:uid="{00000000-0006-0000-0700-000012000000}">
      <text>
        <r>
          <rPr>
            <sz val="11"/>
            <rFont val="Calibri"/>
          </rPr>
          <t>The Cisco switch must be configured to use at least two authentication servers for the purpose of authenticating users prior to granting administrative access.</t>
        </r>
      </text>
    </comment>
    <comment ref="N91" authorId="0" shapeId="0" xr:uid="{00000000-0006-0000-0700-000013000000}">
      <text>
        <r>
          <rPr>
            <sz val="11"/>
            <rFont val="Calibri"/>
          </rPr>
          <t>The Cisco switch must be configured to obtain its public key certificates from an appropriate certificate policy through an approved service provider.</t>
        </r>
      </text>
    </comment>
    <comment ref="O91" authorId="0" shapeId="0" xr:uid="{00000000-0006-0000-0700-000014000000}">
      <text>
        <r>
          <rPr>
            <sz val="11"/>
            <rFont val="Calibri"/>
          </rPr>
          <t>The Cisco switch must uniquely identify and authenticate all network-connected endpoint devices before establishing any connection.</t>
        </r>
      </text>
    </comment>
    <comment ref="P91" authorId="0" shapeId="0" xr:uid="{00000000-0006-0000-0700-00000A000000}">
      <text>
        <r>
          <rPr>
            <sz val="11"/>
            <rFont val="Calibri"/>
          </rPr>
          <t>The Cisco switch must authenticate all VLAN Trunk Protocol (VTP) messages with a hash function using the most secured cryptographic algorithm available.</t>
        </r>
      </text>
    </comment>
    <comment ref="Q91" authorId="0" shapeId="0" xr:uid="{00000000-0006-0000-0700-00000B000000}">
      <text>
        <r>
          <rPr>
            <sz val="11"/>
            <rFont val="Calibri"/>
          </rPr>
          <t>The Cisco switch must be configured to enable routing protocol authentication using FIPS 198-1 algorithms with keys not exceeding 180 days of lifetime.</t>
        </r>
      </text>
    </comment>
    <comment ref="R91" authorId="0" shapeId="0" xr:uid="{00000000-0006-0000-0700-00000C000000}">
      <text>
        <r>
          <rPr>
            <sz val="11"/>
            <rFont val="Calibri"/>
          </rPr>
          <t>The Cisco BGP switch must be configured to use a unique key for each autonomous system (AS) that it peers with.</t>
        </r>
      </text>
    </comment>
    <comment ref="S91" authorId="0" shapeId="0" xr:uid="{00000000-0006-0000-0700-00000D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92" authorId="0" shapeId="0" xr:uid="{00000000-0006-0000-0700-000015000000}">
      <text>
        <r>
          <rPr>
            <sz val="11"/>
            <rFont val="Calibri"/>
          </rPr>
          <t>The Cisco switch must uniquely identify and authenticate all network-connected endpoint devices before establishing any connection.</t>
        </r>
      </text>
    </comment>
    <comment ref="H93" authorId="0" shapeId="0" xr:uid="{00000000-0006-0000-0700-000016000000}">
      <text>
        <r>
          <rPr>
            <sz val="11"/>
            <rFont val="Calibri"/>
          </rPr>
          <t>The Cisco switch must be configured to limit the number of concurrent management sessions to an organization-defined number.</t>
        </r>
      </text>
    </comment>
    <comment ref="I93" authorId="0" shapeId="0" xr:uid="{00000000-0006-0000-0700-000017000000}">
      <text>
        <r>
          <rPr>
            <sz val="11"/>
            <rFont val="Calibri"/>
          </rPr>
          <t>The Cisco switch must be configured to automatically audit account creation.</t>
        </r>
      </text>
    </comment>
    <comment ref="J93" authorId="0" shapeId="0" xr:uid="{00000000-0006-0000-0700-000018000000}">
      <text>
        <r>
          <rPr>
            <sz val="11"/>
            <rFont val="Calibri"/>
          </rPr>
          <t>The Cisco switch must be configured to automatically audit account modification.</t>
        </r>
      </text>
    </comment>
    <comment ref="K93" authorId="0" shapeId="0" xr:uid="{00000000-0006-0000-0700-000019000000}">
      <text>
        <r>
          <rPr>
            <sz val="11"/>
            <rFont val="Calibri"/>
          </rPr>
          <t>The Cisco switch must be configured to automatically audit account disabling actions.</t>
        </r>
      </text>
    </comment>
    <comment ref="L93" authorId="0" shapeId="0" xr:uid="{00000000-0006-0000-0700-00001A000000}">
      <text>
        <r>
          <rPr>
            <sz val="11"/>
            <rFont val="Calibri"/>
          </rPr>
          <t>The Cisco switch must be configured to automatically audit account removal actions.</t>
        </r>
      </text>
    </comment>
    <comment ref="M93" authorId="0" shapeId="0" xr:uid="{00000000-0006-0000-0700-00001B000000}">
      <text>
        <r>
          <rPr>
            <sz val="11"/>
            <rFont val="Calibri"/>
          </rPr>
          <t>The Cisco switch must be configured to enforce approved authorizations for controlling the flow of management information within the device based on control policies.</t>
        </r>
      </text>
    </comment>
    <comment ref="N93" authorId="0" shapeId="0" xr:uid="{00000000-0006-0000-0700-00001C000000}">
      <text>
        <r>
          <rPr>
            <sz val="11"/>
            <rFont val="Calibri"/>
          </rPr>
          <t>The Cisco device must be configured to audit all administrator activity.</t>
        </r>
      </text>
    </comment>
    <comment ref="O93" authorId="0" shapeId="0" xr:uid="{00000000-0006-0000-0700-00001D000000}">
      <text>
        <r>
          <rPr>
            <sz val="11"/>
            <rFont val="Calibri"/>
          </rPr>
          <t>The Cisco switch must be configured to limit privileges to change the software resident within software libraries.</t>
        </r>
      </text>
    </comment>
    <comment ref="P93" authorId="0" shapeId="0" xr:uid="{00000000-0006-0000-0700-00001E000000}">
      <text>
        <r>
          <rPr>
            <sz val="11"/>
            <rFont val="Calibri"/>
          </rPr>
          <t>The Cisco switch must be configured with only one local account to be used as the account of last resort in the event the authentication server is unavailable.</t>
        </r>
      </text>
    </comment>
    <comment ref="Q93" authorId="0" shapeId="0" xr:uid="{00000000-0006-0000-0700-00001F000000}">
      <text>
        <r>
          <rPr>
            <sz val="11"/>
            <rFont val="Calibri"/>
          </rPr>
          <t>The Cisco switch must be configured to automatically audit account enabling actions.</t>
        </r>
      </text>
    </comment>
    <comment ref="R93" authorId="0" shapeId="0" xr:uid="{00000000-0006-0000-0700-000020000000}">
      <text>
        <r>
          <rPr>
            <sz val="11"/>
            <rFont val="Calibri"/>
          </rPr>
          <t>The Cisco switch must be configured to enforce approved authorizations for controlling the flow of information within the network based on organization-defined information flow control policies.</t>
        </r>
      </text>
    </comment>
    <comment ref="S93" authorId="0" shapeId="0" xr:uid="{00000000-0006-0000-0700-000021000000}">
      <text>
        <r>
          <rPr>
            <sz val="11"/>
            <rFont val="Calibri"/>
          </rPr>
          <t>The Cisco perimeter switch must be configured to enforce approved authorizations for controlling the flow of information between interconnected networks in accordance with applicable policy.</t>
        </r>
      </text>
    </comment>
    <comment ref="H111" authorId="0" shapeId="0" xr:uid="{00000000-0006-0000-0700-000022000000}">
      <text>
        <r>
          <rPr>
            <sz val="11"/>
            <rFont val="Calibri"/>
          </rPr>
          <t>The Cisco switch must be configured to authenticate SNMP messages using a FIPS-validated Keyed-Hash Message Authentication Code (HMAC).</t>
        </r>
      </text>
    </comment>
    <comment ref="I111" authorId="0" shapeId="0" xr:uid="{00000000-0006-0000-0700-000023000000}">
      <text>
        <r>
          <rPr>
            <sz val="11"/>
            <rFont val="Calibri"/>
          </rPr>
          <t>The Cisco switch must be configured to encrypt SNMP messages using a FIPS 140-2 approved algorithm.</t>
        </r>
      </text>
    </comment>
    <comment ref="J111" authorId="0" shapeId="0" xr:uid="{00000000-0006-0000-0700-000024000000}">
      <text>
        <r>
          <rPr>
            <sz val="11"/>
            <rFont val="Calibri"/>
          </rPr>
          <t>The Cisco switch must be configured to use FIPS-validated Keyed-Hash Message Authentication Code (HMAC) to protect the integrity of remote maintenance sessions.</t>
        </r>
      </text>
    </comment>
    <comment ref="K111" authorId="0" shapeId="0" xr:uid="{00000000-0006-0000-0700-000025000000}">
      <text>
        <r>
          <rPr>
            <sz val="11"/>
            <rFont val="Calibri"/>
          </rPr>
          <t>The Cisco switch must be configured to implement cryptographic mechanisms to protect the confidentiality of remote maintenance sessions.</t>
        </r>
      </text>
    </comment>
    <comment ref="L111" authorId="0" shapeId="0" xr:uid="{00000000-0006-0000-0700-000026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119" authorId="0" shapeId="0" xr:uid="{00000000-0006-0000-0700-000027000000}">
      <text>
        <r>
          <rPr>
            <sz val="11"/>
            <rFont val="Calibri"/>
          </rPr>
          <t>The Cisco switch must be configured to support organizational requirements to conduct backups of the configuration when changes occur.</t>
        </r>
      </text>
    </comment>
    <comment ref="H134" authorId="0" shapeId="0" xr:uid="{00000000-0006-0000-0700-000028000000}">
      <text>
        <r>
          <rPr>
            <sz val="11"/>
            <rFont val="Calibri"/>
          </rPr>
          <t>The Cisco switch must be configured to enforce approved authorizations for controlling the flow of management information within the device based on control policies.</t>
        </r>
      </text>
    </comment>
    <comment ref="I134" authorId="0" shapeId="0" xr:uid="{00000000-0006-0000-0700-000045000000}">
      <text>
        <r>
          <rPr>
            <sz val="11"/>
            <rFont val="Calibri"/>
          </rPr>
          <t>The Cisco switch must be configured to protect audit information from unauthorized modification.</t>
        </r>
      </text>
    </comment>
    <comment ref="J134" authorId="0" shapeId="0" xr:uid="{00000000-0006-0000-0700-000046000000}">
      <text>
        <r>
          <rPr>
            <sz val="11"/>
            <rFont val="Calibri"/>
          </rPr>
          <t>The Cisco switch must be configured to protect audit information from unauthorized deletion.</t>
        </r>
      </text>
    </comment>
    <comment ref="K134" authorId="0" shapeId="0" xr:uid="{00000000-0006-0000-0700-000047000000}">
      <text>
        <r>
          <rPr>
            <sz val="11"/>
            <rFont val="Calibri"/>
          </rPr>
          <t>The Cisco switch must be configured to require that when a password is changed, the characters are changed in at least eight of the positions within the password.</t>
        </r>
      </text>
    </comment>
    <comment ref="L134" authorId="0" shapeId="0" xr:uid="{00000000-0006-0000-0700-000048000000}">
      <text>
        <r>
          <rPr>
            <sz val="11"/>
            <rFont val="Calibri"/>
          </rPr>
          <t>The Cisco switch must have Root Guard enabled on all switch ports connecting to access layer switches.</t>
        </r>
      </text>
    </comment>
    <comment ref="M134" authorId="0" shapeId="0" xr:uid="{00000000-0006-0000-0700-000049000000}">
      <text>
        <r>
          <rPr>
            <sz val="11"/>
            <rFont val="Calibri"/>
          </rPr>
          <t>The Cisco switch must have BPDU Guard enabled on all user-facing or untrusted access switch ports.</t>
        </r>
      </text>
    </comment>
    <comment ref="N134" authorId="0" shapeId="0" xr:uid="{00000000-0006-0000-0700-00004A000000}">
      <text>
        <r>
          <rPr>
            <sz val="11"/>
            <rFont val="Calibri"/>
          </rPr>
          <t>The Cisco switch must have STP Loop Guard enabled.</t>
        </r>
      </text>
    </comment>
    <comment ref="O134" authorId="0" shapeId="0" xr:uid="{00000000-0006-0000-0700-00004B000000}">
      <text>
        <r>
          <rPr>
            <sz val="11"/>
            <rFont val="Calibri"/>
          </rPr>
          <t>The Cisco switch must have DHCP snooping for all user VLANs to validate DHCP messages from untrusted sources.</t>
        </r>
      </text>
    </comment>
    <comment ref="P134" authorId="0" shapeId="0" xr:uid="{00000000-0006-0000-0700-00004C000000}">
      <text>
        <r>
          <rPr>
            <sz val="11"/>
            <rFont val="Calibri"/>
          </rPr>
          <t>The Cisco switch must have IP Source Guard enabled on all user-facing or untrusted access switch ports.</t>
        </r>
      </text>
    </comment>
    <comment ref="Q134" authorId="0" shapeId="0" xr:uid="{00000000-0006-0000-0700-00004D000000}">
      <text>
        <r>
          <rPr>
            <sz val="11"/>
            <rFont val="Calibri"/>
          </rPr>
          <t>The Cisco switch must have Dynamic Address Resolution Protocol (ARP) Inspection (DAI) enabled on all user VLANs.</t>
        </r>
      </text>
    </comment>
    <comment ref="R134" authorId="0" shapeId="0" xr:uid="{00000000-0006-0000-0700-00004E000000}">
      <text>
        <r>
          <rPr>
            <sz val="11"/>
            <rFont val="Calibri"/>
          </rPr>
          <t>The Cisco switch must have Storm Control configured on all host-facing switchports.</t>
        </r>
      </text>
    </comment>
    <comment ref="S134" authorId="0" shapeId="0" xr:uid="{00000000-0006-0000-0700-00004F000000}">
      <text>
        <r>
          <rPr>
            <sz val="11"/>
            <rFont val="Calibri"/>
          </rPr>
          <t>The Cisco switch must have IGMP or MLD Snooping configured on all VLANs.</t>
        </r>
      </text>
    </comment>
    <comment ref="T134" authorId="0" shapeId="0" xr:uid="{00000000-0006-0000-0700-000029000000}">
      <text>
        <r>
          <rPr>
            <sz val="11"/>
            <rFont val="Calibri"/>
          </rPr>
          <t>The Cisco switch must implement Rapid STP where VLANs span multiple switches with redundant links.</t>
        </r>
      </text>
    </comment>
    <comment ref="U134" authorId="0" shapeId="0" xr:uid="{00000000-0006-0000-0700-00002A000000}">
      <text>
        <r>
          <rPr>
            <sz val="11"/>
            <rFont val="Calibri"/>
          </rPr>
          <t>The Cisco switch must enable Unidirectional Link Detection (UDLD) to protect against one-way connections.</t>
        </r>
      </text>
    </comment>
    <comment ref="V134" authorId="0" shapeId="0" xr:uid="{00000000-0006-0000-0700-00002B000000}">
      <text>
        <r>
          <rPr>
            <sz val="11"/>
            <rFont val="Calibri"/>
          </rPr>
          <t>The Cisco switch must have all trunk links enabled statically.</t>
        </r>
      </text>
    </comment>
    <comment ref="W134" authorId="0" shapeId="0" xr:uid="{00000000-0006-0000-0700-00002C000000}">
      <text>
        <r>
          <rPr>
            <sz val="11"/>
            <rFont val="Calibri"/>
          </rPr>
          <t>The Cisco switch must have all disabled switch ports assigned to an unused VLAN.</t>
        </r>
      </text>
    </comment>
    <comment ref="X134" authorId="0" shapeId="0" xr:uid="{00000000-0006-0000-0700-00002D000000}">
      <text>
        <r>
          <rPr>
            <sz val="11"/>
            <rFont val="Calibri"/>
          </rPr>
          <t>The Cisco switch must not have the default VLAN assigned to any host-facing switch ports.</t>
        </r>
      </text>
    </comment>
    <comment ref="Y134" authorId="0" shapeId="0" xr:uid="{00000000-0006-0000-0700-00002E000000}">
      <text>
        <r>
          <rPr>
            <sz val="11"/>
            <rFont val="Calibri"/>
          </rPr>
          <t>The Cisco switch must have the default VLAN pruned from all trunk ports that do not require it.</t>
        </r>
      </text>
    </comment>
    <comment ref="Z134" authorId="0" shapeId="0" xr:uid="{00000000-0006-0000-0700-00002F000000}">
      <text>
        <r>
          <rPr>
            <sz val="11"/>
            <rFont val="Calibri"/>
          </rPr>
          <t>The Cisco switch must not use the default VLAN for management traffic.</t>
        </r>
      </text>
    </comment>
    <comment ref="AA134" authorId="0" shapeId="0" xr:uid="{00000000-0006-0000-0700-000030000000}">
      <text>
        <r>
          <rPr>
            <sz val="11"/>
            <rFont val="Calibri"/>
          </rPr>
          <t>The Cisco switch must have all user-facing or untrusted ports configured as access switch ports.</t>
        </r>
      </text>
    </comment>
    <comment ref="AB134" authorId="0" shapeId="0" xr:uid="{00000000-0006-0000-0700-000031000000}">
      <text>
        <r>
          <rPr>
            <sz val="11"/>
            <rFont val="Calibri"/>
          </rPr>
          <t>The Cisco switch must have the native VLAN assigned to an ID other than the default VLAN for all 802.1q trunk links.</t>
        </r>
      </text>
    </comment>
    <comment ref="AC134" authorId="0" shapeId="0" xr:uid="{00000000-0006-0000-0700-000032000000}">
      <text>
        <r>
          <rPr>
            <sz val="11"/>
            <rFont val="Calibri"/>
          </rPr>
          <t>The Cisco switch must not have any switchports assigned to the native VLAN.</t>
        </r>
      </text>
    </comment>
    <comment ref="AD134" authorId="0" shapeId="0" xr:uid="{00000000-0006-0000-0700-000033000000}">
      <text>
        <r>
          <rPr>
            <sz val="11"/>
            <rFont val="Calibri"/>
          </rPr>
          <t>The Cisco switch must be configured to enforce approved authorizations for controlling the flow of information within the network based on organization-defined information flow control policies.</t>
        </r>
      </text>
    </comment>
    <comment ref="AE134" authorId="0" shapeId="0" xr:uid="{00000000-0006-0000-0700-000034000000}">
      <text>
        <r>
          <rPr>
            <sz val="11"/>
            <rFont val="Calibri"/>
          </rPr>
          <t>The Cisco switch must be configured to have Gratuitous ARP disabled on all external interfaces.</t>
        </r>
      </text>
    </comment>
    <comment ref="AF134" authorId="0" shapeId="0" xr:uid="{00000000-0006-0000-0700-000035000000}">
      <text>
        <r>
          <rPr>
            <sz val="11"/>
            <rFont val="Calibri"/>
          </rPr>
          <t>The Cisco switch must be configured to have IP directed broadcast disabled on all interfaces.</t>
        </r>
      </text>
    </comment>
    <comment ref="AG134" authorId="0" shapeId="0" xr:uid="{00000000-0006-0000-0700-000036000000}">
      <text>
        <r>
          <rPr>
            <sz val="11"/>
            <rFont val="Calibri"/>
          </rPr>
          <t>The Cisco switch must be configured to have Internet Control Message Protocol (ICMP) unreachable messages disabled on all external interfaces.</t>
        </r>
      </text>
    </comment>
    <comment ref="AH134" authorId="0" shapeId="0" xr:uid="{00000000-0006-0000-0700-000037000000}">
      <text>
        <r>
          <rPr>
            <sz val="11"/>
            <rFont val="Calibri"/>
          </rPr>
          <t>The Cisco switch must be configured to have Internet Control Message Protocol (ICMP) mask reply messages disabled on all external interfaces.</t>
        </r>
      </text>
    </comment>
    <comment ref="AI134" authorId="0" shapeId="0" xr:uid="{00000000-0006-0000-0700-000038000000}">
      <text>
        <r>
          <rPr>
            <sz val="11"/>
            <rFont val="Calibri"/>
          </rPr>
          <t>The Cisco switch must be configured to have Internet Control Message Protocol (ICMP) redirect messages disabled on all external interfaces.</t>
        </r>
      </text>
    </comment>
    <comment ref="AJ134" authorId="0" shapeId="0" xr:uid="{00000000-0006-0000-0700-000039000000}">
      <text>
        <r>
          <rPr>
            <sz val="11"/>
            <rFont val="Calibri"/>
          </rPr>
          <t>The Cisco switch must be configured to log all packets that have been dropped at interfaces via an ACL.</t>
        </r>
      </text>
    </comment>
    <comment ref="AK134" authorId="0" shapeId="0" xr:uid="{00000000-0006-0000-0700-00003A000000}">
      <text>
        <r>
          <rPr>
            <sz val="11"/>
            <rFont val="Calibri"/>
          </rPr>
          <t>The Cisco perimeter switch must be configured to deny network traffic by default and allow network traffic by exception.</t>
        </r>
      </text>
    </comment>
    <comment ref="AL134" authorId="0" shapeId="0" xr:uid="{00000000-0006-0000-0700-00003B000000}">
      <text>
        <r>
          <rPr>
            <sz val="11"/>
            <rFont val="Calibri"/>
          </rPr>
          <t>The Cisco perimeter switch must be configured to enforce approved authorizations for controlling the flow of information between interconnected networks in accordance with applicable policy.</t>
        </r>
      </text>
    </comment>
    <comment ref="AM134" authorId="0" shapeId="0" xr:uid="{00000000-0006-0000-0700-00003C000000}">
      <text>
        <r>
          <rPr>
            <sz val="11"/>
            <rFont val="Calibri"/>
          </rPr>
          <t>The Cisco perimeter switch must be configured to only allow incoming communications from authorized sources to be routed to authorized destinations.</t>
        </r>
      </text>
    </comment>
    <comment ref="AN134" authorId="0" shapeId="0" xr:uid="{00000000-0006-0000-0700-00003D000000}">
      <text>
        <r>
          <rPr>
            <sz val="11"/>
            <rFont val="Calibri"/>
          </rPr>
          <t>The Cisco perimeter switch must be configured to block inbound packets with source Bogon IP address prefixes.</t>
        </r>
      </text>
    </comment>
    <comment ref="AO134" authorId="0" shapeId="0" xr:uid="{00000000-0006-0000-0700-00003E000000}">
      <text>
        <r>
          <rPr>
            <sz val="11"/>
            <rFont val="Calibri"/>
          </rPr>
          <t>The Cisco perimeter switch must be configured to filter traffic destined to the enclave in accordance with the guidelines contained in DoD Instruction 8551.1.</t>
        </r>
      </text>
    </comment>
    <comment ref="AP134" authorId="0" shapeId="0" xr:uid="{00000000-0006-0000-0700-00003F000000}">
      <text>
        <r>
          <rPr>
            <sz val="11"/>
            <rFont val="Calibri"/>
          </rPr>
          <t>The Cisco perimeter switch must be configured to filter ingress traffic at the external interface on an inbound direction.</t>
        </r>
      </text>
    </comment>
    <comment ref="AQ134" authorId="0" shapeId="0" xr:uid="{00000000-0006-0000-0700-000040000000}">
      <text>
        <r>
          <rPr>
            <sz val="11"/>
            <rFont val="Calibri"/>
          </rPr>
          <t>The Cisco perimeter switch must be configured to filter egress traffic at the internal interface on an inbound direction.</t>
        </r>
      </text>
    </comment>
    <comment ref="AR134" authorId="0" shapeId="0" xr:uid="{00000000-0006-0000-0700-000041000000}">
      <text>
        <r>
          <rPr>
            <sz val="11"/>
            <rFont val="Calibri"/>
          </rPr>
          <t>The Cisco perimeter switch must be configured to block all packets with any IP options.</t>
        </r>
      </text>
    </comment>
    <comment ref="AS134" authorId="0" shapeId="0" xr:uid="{00000000-0006-0000-0700-000042000000}">
      <text>
        <r>
          <rPr>
            <sz val="11"/>
            <rFont val="Calibri"/>
          </rPr>
          <t>The Cisco perimeter switch must be configured to have Proxy ARP disabled on all external interfaces.</t>
        </r>
      </text>
    </comment>
    <comment ref="AT134" authorId="0" shapeId="0" xr:uid="{00000000-0006-0000-0700-000043000000}">
      <text>
        <r>
          <rPr>
            <sz val="11"/>
            <rFont val="Calibri"/>
          </rPr>
          <t>The Cisco perimeter switch must be configured to block all outbound management traffic.</t>
        </r>
      </text>
    </comment>
    <comment ref="AU134" authorId="0" shapeId="0" xr:uid="{00000000-0006-0000-0700-000044000000}">
      <text>
        <r>
          <rPr>
            <sz val="11"/>
            <rFont val="Calibri"/>
          </rPr>
          <t>The Cisco switch must be configured to only permit management traffic that ingresses and egresses the out-of-band management (OOBM) interface.</t>
        </r>
      </text>
    </comment>
    <comment ref="H137" authorId="0" shapeId="0" xr:uid="{00000000-0006-0000-0700-000050000000}">
      <text>
        <r>
          <rPr>
            <sz val="11"/>
            <rFont val="Calibri"/>
          </rPr>
          <t>The Cisco switch must manage excess bandwidth to limit the effects of packet flooding types of denial-of-service (DoS) attacks.</t>
        </r>
      </text>
    </comment>
    <comment ref="I137" authorId="0" shapeId="0" xr:uid="{00000000-0006-0000-0700-000051000000}">
      <text>
        <r>
          <rPr>
            <sz val="11"/>
            <rFont val="Calibri"/>
          </rPr>
          <t>The Cisco switch must have Unknown Unicast Flood Blocking (UUFB) enabled.</t>
        </r>
      </text>
    </comment>
    <comment ref="J137" authorId="0" shapeId="0" xr:uid="{00000000-0006-0000-0700-000052000000}">
      <text>
        <r>
          <rPr>
            <sz val="11"/>
            <rFont val="Calibri"/>
          </rPr>
          <t>The Cisco switch must have Storm Control configured on all host-facing switchports.</t>
        </r>
      </text>
    </comment>
    <comment ref="K137" authorId="0" shapeId="0" xr:uid="{00000000-0006-0000-0700-000053000000}">
      <text>
        <r>
          <rPr>
            <sz val="11"/>
            <rFont val="Calibri"/>
          </rPr>
          <t>The Cisco switch must be configured to protect against or limit the effects of denial-of-service (DoS) attacks by employing control plane protection.</t>
        </r>
      </text>
    </comment>
    <comment ref="L137" authorId="0" shapeId="0" xr:uid="{00000000-0006-0000-0700-000054000000}">
      <text>
        <r>
          <rPr>
            <sz val="11"/>
            <rFont val="Calibri"/>
          </rPr>
          <t>The Cisco BGP switch must be configured to use the maximum prefixes feature to protect against route table flooding and prefix de-aggregation attacks.</t>
        </r>
      </text>
    </comment>
    <comment ref="M137" authorId="0" shapeId="0" xr:uid="{00000000-0006-0000-0700-000055000000}">
      <text>
        <r>
          <rPr>
            <sz val="11"/>
            <rFont val="Calibri"/>
          </rPr>
          <t>The Cisco PE switch providing Virtual Private LAN Services (VPLS) must be configured to have traffic storm control thresholds on CE-facing interfaces.</t>
        </r>
      </text>
    </comment>
    <comment ref="N137" authorId="0" shapeId="0" xr:uid="{00000000-0006-0000-0700-000056000000}">
      <text>
        <r>
          <rPr>
            <sz val="11"/>
            <rFont val="Calibri"/>
          </rPr>
          <t>The Cisco P switch must be configured to enforce a Quality-of-Service (QoS) policy to provide preferred treatment for mission-critical applications.</t>
        </r>
      </text>
    </comment>
    <comment ref="O137" authorId="0" shapeId="0" xr:uid="{00000000-0006-0000-0700-000057000000}">
      <text>
        <r>
          <rPr>
            <sz val="11"/>
            <rFont val="Calibri"/>
          </rPr>
          <t>The Cisco switch must be configured to enforce a Quality-of-Service (QoS) policy to limit the effects of packet flooding denial-of-service (DoS) attacks.</t>
        </r>
      </text>
    </comment>
    <comment ref="P137" authorId="0" shapeId="0" xr:uid="{00000000-0006-0000-0700-000058000000}">
      <text>
        <r>
          <rPr>
            <sz val="11"/>
            <rFont val="Calibri"/>
          </rPr>
          <t>The Cisco multicast Rendezvous Point (RP) must be configured to rate limit the number of Protocol Independent Multicast (PIM) Register messages.</t>
        </r>
      </text>
    </comment>
    <comment ref="H143" authorId="0" shapeId="0" xr:uid="{00000000-0006-0000-0700-000059000000}">
      <text>
        <r>
          <rPr>
            <sz val="11"/>
            <rFont val="Calibri"/>
          </rPr>
          <t>The Cisco switch must be running an IOS release that is currently supported by Cisco Systems.</t>
        </r>
      </text>
    </comment>
    <comment ref="H145" authorId="0" shapeId="0" xr:uid="{00000000-0006-0000-0700-00005A000000}">
      <text>
        <r>
          <rPr>
            <sz val="11"/>
            <rFont val="Calibri"/>
          </rPr>
          <t>The Cisco switch must be configured to prohibit the use of all unnecessary and nonsecure functions and services.</t>
        </r>
      </text>
    </comment>
    <comment ref="I145" authorId="0" shapeId="0" xr:uid="{00000000-0006-0000-0700-00005B000000}">
      <text>
        <r>
          <rPr>
            <sz val="11"/>
            <rFont val="Calibri"/>
          </rPr>
          <t>The Cisco switch must be configured to have all inactive layer 3 interfaces disabled.</t>
        </r>
      </text>
    </comment>
    <comment ref="J145" authorId="0" shapeId="0" xr:uid="{00000000-0006-0000-0700-00005C000000}">
      <text>
        <r>
          <rPr>
            <sz val="11"/>
            <rFont val="Calibri"/>
          </rPr>
          <t>The Cisco switch must not be configured to have any zero-touch deployment feature enabled when connected to an operational network.</t>
        </r>
      </text>
    </comment>
    <comment ref="K145" authorId="0" shapeId="0" xr:uid="{00000000-0006-0000-0700-00005D000000}">
      <text>
        <r>
          <rPr>
            <sz val="11"/>
            <rFont val="Calibri"/>
          </rPr>
          <t>The Cisco switch must be configured to disable the auxiliary port unless it is connected to a secured modem providing encryption and authentication.</t>
        </r>
      </text>
    </comment>
    <comment ref="L145" authorId="0" shapeId="0" xr:uid="{00000000-0006-0000-0700-00005E000000}">
      <text>
        <r>
          <rPr>
            <sz val="11"/>
            <rFont val="Calibri"/>
          </rPr>
          <t>The Cisco perimeter switch must be configured to deny network traffic by default and allow network traffic by exception.</t>
        </r>
      </text>
    </comment>
    <comment ref="M145" authorId="0" shapeId="0" xr:uid="{00000000-0006-0000-0700-00005F000000}">
      <text>
        <r>
          <rPr>
            <sz val="11"/>
            <rFont val="Calibri"/>
          </rPr>
          <t>The Cisco perimeter switch must be configured to block inbound packets with source Bogon IP address prefixes.</t>
        </r>
      </text>
    </comment>
    <comment ref="N145" authorId="0" shapeId="0" xr:uid="{00000000-0006-0000-0700-000060000000}">
      <text>
        <r>
          <rPr>
            <sz val="11"/>
            <rFont val="Calibri"/>
          </rPr>
          <t>The Cisco perimeter switch must be configured to filter traffic destined to the enclave in accordance with the guidelines contained in DoD Instruction 8551.1.</t>
        </r>
      </text>
    </comment>
    <comment ref="O145" authorId="0" shapeId="0" xr:uid="{00000000-0006-0000-0700-000061000000}">
      <text>
        <r>
          <rPr>
            <sz val="11"/>
            <rFont val="Calibri"/>
          </rPr>
          <t>The Cisco perimeter switch must be configured to filter ingress traffic at the external interface on an inbound direction.</t>
        </r>
      </text>
    </comment>
    <comment ref="P145" authorId="0" shapeId="0" xr:uid="{00000000-0006-0000-0700-000062000000}">
      <text>
        <r>
          <rPr>
            <sz val="11"/>
            <rFont val="Calibri"/>
          </rPr>
          <t>The Cisco perimeter switch must be configured to filter egress traffic at the internal interface on an inbound direction.</t>
        </r>
      </text>
    </comment>
    <comment ref="Q145" authorId="0" shapeId="0" xr:uid="{00000000-0006-0000-0700-000063000000}">
      <text>
        <r>
          <rPr>
            <sz val="11"/>
            <rFont val="Calibri"/>
          </rPr>
          <t>The Cisco perimeter switch must be configured to have Link Layer Discovery Protocol (LLDP) disabled on all external interfaces.</t>
        </r>
      </text>
    </comment>
    <comment ref="R145" authorId="0" shapeId="0" xr:uid="{00000000-0006-0000-0700-000064000000}">
      <text>
        <r>
          <rPr>
            <sz val="11"/>
            <rFont val="Calibri"/>
          </rPr>
          <t>The Cisco perimeter switch must be configured to have Cisco Discovery Protocol (CDP) disabled on all external interfaces.</t>
        </r>
      </text>
    </comment>
    <comment ref="H149" authorId="0" shapeId="0" xr:uid="{00000000-0006-0000-0700-000065000000}">
      <text>
        <r>
          <rPr>
            <sz val="11"/>
            <rFont val="Calibri"/>
          </rPr>
          <t>The Cisco switch must be configured to automatically audit account creation.</t>
        </r>
      </text>
    </comment>
    <comment ref="I149" authorId="0" shapeId="0" xr:uid="{00000000-0006-0000-0700-000066000000}">
      <text>
        <r>
          <rPr>
            <sz val="11"/>
            <rFont val="Calibri"/>
          </rPr>
          <t>The Cisco switch must be configured to automatically audit account modification.</t>
        </r>
      </text>
    </comment>
    <comment ref="J149" authorId="0" shapeId="0" xr:uid="{00000000-0006-0000-0700-000067000000}">
      <text>
        <r>
          <rPr>
            <sz val="11"/>
            <rFont val="Calibri"/>
          </rPr>
          <t>The Cisco switch must be configured to automatically audit account disabling actions.</t>
        </r>
      </text>
    </comment>
    <comment ref="K149" authorId="0" shapeId="0" xr:uid="{00000000-0006-0000-0700-000068000000}">
      <text>
        <r>
          <rPr>
            <sz val="11"/>
            <rFont val="Calibri"/>
          </rPr>
          <t>The Cisco switch must be configured to automatically audit account removal actions.</t>
        </r>
      </text>
    </comment>
    <comment ref="L149" authorId="0" shapeId="0" xr:uid="{00000000-0006-0000-0700-000069000000}">
      <text>
        <r>
          <rPr>
            <sz val="11"/>
            <rFont val="Calibri"/>
          </rPr>
          <t>The Cisco device must be configured to audit all administrator activity.</t>
        </r>
      </text>
    </comment>
    <comment ref="M149" authorId="0" shapeId="0" xr:uid="{00000000-0006-0000-0700-00006A000000}">
      <text>
        <r>
          <rPr>
            <sz val="11"/>
            <rFont val="Calibri"/>
          </rPr>
          <t>The Cisco switch must produce audit records containing information to establish when (date and time) the events occurred.</t>
        </r>
      </text>
    </comment>
    <comment ref="N149" authorId="0" shapeId="0" xr:uid="{00000000-0006-0000-0700-00006B000000}">
      <text>
        <r>
          <rPr>
            <sz val="11"/>
            <rFont val="Calibri"/>
          </rPr>
          <t>The Cisco switch must produce audit records containing information to establish where the events occurred.</t>
        </r>
      </text>
    </comment>
    <comment ref="O149" authorId="0" shapeId="0" xr:uid="{00000000-0006-0000-0700-00006C000000}">
      <text>
        <r>
          <rPr>
            <sz val="11"/>
            <rFont val="Calibri"/>
          </rPr>
          <t>The Cisco switch must be configured to generate audit records containing the full-text recording of privileged commands.</t>
        </r>
      </text>
    </comment>
    <comment ref="P149" authorId="0" shapeId="0" xr:uid="{00000000-0006-0000-0700-00006D000000}">
      <text>
        <r>
          <rPr>
            <sz val="11"/>
            <rFont val="Calibri"/>
          </rPr>
          <t>The Cisco switch must be configured to limit privileges to change the software resident within software libraries.</t>
        </r>
      </text>
    </comment>
    <comment ref="Q149" authorId="0" shapeId="0" xr:uid="{00000000-0006-0000-0700-00006E000000}">
      <text>
        <r>
          <rPr>
            <sz val="11"/>
            <rFont val="Calibri"/>
          </rPr>
          <t>The Cisco switch must be configured to automatically audit account enabling actions.</t>
        </r>
      </text>
    </comment>
    <comment ref="R149" authorId="0" shapeId="0" xr:uid="{00000000-0006-0000-0700-00006F000000}">
      <text>
        <r>
          <rPr>
            <sz val="11"/>
            <rFont val="Calibri"/>
          </rPr>
          <t>The Cisco switch must be configured to allocate audit record storage capacity in accordance with organization-defined audit record storage requirements.</t>
        </r>
      </text>
    </comment>
    <comment ref="S149" authorId="0" shapeId="0" xr:uid="{00000000-0006-0000-0700-000070000000}">
      <text>
        <r>
          <rPr>
            <sz val="11"/>
            <rFont val="Calibri"/>
          </rPr>
          <t>The Cisco switch must be configured to synchronize its clock with the primary and secondary time sources using redundant authoritative time sources.</t>
        </r>
      </text>
    </comment>
    <comment ref="T149" authorId="0" shapeId="0" xr:uid="{00000000-0006-0000-0700-000071000000}">
      <text>
        <r>
          <rPr>
            <sz val="11"/>
            <rFont val="Calibri"/>
          </rPr>
          <t>The Cisco switch must be configured to authenticate Network Time Protocol (NTP) sources using authentication that is cryptographically based.</t>
        </r>
      </text>
    </comment>
    <comment ref="U149" authorId="0" shapeId="0" xr:uid="{00000000-0006-0000-0700-000072000000}">
      <text>
        <r>
          <rPr>
            <sz val="11"/>
            <rFont val="Calibri"/>
          </rPr>
          <t>The Cisco switch must be configured to generate log records when administrator privileges are deleted.</t>
        </r>
      </text>
    </comment>
    <comment ref="V149" authorId="0" shapeId="0" xr:uid="{00000000-0006-0000-0700-000073000000}">
      <text>
        <r>
          <rPr>
            <sz val="11"/>
            <rFont val="Calibri"/>
          </rPr>
          <t>The Cisco switch must be configured to generate audit records when successful/unsuccessful logon attempts occur.</t>
        </r>
      </text>
    </comment>
    <comment ref="W149" authorId="0" shapeId="0" xr:uid="{00000000-0006-0000-0700-000074000000}">
      <text>
        <r>
          <rPr>
            <sz val="11"/>
            <rFont val="Calibri"/>
          </rPr>
          <t>The Cisco switch must be configured to generate log records for privileged activities.</t>
        </r>
      </text>
    </comment>
    <comment ref="X149" authorId="0" shapeId="0" xr:uid="{00000000-0006-0000-0700-000075000000}">
      <text>
        <r>
          <rPr>
            <sz val="11"/>
            <rFont val="Calibri"/>
          </rPr>
          <t>The Cisco switch must be configured to send log data to at least two central log servers for the purpose of forwarding alerts to the administrators and the information system security officer (ISSO).</t>
        </r>
      </text>
    </comment>
    <comment ref="Y149" authorId="0" shapeId="0" xr:uid="{00000000-0006-0000-0700-000076000000}">
      <text>
        <r>
          <rPr>
            <sz val="11"/>
            <rFont val="Calibri"/>
          </rPr>
          <t>The Cisco switch must be configured to produce audit records containing information to establish where the events occurred.</t>
        </r>
      </text>
    </comment>
    <comment ref="Z149" authorId="0" shapeId="0" xr:uid="{00000000-0006-0000-0700-000077000000}">
      <text>
        <r>
          <rPr>
            <sz val="11"/>
            <rFont val="Calibri"/>
          </rPr>
          <t>The Cisco switch must be configured to produce audit records containing information to establish the source of the events.</t>
        </r>
      </text>
    </comment>
    <comment ref="H158" authorId="0" shapeId="0" xr:uid="{00000000-0006-0000-0700-000078000000}">
      <text>
        <r>
          <rPr>
            <sz val="11"/>
            <rFont val="Calibri"/>
          </rPr>
          <t>The Cisco switch must produce audit records containing information to establish when (date and time) the events occurred.</t>
        </r>
      </text>
    </comment>
    <comment ref="I158" authorId="0" shapeId="0" xr:uid="{00000000-0006-0000-0700-000079000000}">
      <text>
        <r>
          <rPr>
            <sz val="11"/>
            <rFont val="Calibri"/>
          </rPr>
          <t>The Cisco switch must produce audit records containing information to establish where the events occurred.</t>
        </r>
      </text>
    </comment>
    <comment ref="J158" authorId="0" shapeId="0" xr:uid="{00000000-0006-0000-0700-00007A000000}">
      <text>
        <r>
          <rPr>
            <sz val="11"/>
            <rFont val="Calibri"/>
          </rPr>
          <t>The Cisco switch must be configured to generate audit records containing the full-text recording of privileged commands.</t>
        </r>
      </text>
    </comment>
    <comment ref="K158" authorId="0" shapeId="0" xr:uid="{00000000-0006-0000-0700-00007B000000}">
      <text>
        <r>
          <rPr>
            <sz val="11"/>
            <rFont val="Calibri"/>
          </rPr>
          <t>The Cisco switch must be configured to allocate audit record storage capacity in accordance with organization-defined audit record storage requirements.</t>
        </r>
      </text>
    </comment>
    <comment ref="L158" authorId="0" shapeId="0" xr:uid="{00000000-0006-0000-0700-00007C000000}">
      <text>
        <r>
          <rPr>
            <sz val="11"/>
            <rFont val="Calibri"/>
          </rPr>
          <t>The Cisco switch must be configured to generate log records when administrator privileges are deleted.</t>
        </r>
      </text>
    </comment>
    <comment ref="M158" authorId="0" shapeId="0" xr:uid="{00000000-0006-0000-0700-00007D000000}">
      <text>
        <r>
          <rPr>
            <sz val="11"/>
            <rFont val="Calibri"/>
          </rPr>
          <t>The Cisco switch must be configured to generate audit records when successful/unsuccessful logon attempts occur.</t>
        </r>
      </text>
    </comment>
    <comment ref="N158" authorId="0" shapeId="0" xr:uid="{00000000-0006-0000-0700-00007E000000}">
      <text>
        <r>
          <rPr>
            <sz val="11"/>
            <rFont val="Calibri"/>
          </rPr>
          <t>The Cisco switch must be configured to generate log records for privileged activities.</t>
        </r>
      </text>
    </comment>
    <comment ref="O158" authorId="0" shapeId="0" xr:uid="{00000000-0006-0000-0700-00007F000000}">
      <text>
        <r>
          <rPr>
            <sz val="11"/>
            <rFont val="Calibri"/>
          </rPr>
          <t>The Cisco switch must be configured to send log data to at least two central log servers for the purpose of forwarding alerts to the administrators and the information system security officer (ISSO).</t>
        </r>
      </text>
    </comment>
    <comment ref="P158" authorId="0" shapeId="0" xr:uid="{00000000-0006-0000-0700-000080000000}">
      <text>
        <r>
          <rPr>
            <sz val="11"/>
            <rFont val="Calibri"/>
          </rPr>
          <t>The Cisco switch must be configured to produce audit records containing information to establish where the events occurred.</t>
        </r>
      </text>
    </comment>
    <comment ref="Q158" authorId="0" shapeId="0" xr:uid="{00000000-0006-0000-0700-000081000000}">
      <text>
        <r>
          <rPr>
            <sz val="11"/>
            <rFont val="Calibri"/>
          </rPr>
          <t>The Cisco switch must be configured to produce audit records containing information to establish the source of the events.</t>
        </r>
      </text>
    </comment>
    <comment ref="H161" authorId="0" shapeId="0" xr:uid="{00000000-0006-0000-0700-000082000000}">
      <text>
        <r>
          <rPr>
            <sz val="11"/>
            <rFont val="Calibri"/>
          </rPr>
          <t>The Cisco switch must be configured to generate an alert for all audit failure events.</t>
        </r>
      </text>
    </comment>
    <comment ref="H163" authorId="0" shapeId="0" xr:uid="{00000000-0006-0000-0700-000083000000}">
      <text>
        <r>
          <rPr>
            <sz val="11"/>
            <rFont val="Calibri"/>
          </rPr>
          <t>The Cisco switch must be configured to generate an alert for all audit failure events.</t>
        </r>
      </text>
    </comment>
    <comment ref="H165" authorId="0" shapeId="0" xr:uid="{00000000-0006-0000-0700-000084000000}">
      <text>
        <r>
          <rPr>
            <sz val="11"/>
            <rFont val="Calibri"/>
          </rPr>
          <t>The Cisco switch must manage excess bandwidth to limit the effects of packet flooding types of denial-of-service (DoS) attacks.</t>
        </r>
      </text>
    </comment>
    <comment ref="I165" authorId="0" shapeId="0" xr:uid="{00000000-0006-0000-0700-000085000000}">
      <text>
        <r>
          <rPr>
            <sz val="11"/>
            <rFont val="Calibri"/>
          </rPr>
          <t>The Cisco switch must have Unknown Unicast Flood Blocking (UUFB) enabled.</t>
        </r>
      </text>
    </comment>
    <comment ref="J165" authorId="0" shapeId="0" xr:uid="{00000000-0006-0000-0700-000086000000}">
      <text>
        <r>
          <rPr>
            <sz val="11"/>
            <rFont val="Calibri"/>
          </rPr>
          <t>The Cisco switch must not use the default VLAN for management traffic.</t>
        </r>
      </text>
    </comment>
    <comment ref="K165" authorId="0" shapeId="0" xr:uid="{00000000-0006-0000-0700-000087000000}">
      <text>
        <r>
          <rPr>
            <sz val="11"/>
            <rFont val="Calibri"/>
          </rPr>
          <t>The Cisco switch must be configured to protect against or limit the effects of denial-of-service (DoS) attacks by employing control plane protection.</t>
        </r>
      </text>
    </comment>
    <comment ref="L165" authorId="0" shapeId="0" xr:uid="{00000000-0006-0000-0700-000088000000}">
      <text>
        <r>
          <rPr>
            <sz val="11"/>
            <rFont val="Calibri"/>
          </rPr>
          <t>The Cisco perimeter switch must be configured to restrict it from accepting outbound IP packets that contain an illegitimate address in the source address field via egress filter or by enabling Unicast Reverse Path Forwarding (uRPF).</t>
        </r>
      </text>
    </comment>
    <comment ref="M165" authorId="0" shapeId="0" xr:uid="{00000000-0006-0000-0700-000089000000}">
      <text>
        <r>
          <rPr>
            <sz val="11"/>
            <rFont val="Calibri"/>
          </rPr>
          <t>The Cisco perimeter switch must be configured to block all outbound management traffic.</t>
        </r>
      </text>
    </comment>
    <comment ref="N165" authorId="0" shapeId="0" xr:uid="{00000000-0006-0000-0700-00008A000000}">
      <text>
        <r>
          <rPr>
            <sz val="11"/>
            <rFont val="Calibri"/>
          </rPr>
          <t>The Cisco switch must be configured to only permit management traffic that ingresses and egresses the out-of-band management (OOBM) interface.</t>
        </r>
      </text>
    </comment>
    <comment ref="O165" authorId="0" shapeId="0" xr:uid="{00000000-0006-0000-0700-00008B000000}">
      <text>
        <r>
          <rPr>
            <sz val="11"/>
            <rFont val="Calibri"/>
          </rPr>
          <t>The Cisco BGP switch must be configured to use the maximum prefixes feature to protect against route table flooding and prefix de-aggregation attacks.</t>
        </r>
      </text>
    </comment>
    <comment ref="P165" authorId="0" shapeId="0" xr:uid="{00000000-0006-0000-0700-00008C000000}">
      <text>
        <r>
          <rPr>
            <sz val="11"/>
            <rFont val="Calibri"/>
          </rPr>
          <t>The Cisco PE switch must be configured with Unicast Reverse Path Forwarding (uRPF) loose mode enabled on all CE-facing interfaces.</t>
        </r>
      </text>
    </comment>
    <comment ref="Q165" authorId="0" shapeId="0" xr:uid="{00000000-0006-0000-0700-00008D000000}">
      <text>
        <r>
          <rPr>
            <sz val="11"/>
            <rFont val="Calibri"/>
          </rPr>
          <t>The Cisco switch must be configured to enforce a Quality-of-Service (QoS) policy to limit the effects of packet flooding denial-of-service (DoS) attacks.</t>
        </r>
      </text>
    </comment>
    <comment ref="R165" authorId="0" shapeId="0" xr:uid="{00000000-0006-0000-0700-00008E000000}">
      <text>
        <r>
          <rPr>
            <sz val="11"/>
            <rFont val="Calibri"/>
          </rPr>
          <t>The Cisco multicast Rendezvous Point (RP) must be configured to rate limit the number of Protocol Independent Multicast (PIM) Register messages.</t>
        </r>
      </text>
    </comment>
    <comment ref="H221" authorId="0" shapeId="0" xr:uid="{00000000-0006-0000-0700-00008F000000}">
      <text>
        <r>
          <rPr>
            <sz val="11"/>
            <rFont val="Calibri"/>
          </rPr>
          <t>The Cisco switch must be configured to support organizational requirements to conduct backups of the configuration when changes occur.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Cisco switch must be configured to automatically audit account creation.</t>
        </r>
      </text>
    </comment>
    <comment ref="H37" authorId="0" shapeId="0" xr:uid="{00000000-0006-0000-0800-000006000000}">
      <text>
        <r>
          <rPr>
            <sz val="11"/>
            <rFont val="Calibri"/>
          </rPr>
          <t>The Cisco switch must be configured to automatically audit account modification.</t>
        </r>
      </text>
    </comment>
    <comment ref="I37" authorId="0" shapeId="0" xr:uid="{00000000-0006-0000-0800-000002000000}">
      <text>
        <r>
          <rPr>
            <sz val="11"/>
            <rFont val="Calibri"/>
          </rPr>
          <t>The Cisco switch must be configured to automatically audit account disabling actions.</t>
        </r>
      </text>
    </comment>
    <comment ref="J37" authorId="0" shapeId="0" xr:uid="{00000000-0006-0000-0800-000003000000}">
      <text>
        <r>
          <rPr>
            <sz val="11"/>
            <rFont val="Calibri"/>
          </rPr>
          <t>The Cisco switch must be configured to automatically audit account removal actions.</t>
        </r>
      </text>
    </comment>
    <comment ref="K37" authorId="0" shapeId="0" xr:uid="{00000000-0006-0000-0800-000004000000}">
      <text>
        <r>
          <rPr>
            <sz val="11"/>
            <rFont val="Calibri"/>
          </rPr>
          <t>The Cisco switch must be configured with only one local account to be used as the account of last resort in the event the authentication server is unavailable.</t>
        </r>
      </text>
    </comment>
    <comment ref="L37" authorId="0" shapeId="0" xr:uid="{00000000-0006-0000-0800-000005000000}">
      <text>
        <r>
          <rPr>
            <sz val="11"/>
            <rFont val="Calibri"/>
          </rPr>
          <t>The Cisco switch must be configured to automatically audit account enabling actions.</t>
        </r>
      </text>
    </comment>
    <comment ref="G43" authorId="0" shapeId="0" xr:uid="{00000000-0006-0000-0800-000007000000}">
      <text>
        <r>
          <rPr>
            <sz val="11"/>
            <rFont val="Calibri"/>
          </rPr>
          <t>The Cisco switch must be configured to enforce a minimum 15-character password length.</t>
        </r>
      </text>
    </comment>
    <comment ref="H43" authorId="0" shapeId="0" xr:uid="{00000000-0006-0000-0800-000008000000}">
      <text>
        <r>
          <rPr>
            <sz val="11"/>
            <rFont val="Calibri"/>
          </rPr>
          <t>The Cisco switch must be configured to enforce password complexity by requiring that at least one uppercase character be used.</t>
        </r>
      </text>
    </comment>
    <comment ref="I43" authorId="0" shapeId="0" xr:uid="{00000000-0006-0000-0800-000009000000}">
      <text>
        <r>
          <rPr>
            <sz val="11"/>
            <rFont val="Calibri"/>
          </rPr>
          <t>The Cisco switch must be configured to enforce password complexity by requiring that at least one lowercase character be used.</t>
        </r>
      </text>
    </comment>
    <comment ref="J43" authorId="0" shapeId="0" xr:uid="{00000000-0006-0000-0800-00000A000000}">
      <text>
        <r>
          <rPr>
            <sz val="11"/>
            <rFont val="Calibri"/>
          </rPr>
          <t>The Cisco switch must be configured to enforce password complexity by requiring that at least one numeric character be used.</t>
        </r>
      </text>
    </comment>
    <comment ref="K43" authorId="0" shapeId="0" xr:uid="{00000000-0006-0000-0800-00000B000000}">
      <text>
        <r>
          <rPr>
            <sz val="11"/>
            <rFont val="Calibri"/>
          </rPr>
          <t>The Cisco switch must be configured to enforce password complexity by requiring that at least one special character be used.</t>
        </r>
      </text>
    </comment>
    <comment ref="G44" authorId="0" shapeId="0" xr:uid="{00000000-0006-0000-0800-00000C000000}">
      <text>
        <r>
          <rPr>
            <sz val="11"/>
            <rFont val="Calibri"/>
          </rPr>
          <t>The Cisco switch must be configured to enforce a minimum 15-character password length.</t>
        </r>
      </text>
    </comment>
    <comment ref="H44" authorId="0" shapeId="0" xr:uid="{00000000-0006-0000-0800-00000D000000}">
      <text>
        <r>
          <rPr>
            <sz val="11"/>
            <rFont val="Calibri"/>
          </rPr>
          <t>The Cisco switch must be configured to enforce password complexity by requiring that at least one uppercase character be used.</t>
        </r>
      </text>
    </comment>
    <comment ref="I44" authorId="0" shapeId="0" xr:uid="{00000000-0006-0000-0800-00000E000000}">
      <text>
        <r>
          <rPr>
            <sz val="11"/>
            <rFont val="Calibri"/>
          </rPr>
          <t>The Cisco switch must be configured to enforce password complexity by requiring that at least one lowercase character be used.</t>
        </r>
      </text>
    </comment>
    <comment ref="J44" authorId="0" shapeId="0" xr:uid="{00000000-0006-0000-0800-00000F000000}">
      <text>
        <r>
          <rPr>
            <sz val="11"/>
            <rFont val="Calibri"/>
          </rPr>
          <t>The Cisco switch must be configured to enforce password complexity by requiring that at least one numeric character be used.</t>
        </r>
      </text>
    </comment>
    <comment ref="K44" authorId="0" shapeId="0" xr:uid="{00000000-0006-0000-0800-000010000000}">
      <text>
        <r>
          <rPr>
            <sz val="11"/>
            <rFont val="Calibri"/>
          </rPr>
          <t>The Cisco switch must be configured to enforce password complexity by requiring that at least one special character be used.</t>
        </r>
      </text>
    </comment>
    <comment ref="L44" authorId="0" shapeId="0" xr:uid="{00000000-0006-0000-0800-000011000000}">
      <text>
        <r>
          <rPr>
            <sz val="11"/>
            <rFont val="Calibri"/>
          </rPr>
          <t>The Cisco switch must only store cryptographic representations of passwords.</t>
        </r>
      </text>
    </comment>
    <comment ref="G45" authorId="0" shapeId="0" xr:uid="{00000000-0006-0000-0800-000012000000}">
      <text>
        <r>
          <rPr>
            <sz val="11"/>
            <rFont val="Calibri"/>
          </rPr>
          <t>The Cisco switch must be configured to enforce the limit of three consecutive invalid logon attempts, after which time it must lock out the user account from accessing the device for 15 minutes.</t>
        </r>
      </text>
    </comment>
    <comment ref="G46" authorId="0" shapeId="0" xr:uid="{00000000-0006-0000-0800-000013000000}">
      <text>
        <r>
          <rPr>
            <sz val="11"/>
            <rFont val="Calibri"/>
          </rPr>
          <t>The Cisco switch must be configured to terminate all network connections associated with device management after five minutes of inactivity.</t>
        </r>
      </text>
    </comment>
    <comment ref="G52" authorId="0" shapeId="0" xr:uid="{00000000-0006-0000-0800-000014000000}">
      <text>
        <r>
          <rPr>
            <sz val="11"/>
            <rFont val="Calibri"/>
          </rPr>
          <t>The Cisco switch must be configured to enforce approved authorizations for controlling the flow of management information within the device based on control policies.</t>
        </r>
      </text>
    </comment>
    <comment ref="H52" authorId="0" shapeId="0" xr:uid="{00000000-0006-0000-0800-000015000000}">
      <text>
        <r>
          <rPr>
            <sz val="11"/>
            <rFont val="Calibri"/>
          </rPr>
          <t>The Cisco switch must be configured to use at least two authentication servers for the purpose of authenticating users prior to granting administrative access.</t>
        </r>
      </text>
    </comment>
    <comment ref="I52" authorId="0" shapeId="0" xr:uid="{00000000-0006-0000-0800-000016000000}">
      <text>
        <r>
          <rPr>
            <sz val="11"/>
            <rFont val="Calibri"/>
          </rPr>
          <t>The Cisco switch must be configured to enforce approved authorizations for controlling the flow of information within the network based on organization-defined information flow control policies.</t>
        </r>
      </text>
    </comment>
    <comment ref="J52" authorId="0" shapeId="0" xr:uid="{00000000-0006-0000-0800-000017000000}">
      <text>
        <r>
          <rPr>
            <sz val="11"/>
            <rFont val="Calibri"/>
          </rPr>
          <t>The Cisco perimeter switch must be configured to enforce approved authorizations for controlling the flow of information between interconnected networks in accordance with applicable policy.</t>
        </r>
      </text>
    </comment>
    <comment ref="G55" authorId="0" shapeId="0" xr:uid="{00000000-0006-0000-0800-000018000000}">
      <text>
        <r>
          <rPr>
            <sz val="11"/>
            <rFont val="Calibri"/>
          </rPr>
          <t>The Cisco device must be configured to audit all administrator activity.</t>
        </r>
      </text>
    </comment>
    <comment ref="H55" authorId="0" shapeId="0" xr:uid="{00000000-0006-0000-0800-000019000000}">
      <text>
        <r>
          <rPr>
            <sz val="11"/>
            <rFont val="Calibri"/>
          </rPr>
          <t>The Cisco switch must be configured to limit privileges to change the software resident within software libraries.</t>
        </r>
      </text>
    </comment>
    <comment ref="I55" authorId="0" shapeId="0" xr:uid="{00000000-0006-0000-0800-00001A000000}">
      <text>
        <r>
          <rPr>
            <sz val="11"/>
            <rFont val="Calibri"/>
          </rPr>
          <t>The Cisco switch must be configured to generate log records when administrator privileges are deleted.</t>
        </r>
      </text>
    </comment>
    <comment ref="J55" authorId="0" shapeId="0" xr:uid="{00000000-0006-0000-0800-00001B000000}">
      <text>
        <r>
          <rPr>
            <sz val="11"/>
            <rFont val="Calibri"/>
          </rPr>
          <t>The Cisco switch must be configured to generate log records for privileged activities.</t>
        </r>
      </text>
    </comment>
    <comment ref="G63" authorId="0" shapeId="0" xr:uid="{00000000-0006-0000-0800-00001C000000}">
      <text>
        <r>
          <rPr>
            <sz val="11"/>
            <rFont val="Calibri"/>
          </rPr>
          <t>The Cisco switch must be running an IOS release that is currently supported by Cisco Systems.</t>
        </r>
      </text>
    </comment>
    <comment ref="G64" authorId="0" shapeId="0" xr:uid="{00000000-0006-0000-0800-00001D000000}">
      <text>
        <r>
          <rPr>
            <sz val="11"/>
            <rFont val="Calibri"/>
          </rPr>
          <t>The Cisco switch must be configured to prohibit the use of all unnecessary and nonsecure functions and services.</t>
        </r>
      </text>
    </comment>
    <comment ref="G69" authorId="0" shapeId="0" xr:uid="{00000000-0006-0000-0800-00001E000000}">
      <text>
        <r>
          <rPr>
            <sz val="11"/>
            <rFont val="Calibri"/>
          </rPr>
          <t>The Cisco switch must produce audit records containing information to establish when (date and time) the events occurred.</t>
        </r>
      </text>
    </comment>
    <comment ref="H69" authorId="0" shapeId="0" xr:uid="{00000000-0006-0000-0800-000023000000}">
      <text>
        <r>
          <rPr>
            <sz val="11"/>
            <rFont val="Calibri"/>
          </rPr>
          <t>The Cisco switch must produce audit records containing information to establish where the events occurred.</t>
        </r>
      </text>
    </comment>
    <comment ref="I69" authorId="0" shapeId="0" xr:uid="{00000000-0006-0000-0800-000024000000}">
      <text>
        <r>
          <rPr>
            <sz val="11"/>
            <rFont val="Calibri"/>
          </rPr>
          <t>The Cisco switch must be configured to generate audit records containing the full-text recording of privileged commands.</t>
        </r>
      </text>
    </comment>
    <comment ref="J69" authorId="0" shapeId="0" xr:uid="{00000000-0006-0000-0800-000025000000}">
      <text>
        <r>
          <rPr>
            <sz val="11"/>
            <rFont val="Calibri"/>
          </rPr>
          <t>The Cisco switch must be configured to allocate audit record storage capacity in accordance with organization-defined audit record storage requirements.</t>
        </r>
      </text>
    </comment>
    <comment ref="K69" authorId="0" shapeId="0" xr:uid="{00000000-0006-0000-0800-000026000000}">
      <text>
        <r>
          <rPr>
            <sz val="11"/>
            <rFont val="Calibri"/>
          </rPr>
          <t>The Cisco switch must be configured to generate log records when administrator privileges are deleted.</t>
        </r>
      </text>
    </comment>
    <comment ref="L69" authorId="0" shapeId="0" xr:uid="{00000000-0006-0000-0800-000027000000}">
      <text>
        <r>
          <rPr>
            <sz val="11"/>
            <rFont val="Calibri"/>
          </rPr>
          <t>The Cisco switch must be configured to generate audit records when successful/unsuccessful logon attempts occur.</t>
        </r>
      </text>
    </comment>
    <comment ref="M69" authorId="0" shapeId="0" xr:uid="{00000000-0006-0000-0800-00001F000000}">
      <text>
        <r>
          <rPr>
            <sz val="11"/>
            <rFont val="Calibri"/>
          </rPr>
          <t>The Cisco switch must be configured to generate log records for privileged activities.</t>
        </r>
      </text>
    </comment>
    <comment ref="N69" authorId="0" shapeId="0" xr:uid="{00000000-0006-0000-0800-000020000000}">
      <text>
        <r>
          <rPr>
            <sz val="11"/>
            <rFont val="Calibri"/>
          </rPr>
          <t>The Cisco switch must be configured to send log data to at least two central log servers for the purpose of forwarding alerts to the administrators and the information system security officer (ISSO).</t>
        </r>
      </text>
    </comment>
    <comment ref="O69" authorId="0" shapeId="0" xr:uid="{00000000-0006-0000-0800-000021000000}">
      <text>
        <r>
          <rPr>
            <sz val="11"/>
            <rFont val="Calibri"/>
          </rPr>
          <t>The Cisco switch must be configured to produce audit records containing information to establish where the events occurred.</t>
        </r>
      </text>
    </comment>
    <comment ref="P69" authorId="0" shapeId="0" xr:uid="{00000000-0006-0000-0800-000022000000}">
      <text>
        <r>
          <rPr>
            <sz val="11"/>
            <rFont val="Calibri"/>
          </rPr>
          <t>The Cisco switch must be configured to produce audit records containing information to establish the source of the events.</t>
        </r>
      </text>
    </comment>
    <comment ref="G74" authorId="0" shapeId="0" xr:uid="{00000000-0006-0000-0800-000028000000}">
      <text>
        <r>
          <rPr>
            <sz val="11"/>
            <rFont val="Calibri"/>
          </rPr>
          <t>The Cisco switch must be configured to enforce approved authorizations for controlling the flow of management information within the device based on control policies.</t>
        </r>
      </text>
    </comment>
    <comment ref="H74" authorId="0" shapeId="0" xr:uid="{00000000-0006-0000-0800-00002D000000}">
      <text>
        <r>
          <rPr>
            <sz val="11"/>
            <rFont val="Calibri"/>
          </rPr>
          <t>The Cisco switch must manage excess bandwidth to limit the effects of packet flooding types of denial-of-service (DoS) attacks.</t>
        </r>
      </text>
    </comment>
    <comment ref="I74" authorId="0" shapeId="0" xr:uid="{00000000-0006-0000-0800-00002E000000}">
      <text>
        <r>
          <rPr>
            <sz val="11"/>
            <rFont val="Calibri"/>
          </rPr>
          <t>The Cisco switch must have Unknown Unicast Flood Blocking (UUFB) enabled.</t>
        </r>
      </text>
    </comment>
    <comment ref="J74" authorId="0" shapeId="0" xr:uid="{00000000-0006-0000-0800-00002F000000}">
      <text>
        <r>
          <rPr>
            <sz val="11"/>
            <rFont val="Calibri"/>
          </rPr>
          <t>The Cisco switch must be configured to enforce approved authorizations for controlling the flow of information within the network based on organization-defined information flow control policies.</t>
        </r>
      </text>
    </comment>
    <comment ref="K74" authorId="0" shapeId="0" xr:uid="{00000000-0006-0000-0800-000030000000}">
      <text>
        <r>
          <rPr>
            <sz val="11"/>
            <rFont val="Calibri"/>
          </rPr>
          <t>The Cisco switch must be configured to protect against or limit the effects of denial-of-service (DoS) attacks by employing control plane protection.</t>
        </r>
      </text>
    </comment>
    <comment ref="L74" authorId="0" shapeId="0" xr:uid="{00000000-0006-0000-0800-000031000000}">
      <text>
        <r>
          <rPr>
            <sz val="11"/>
            <rFont val="Calibri"/>
          </rPr>
          <t>The Cisco perimeter switch must be configured to deny network traffic by default and allow network traffic by exception.</t>
        </r>
      </text>
    </comment>
    <comment ref="M74" authorId="0" shapeId="0" xr:uid="{00000000-0006-0000-0800-000032000000}">
      <text>
        <r>
          <rPr>
            <sz val="11"/>
            <rFont val="Calibri"/>
          </rPr>
          <t>The Cisco perimeter switch must be configured to enforce approved authorizations for controlling the flow of information between interconnected networks in accordance with applicable policy.</t>
        </r>
      </text>
    </comment>
    <comment ref="N74" authorId="0" shapeId="0" xr:uid="{00000000-0006-0000-0800-000033000000}">
      <text>
        <r>
          <rPr>
            <sz val="11"/>
            <rFont val="Calibri"/>
          </rPr>
          <t>The Cisco perimeter switch must be configured to only allow incoming communications from authorized sources to be routed to authorized destinations.</t>
        </r>
      </text>
    </comment>
    <comment ref="O74" authorId="0" shapeId="0" xr:uid="{00000000-0006-0000-0800-000034000000}">
      <text>
        <r>
          <rPr>
            <sz val="11"/>
            <rFont val="Calibri"/>
          </rPr>
          <t>The Cisco perimeter switch must be configured to block inbound packets with source Bogon IP address prefixes.</t>
        </r>
      </text>
    </comment>
    <comment ref="P74" authorId="0" shapeId="0" xr:uid="{00000000-0006-0000-0800-000035000000}">
      <text>
        <r>
          <rPr>
            <sz val="11"/>
            <rFont val="Calibri"/>
          </rPr>
          <t>The Cisco perimeter switch must be configured to filter traffic destined to the enclave in accordance with the guidelines contained in DoD Instruction 8551.1.</t>
        </r>
      </text>
    </comment>
    <comment ref="Q74" authorId="0" shapeId="0" xr:uid="{00000000-0006-0000-0800-000029000000}">
      <text>
        <r>
          <rPr>
            <sz val="11"/>
            <rFont val="Calibri"/>
          </rPr>
          <t>The Cisco perimeter switch must be configured to filter ingress traffic at the external interface on an inbound direction.</t>
        </r>
      </text>
    </comment>
    <comment ref="R74" authorId="0" shapeId="0" xr:uid="{00000000-0006-0000-0800-00002A000000}">
      <text>
        <r>
          <rPr>
            <sz val="11"/>
            <rFont val="Calibri"/>
          </rPr>
          <t>The Cisco perimeter switch must be configured to filter egress traffic at the internal interface on an inbound direction.</t>
        </r>
      </text>
    </comment>
    <comment ref="S74" authorId="0" shapeId="0" xr:uid="{00000000-0006-0000-0800-00002B000000}">
      <text>
        <r>
          <rPr>
            <sz val="11"/>
            <rFont val="Calibri"/>
          </rPr>
          <t>The Cisco BGP switch must be configured to use the maximum prefixes feature to protect against route table flooding and prefix de-aggregation attacks.</t>
        </r>
      </text>
    </comment>
    <comment ref="T74" authorId="0" shapeId="0" xr:uid="{00000000-0006-0000-0800-00002C000000}">
      <text>
        <r>
          <rPr>
            <sz val="11"/>
            <rFont val="Calibri"/>
          </rPr>
          <t>The Cisco switch must be configured to enforce a Quality-of-Service (QoS) policy to limit the effects of packet flooding denial-of-service (DoS) attacks.</t>
        </r>
      </text>
    </comment>
    <comment ref="G77" authorId="0" shapeId="0" xr:uid="{00000000-0006-0000-0800-000036000000}">
      <text>
        <r>
          <rPr>
            <sz val="11"/>
            <rFont val="Calibri"/>
          </rPr>
          <t>The Cisco switch must have Root Guard enabled on all switch ports connecting to access layer switches.</t>
        </r>
      </text>
    </comment>
    <comment ref="H77" authorId="0" shapeId="0" xr:uid="{00000000-0006-0000-0800-000041000000}">
      <text>
        <r>
          <rPr>
            <sz val="11"/>
            <rFont val="Calibri"/>
          </rPr>
          <t>The Cisco switch must have BPDU Guard enabled on all user-facing or untrusted access switch ports.</t>
        </r>
      </text>
    </comment>
    <comment ref="I77" authorId="0" shapeId="0" xr:uid="{00000000-0006-0000-0800-000042000000}">
      <text>
        <r>
          <rPr>
            <sz val="11"/>
            <rFont val="Calibri"/>
          </rPr>
          <t>The Cisco switch must have STP Loop Guard enabled.</t>
        </r>
      </text>
    </comment>
    <comment ref="J77" authorId="0" shapeId="0" xr:uid="{00000000-0006-0000-0800-000043000000}">
      <text>
        <r>
          <rPr>
            <sz val="11"/>
            <rFont val="Calibri"/>
          </rPr>
          <t>The Cisco switch must have DHCP snooping for all user VLANs to validate DHCP messages from untrusted sources.</t>
        </r>
      </text>
    </comment>
    <comment ref="K77" authorId="0" shapeId="0" xr:uid="{00000000-0006-0000-0800-000044000000}">
      <text>
        <r>
          <rPr>
            <sz val="11"/>
            <rFont val="Calibri"/>
          </rPr>
          <t>The Cisco switch must have IP Source Guard enabled on all user-facing or untrusted access switch ports.</t>
        </r>
      </text>
    </comment>
    <comment ref="L77" authorId="0" shapeId="0" xr:uid="{00000000-0006-0000-0800-000045000000}">
      <text>
        <r>
          <rPr>
            <sz val="11"/>
            <rFont val="Calibri"/>
          </rPr>
          <t>The Cisco switch must have Dynamic Address Resolution Protocol (ARP) Inspection (DAI) enabled on all user VLANs.</t>
        </r>
      </text>
    </comment>
    <comment ref="M77" authorId="0" shapeId="0" xr:uid="{00000000-0006-0000-0800-000046000000}">
      <text>
        <r>
          <rPr>
            <sz val="11"/>
            <rFont val="Calibri"/>
          </rPr>
          <t>The Cisco switch must have Storm Control configured on all host-facing switchports.</t>
        </r>
      </text>
    </comment>
    <comment ref="N77" authorId="0" shapeId="0" xr:uid="{00000000-0006-0000-0800-000047000000}">
      <text>
        <r>
          <rPr>
            <sz val="11"/>
            <rFont val="Calibri"/>
          </rPr>
          <t>The Cisco switch must have IGMP or MLD Snooping configured on all VLANs.</t>
        </r>
      </text>
    </comment>
    <comment ref="O77" authorId="0" shapeId="0" xr:uid="{00000000-0006-0000-0800-000048000000}">
      <text>
        <r>
          <rPr>
            <sz val="11"/>
            <rFont val="Calibri"/>
          </rPr>
          <t>The Cisco switch must implement Rapid STP where VLANs span multiple switches with redundant links.</t>
        </r>
      </text>
    </comment>
    <comment ref="P77" authorId="0" shapeId="0" xr:uid="{00000000-0006-0000-0800-000049000000}">
      <text>
        <r>
          <rPr>
            <sz val="11"/>
            <rFont val="Calibri"/>
          </rPr>
          <t>The Cisco switch must enable Unidirectional Link Detection (UDLD) to protect against one-way connections.</t>
        </r>
      </text>
    </comment>
    <comment ref="Q77" authorId="0" shapeId="0" xr:uid="{00000000-0006-0000-0800-00004A000000}">
      <text>
        <r>
          <rPr>
            <sz val="11"/>
            <rFont val="Calibri"/>
          </rPr>
          <t>The Cisco switch must have all trunk links enabled statically.</t>
        </r>
      </text>
    </comment>
    <comment ref="R77" authorId="0" shapeId="0" xr:uid="{00000000-0006-0000-0800-00004B000000}">
      <text>
        <r>
          <rPr>
            <sz val="11"/>
            <rFont val="Calibri"/>
          </rPr>
          <t>The Cisco switch must have all disabled switch ports assigned to an unused VLAN.</t>
        </r>
      </text>
    </comment>
    <comment ref="S77" authorId="0" shapeId="0" xr:uid="{00000000-0006-0000-0800-00004C000000}">
      <text>
        <r>
          <rPr>
            <sz val="11"/>
            <rFont val="Calibri"/>
          </rPr>
          <t>The Cisco switch must not have the default VLAN assigned to any host-facing switch ports.</t>
        </r>
      </text>
    </comment>
    <comment ref="T77" authorId="0" shapeId="0" xr:uid="{00000000-0006-0000-0800-00004D000000}">
      <text>
        <r>
          <rPr>
            <sz val="11"/>
            <rFont val="Calibri"/>
          </rPr>
          <t>The Cisco switch must have the default VLAN pruned from all trunk ports that do not require it.</t>
        </r>
      </text>
    </comment>
    <comment ref="U77" authorId="0" shapeId="0" xr:uid="{00000000-0006-0000-0800-000037000000}">
      <text>
        <r>
          <rPr>
            <sz val="11"/>
            <rFont val="Calibri"/>
          </rPr>
          <t>The Cisco switch must have all user-facing or untrusted ports configured as access switch ports.</t>
        </r>
      </text>
    </comment>
    <comment ref="V77" authorId="0" shapeId="0" xr:uid="{00000000-0006-0000-0800-000038000000}">
      <text>
        <r>
          <rPr>
            <sz val="11"/>
            <rFont val="Calibri"/>
          </rPr>
          <t>The Cisco switch must have the native VLAN assigned to an ID other than the default VLAN for all 802.1q trunk links.</t>
        </r>
      </text>
    </comment>
    <comment ref="W77" authorId="0" shapeId="0" xr:uid="{00000000-0006-0000-0800-000039000000}">
      <text>
        <r>
          <rPr>
            <sz val="11"/>
            <rFont val="Calibri"/>
          </rPr>
          <t>The Cisco switch must not have any switchports assigned to the native VLAN.</t>
        </r>
      </text>
    </comment>
    <comment ref="X77" authorId="0" shapeId="0" xr:uid="{00000000-0006-0000-0800-00003A000000}">
      <text>
        <r>
          <rPr>
            <sz val="11"/>
            <rFont val="Calibri"/>
          </rPr>
          <t>The Cisco perimeter switch must be configured to deny network traffic by default and allow network traffic by exception.</t>
        </r>
      </text>
    </comment>
    <comment ref="Y77" authorId="0" shapeId="0" xr:uid="{00000000-0006-0000-0800-00003B000000}">
      <text>
        <r>
          <rPr>
            <sz val="11"/>
            <rFont val="Calibri"/>
          </rPr>
          <t>The Cisco perimeter switch must be configured to block inbound packets with source Bogon IP address prefixes.</t>
        </r>
      </text>
    </comment>
    <comment ref="Z77" authorId="0" shapeId="0" xr:uid="{00000000-0006-0000-0800-00003C000000}">
      <text>
        <r>
          <rPr>
            <sz val="11"/>
            <rFont val="Calibri"/>
          </rPr>
          <t>The Cisco perimeter switch must be configured to filter traffic destined to the enclave in accordance with the guidelines contained in DoD Instruction 8551.1.</t>
        </r>
      </text>
    </comment>
    <comment ref="AA77" authorId="0" shapeId="0" xr:uid="{00000000-0006-0000-0800-00003D000000}">
      <text>
        <r>
          <rPr>
            <sz val="11"/>
            <rFont val="Calibri"/>
          </rPr>
          <t>The Cisco perimeter switch must be configured to filter ingress traffic at the external interface on an inbound direction.</t>
        </r>
      </text>
    </comment>
    <comment ref="AB77" authorId="0" shapeId="0" xr:uid="{00000000-0006-0000-0800-00003E000000}">
      <text>
        <r>
          <rPr>
            <sz val="11"/>
            <rFont val="Calibri"/>
          </rPr>
          <t>The Cisco perimeter switch must be configured to filter egress traffic at the internal interface on an inbound direction.</t>
        </r>
      </text>
    </comment>
    <comment ref="AC77" authorId="0" shapeId="0" xr:uid="{00000000-0006-0000-0800-00003F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AD77" authorId="0" shapeId="0" xr:uid="{00000000-0006-0000-0800-000040000000}">
      <text>
        <r>
          <rPr>
            <sz val="11"/>
            <rFont val="Calibri"/>
          </rPr>
          <t>The Cisco PE switch providing Virtual Private LAN Services (VPLS) must be configured to have traffic storm control thresholds on CE-facing interfaces.</t>
        </r>
      </text>
    </comment>
    <comment ref="G81" authorId="0" shapeId="0" xr:uid="{00000000-0006-0000-0800-00004E000000}">
      <text>
        <r>
          <rPr>
            <sz val="11"/>
            <rFont val="Calibri"/>
          </rPr>
          <t>The Cisco switch must uniquely identify and authenticate all network-connected endpoint devices before establishing any connection.</t>
        </r>
      </text>
    </comment>
    <comment ref="G82" authorId="0" shapeId="0" xr:uid="{00000000-0006-0000-0800-00004F000000}">
      <text>
        <r>
          <rPr>
            <sz val="11"/>
            <rFont val="Calibri"/>
          </rPr>
          <t>The Cisco switch must be configured to authenticate SNMP messages using a FIPS-validated Keyed-Hash Message Authentication Code (HMAC).</t>
        </r>
      </text>
    </comment>
    <comment ref="H82" authorId="0" shapeId="0" xr:uid="{00000000-0006-0000-0800-000050000000}">
      <text>
        <r>
          <rPr>
            <sz val="11"/>
            <rFont val="Calibri"/>
          </rPr>
          <t>The Cisco switch must be configured to encrypt SNMP messages using a FIPS 140-2 approved algorithm.</t>
        </r>
      </text>
    </comment>
    <comment ref="I82" authorId="0" shapeId="0" xr:uid="{00000000-0006-0000-0800-000051000000}">
      <text>
        <r>
          <rPr>
            <sz val="11"/>
            <rFont val="Calibri"/>
          </rPr>
          <t>The Cisco switch must be configured to use FIPS-validated Keyed-Hash Message Authentication Code (HMAC) to protect the integrity of remote maintenance sessions.</t>
        </r>
      </text>
    </comment>
    <comment ref="J82" authorId="0" shapeId="0" xr:uid="{00000000-0006-0000-0800-000052000000}">
      <text>
        <r>
          <rPr>
            <sz val="11"/>
            <rFont val="Calibri"/>
          </rPr>
          <t>The Cisco switch must be configured to implement cryptographic mechanisms to protect the confidentiality of remote maintenance sessions.</t>
        </r>
      </text>
    </comment>
    <comment ref="G83" authorId="0" shapeId="0" xr:uid="{00000000-0006-0000-0800-000053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Cisco switch must be configured to enforce approved authorizations for controlling the flow of management information within the device based on control policies.</t>
        </r>
      </text>
    </comment>
    <comment ref="M16" authorId="0" shapeId="0" xr:uid="{00000000-0006-0000-0A00-000009000000}">
      <text>
        <r>
          <rPr>
            <sz val="11"/>
            <rFont val="Calibri"/>
          </rPr>
          <t>The Cisco switch must be configured to enforce approved authorizations for controlling the flow of information within the network based on organization-defined information flow control policies.</t>
        </r>
      </text>
    </comment>
    <comment ref="N16" authorId="0" shapeId="0" xr:uid="{00000000-0006-0000-0A00-000002000000}">
      <text>
        <r>
          <rPr>
            <sz val="11"/>
            <rFont val="Calibri"/>
          </rPr>
          <t>The Cisco perimeter switch must be configured to deny network traffic by default and allow network traffic by exception.</t>
        </r>
      </text>
    </comment>
    <comment ref="O16" authorId="0" shapeId="0" xr:uid="{00000000-0006-0000-0A00-000003000000}">
      <text>
        <r>
          <rPr>
            <sz val="11"/>
            <rFont val="Calibri"/>
          </rPr>
          <t>The Cisco perimeter switch must be configured to enforce approved authorizations for controlling the flow of information between interconnected networks in accordance with applicable policy.</t>
        </r>
      </text>
    </comment>
    <comment ref="P16" authorId="0" shapeId="0" xr:uid="{00000000-0006-0000-0A00-000004000000}">
      <text>
        <r>
          <rPr>
            <sz val="11"/>
            <rFont val="Calibri"/>
          </rPr>
          <t>The Cisco perimeter switch must be configured to only allow incoming communications from authorized sources to be routed to authorized destinations.</t>
        </r>
      </text>
    </comment>
    <comment ref="Q16" authorId="0" shapeId="0" xr:uid="{00000000-0006-0000-0A00-000005000000}">
      <text>
        <r>
          <rPr>
            <sz val="11"/>
            <rFont val="Calibri"/>
          </rPr>
          <t>The Cisco perimeter switch must be configured to block inbound packets with source Bogon IP address prefixes.</t>
        </r>
      </text>
    </comment>
    <comment ref="R16" authorId="0" shapeId="0" xr:uid="{00000000-0006-0000-0A00-000006000000}">
      <text>
        <r>
          <rPr>
            <sz val="11"/>
            <rFont val="Calibri"/>
          </rPr>
          <t>The Cisco perimeter switch must be configured to filter traffic destined to the enclave in accordance with the guidelines contained in DoD Instruction 8551.1.</t>
        </r>
      </text>
    </comment>
    <comment ref="S16" authorId="0" shapeId="0" xr:uid="{00000000-0006-0000-0A00-000007000000}">
      <text>
        <r>
          <rPr>
            <sz val="11"/>
            <rFont val="Calibri"/>
          </rPr>
          <t>The Cisco perimeter switch must be configured to filter ingress traffic at the external interface on an inbound direction.</t>
        </r>
      </text>
    </comment>
    <comment ref="T16" authorId="0" shapeId="0" xr:uid="{00000000-0006-0000-0A00-000008000000}">
      <text>
        <r>
          <rPr>
            <sz val="11"/>
            <rFont val="Calibri"/>
          </rPr>
          <t>The Cisco perimeter switch must be configured to filter egress traffic at the internal interface on an inbound direction.</t>
        </r>
      </text>
    </comment>
    <comment ref="L17" authorId="0" shapeId="0" xr:uid="{00000000-0006-0000-0A00-00000A000000}">
      <text>
        <r>
          <rPr>
            <sz val="11"/>
            <rFont val="Calibri"/>
          </rPr>
          <t>The Cisco switch must have IGMP or MLD Snooping configured on all VLANs.</t>
        </r>
      </text>
    </comment>
    <comment ref="M17" authorId="0" shapeId="0" xr:uid="{00000000-0006-0000-0A00-00000E000000}">
      <text>
        <r>
          <rPr>
            <sz val="11"/>
            <rFont val="Calibri"/>
          </rPr>
          <t>The Cisco switch must implement Rapid STP where VLANs span multiple switches with redundant links.</t>
        </r>
      </text>
    </comment>
    <comment ref="N17" authorId="0" shapeId="0" xr:uid="{00000000-0006-0000-0A00-00000F000000}">
      <text>
        <r>
          <rPr>
            <sz val="11"/>
            <rFont val="Calibri"/>
          </rPr>
          <t>The Cisco switch must have all disabled switch ports assigned to an unused VLAN.</t>
        </r>
      </text>
    </comment>
    <comment ref="O17" authorId="0" shapeId="0" xr:uid="{00000000-0006-0000-0A00-000010000000}">
      <text>
        <r>
          <rPr>
            <sz val="11"/>
            <rFont val="Calibri"/>
          </rPr>
          <t>The Cisco switch must not have the default VLAN assigned to any host-facing switch ports.</t>
        </r>
      </text>
    </comment>
    <comment ref="P17" authorId="0" shapeId="0" xr:uid="{00000000-0006-0000-0A00-000011000000}">
      <text>
        <r>
          <rPr>
            <sz val="11"/>
            <rFont val="Calibri"/>
          </rPr>
          <t>The Cisco switch must have the default VLAN pruned from all trunk ports that do not require it.</t>
        </r>
      </text>
    </comment>
    <comment ref="Q17" authorId="0" shapeId="0" xr:uid="{00000000-0006-0000-0A00-000012000000}">
      <text>
        <r>
          <rPr>
            <sz val="11"/>
            <rFont val="Calibri"/>
          </rPr>
          <t>The Cisco switch must not have any switchports assigned to the native VLAN.</t>
        </r>
      </text>
    </comment>
    <comment ref="R17" authorId="0" shapeId="0" xr:uid="{00000000-0006-0000-0A00-000013000000}">
      <text>
        <r>
          <rPr>
            <sz val="11"/>
            <rFont val="Calibri"/>
          </rPr>
          <t>The Cisco perimeter switch must be configured to deny network traffic by default and allow network traffic by exception.</t>
        </r>
      </text>
    </comment>
    <comment ref="S17" authorId="0" shapeId="0" xr:uid="{00000000-0006-0000-0A00-000014000000}">
      <text>
        <r>
          <rPr>
            <sz val="11"/>
            <rFont val="Calibri"/>
          </rPr>
          <t>The Cisco perimeter switch must be configured to block inbound packets with source Bogon IP address prefixes.</t>
        </r>
      </text>
    </comment>
    <comment ref="T17" authorId="0" shapeId="0" xr:uid="{00000000-0006-0000-0A00-000015000000}">
      <text>
        <r>
          <rPr>
            <sz val="11"/>
            <rFont val="Calibri"/>
          </rPr>
          <t>The Cisco perimeter switch must be configured to filter traffic destined to the enclave in accordance with the guidelines contained in DoD Instruction 8551.1.</t>
        </r>
      </text>
    </comment>
    <comment ref="U17" authorId="0" shapeId="0" xr:uid="{00000000-0006-0000-0A00-00000B000000}">
      <text>
        <r>
          <rPr>
            <sz val="11"/>
            <rFont val="Calibri"/>
          </rPr>
          <t>The Cisco perimeter switch must be configured to filter ingress traffic at the external interface on an inbound direction.</t>
        </r>
      </text>
    </comment>
    <comment ref="V17" authorId="0" shapeId="0" xr:uid="{00000000-0006-0000-0A00-00000C000000}">
      <text>
        <r>
          <rPr>
            <sz val="11"/>
            <rFont val="Calibri"/>
          </rPr>
          <t>The Cisco perimeter switch must be configured to filter egress traffic at the internal interface on an inbound direction.</t>
        </r>
      </text>
    </comment>
    <comment ref="W17" authorId="0" shapeId="0" xr:uid="{00000000-0006-0000-0A00-00000D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L35" authorId="0" shapeId="0" xr:uid="{00000000-0006-0000-0A00-000016000000}">
      <text>
        <r>
          <rPr>
            <sz val="11"/>
            <rFont val="Calibri"/>
          </rPr>
          <t>The Cisco switch must be configured to prohibit the use of all unnecessary and nonsecure functions and services.</t>
        </r>
      </text>
    </comment>
    <comment ref="M35" authorId="0" shapeId="0" xr:uid="{00000000-0006-0000-0A00-000017000000}">
      <text>
        <r>
          <rPr>
            <sz val="11"/>
            <rFont val="Calibri"/>
          </rPr>
          <t>The Cisco switch must be configured to have all inactive layer 3 interfaces disabled.</t>
        </r>
      </text>
    </comment>
    <comment ref="N35" authorId="0" shapeId="0" xr:uid="{00000000-0006-0000-0A00-000018000000}">
      <text>
        <r>
          <rPr>
            <sz val="11"/>
            <rFont val="Calibri"/>
          </rPr>
          <t>The Cisco switch must not be configured to have any zero-touch deployment feature enabled when connected to an operational network.</t>
        </r>
      </text>
    </comment>
    <comment ref="O35" authorId="0" shapeId="0" xr:uid="{00000000-0006-0000-0A00-000019000000}">
      <text>
        <r>
          <rPr>
            <sz val="11"/>
            <rFont val="Calibri"/>
          </rPr>
          <t>The Cisco switch must be configured to disable the auxiliary port unless it is connected to a secured modem providing encryption and authentication.</t>
        </r>
      </text>
    </comment>
    <comment ref="P35" authorId="0" shapeId="0" xr:uid="{00000000-0006-0000-0A00-00001A000000}">
      <text>
        <r>
          <rPr>
            <sz val="11"/>
            <rFont val="Calibri"/>
          </rPr>
          <t>The Cisco perimeter switch must be configured to have Link Layer Discovery Protocol (LLDP) disabled on all external interfaces.</t>
        </r>
      </text>
    </comment>
    <comment ref="Q35" authorId="0" shapeId="0" xr:uid="{00000000-0006-0000-0A00-00001B000000}">
      <text>
        <r>
          <rPr>
            <sz val="11"/>
            <rFont val="Calibri"/>
          </rPr>
          <t>The Cisco perimeter switch must be configured to have Cisco Discovery Protocol (CDP) disabled on all external interfaces.</t>
        </r>
      </text>
    </comment>
    <comment ref="L38" authorId="0" shapeId="0" xr:uid="{00000000-0006-0000-0A00-00001C000000}">
      <text>
        <r>
          <rPr>
            <sz val="11"/>
            <rFont val="Calibri"/>
          </rPr>
          <t>The Cisco switch must be configured to authenticate SNMP messages using a FIPS-validated Keyed-Hash Message Authentication Code (HMAC).</t>
        </r>
      </text>
    </comment>
    <comment ref="M38" authorId="0" shapeId="0" xr:uid="{00000000-0006-0000-0A00-00001D000000}">
      <text>
        <r>
          <rPr>
            <sz val="11"/>
            <rFont val="Calibri"/>
          </rPr>
          <t>The Cisco switch must be configured to encrypt SNMP messages using a FIPS 140-2 approved algorithm.</t>
        </r>
      </text>
    </comment>
    <comment ref="N38" authorId="0" shapeId="0" xr:uid="{00000000-0006-0000-0A00-00001E000000}">
      <text>
        <r>
          <rPr>
            <sz val="11"/>
            <rFont val="Calibri"/>
          </rPr>
          <t>The Cisco switch must be configured to use FIPS-validated Keyed-Hash Message Authentication Code (HMAC) to protect the integrity of remote maintenance sessions.</t>
        </r>
      </text>
    </comment>
    <comment ref="O38" authorId="0" shapeId="0" xr:uid="{00000000-0006-0000-0A00-00001F000000}">
      <text>
        <r>
          <rPr>
            <sz val="11"/>
            <rFont val="Calibri"/>
          </rPr>
          <t>The Cisco switch must be configured to implement cryptographic mechanisms to protect the confidentiality of remote maintenance sessions.</t>
        </r>
      </text>
    </comment>
    <comment ref="P38" authorId="0" shapeId="0" xr:uid="{00000000-0006-0000-0A00-000020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L84" authorId="0" shapeId="0" xr:uid="{00000000-0006-0000-0A00-000021000000}">
      <text>
        <r>
          <rPr>
            <sz val="11"/>
            <rFont val="Calibri"/>
          </rPr>
          <t>The Cisco switch must be configured to authenticate SNMP messages using a FIPS-validated Keyed-Hash Message Authentication Code (HMAC).</t>
        </r>
      </text>
    </comment>
    <comment ref="M84" authorId="0" shapeId="0" xr:uid="{00000000-0006-0000-0A00-000022000000}">
      <text>
        <r>
          <rPr>
            <sz val="11"/>
            <rFont val="Calibri"/>
          </rPr>
          <t>The Cisco switch must be configured to encrypt SNMP messages using a FIPS 140-2 approved algorithm.</t>
        </r>
      </text>
    </comment>
    <comment ref="N84" authorId="0" shapeId="0" xr:uid="{00000000-0006-0000-0A00-000023000000}">
      <text>
        <r>
          <rPr>
            <sz val="11"/>
            <rFont val="Calibri"/>
          </rPr>
          <t>The Cisco switch must be configured to use FIPS-validated Keyed-Hash Message Authentication Code (HMAC) to protect the integrity of remote maintenance sessions.</t>
        </r>
      </text>
    </comment>
    <comment ref="O84" authorId="0" shapeId="0" xr:uid="{00000000-0006-0000-0A00-000024000000}">
      <text>
        <r>
          <rPr>
            <sz val="11"/>
            <rFont val="Calibri"/>
          </rPr>
          <t>The Cisco switch must be configured to implement cryptographic mechanisms to protect the confidentiality of remote maintenance sessions.</t>
        </r>
      </text>
    </comment>
    <comment ref="P84" authorId="0" shapeId="0" xr:uid="{00000000-0006-0000-0A00-000025000000}">
      <text>
        <r>
          <rPr>
            <sz val="11"/>
            <rFont val="Calibri"/>
          </rPr>
          <t>The Cisco switch must be configured to obtain its public key certificates from an appropriate certificate policy through an approved service provider.</t>
        </r>
      </text>
    </comment>
    <comment ref="L115" authorId="0" shapeId="0" xr:uid="{00000000-0006-0000-0A00-000026000000}">
      <text>
        <r>
          <rPr>
            <sz val="11"/>
            <rFont val="Calibri"/>
          </rPr>
          <t>The Cisco switch must be configured to prohibit the use of all unnecessary and nonsecure functions and services.</t>
        </r>
      </text>
    </comment>
    <comment ref="L119" authorId="0" shapeId="0" xr:uid="{00000000-0006-0000-0A00-000027000000}">
      <text>
        <r>
          <rPr>
            <sz val="11"/>
            <rFont val="Calibri"/>
          </rPr>
          <t>The Cisco switch must be running an IOS release that is currently supported by Cisco Systems.</t>
        </r>
      </text>
    </comment>
    <comment ref="L136" authorId="0" shapeId="0" xr:uid="{00000000-0006-0000-0A00-000028000000}">
      <text>
        <r>
          <rPr>
            <sz val="11"/>
            <rFont val="Calibri"/>
          </rPr>
          <t>The Cisco switch must be configured to enforce approved authorizations for controlling the flow of management information within the device based on control policies.</t>
        </r>
      </text>
    </comment>
    <comment ref="M136" authorId="0" shapeId="0" xr:uid="{00000000-0006-0000-0A00-000029000000}">
      <text>
        <r>
          <rPr>
            <sz val="11"/>
            <rFont val="Calibri"/>
          </rPr>
          <t>The Cisco switch must be configured to enforce approved authorizations for controlling the flow of information within the network based on organization-defined information flow control policies.</t>
        </r>
      </text>
    </comment>
    <comment ref="N136" authorId="0" shapeId="0" xr:uid="{00000000-0006-0000-0A00-00002A000000}">
      <text>
        <r>
          <rPr>
            <sz val="11"/>
            <rFont val="Calibri"/>
          </rPr>
          <t>The Cisco perimeter switch must be configured to enforce approved authorizations for controlling the flow of information between interconnected networks in accordance with applicable policy.</t>
        </r>
      </text>
    </comment>
    <comment ref="L139" authorId="0" shapeId="0" xr:uid="{00000000-0006-0000-0A00-00002B000000}">
      <text>
        <r>
          <rPr>
            <sz val="11"/>
            <rFont val="Calibri"/>
          </rPr>
          <t>The Cisco device must be configured to audit all administrator activity.</t>
        </r>
      </text>
    </comment>
    <comment ref="M139" authorId="0" shapeId="0" xr:uid="{00000000-0006-0000-0A00-00002C000000}">
      <text>
        <r>
          <rPr>
            <sz val="11"/>
            <rFont val="Calibri"/>
          </rPr>
          <t>The Cisco switch must be configured to limit privileges to change the software resident within software libraries.</t>
        </r>
      </text>
    </comment>
    <comment ref="L152" authorId="0" shapeId="0" xr:uid="{00000000-0006-0000-0A00-00002D000000}">
      <text>
        <r>
          <rPr>
            <sz val="11"/>
            <rFont val="Calibri"/>
          </rPr>
          <t>The Cisco switch must be configured to automatically audit account creation.</t>
        </r>
      </text>
    </comment>
    <comment ref="M152" authorId="0" shapeId="0" xr:uid="{00000000-0006-0000-0A00-00002E000000}">
      <text>
        <r>
          <rPr>
            <sz val="11"/>
            <rFont val="Calibri"/>
          </rPr>
          <t>The Cisco switch must be configured to automatically audit account modification.</t>
        </r>
      </text>
    </comment>
    <comment ref="N152" authorId="0" shapeId="0" xr:uid="{00000000-0006-0000-0A00-00002F000000}">
      <text>
        <r>
          <rPr>
            <sz val="11"/>
            <rFont val="Calibri"/>
          </rPr>
          <t>The Cisco switch must be configured to automatically audit account disabling actions.</t>
        </r>
      </text>
    </comment>
    <comment ref="O152" authorId="0" shapeId="0" xr:uid="{00000000-0006-0000-0A00-000030000000}">
      <text>
        <r>
          <rPr>
            <sz val="11"/>
            <rFont val="Calibri"/>
          </rPr>
          <t>The Cisco switch must be configured to automatically audit account removal actions.</t>
        </r>
      </text>
    </comment>
    <comment ref="P152" authorId="0" shapeId="0" xr:uid="{00000000-0006-0000-0A00-000031000000}">
      <text>
        <r>
          <rPr>
            <sz val="11"/>
            <rFont val="Calibri"/>
          </rPr>
          <t>The Cisco switch must be configured with only one local account to be used as the account of last resort in the event the authentication server is unavailable.</t>
        </r>
      </text>
    </comment>
    <comment ref="Q152" authorId="0" shapeId="0" xr:uid="{00000000-0006-0000-0A00-000032000000}">
      <text>
        <r>
          <rPr>
            <sz val="11"/>
            <rFont val="Calibri"/>
          </rPr>
          <t>The Cisco switch must be configured to automatically audit account enabling actions.</t>
        </r>
      </text>
    </comment>
    <comment ref="R152" authorId="0" shapeId="0" xr:uid="{00000000-0006-0000-0A00-000033000000}">
      <text>
        <r>
          <rPr>
            <sz val="11"/>
            <rFont val="Calibri"/>
          </rPr>
          <t>The Cisco switch must be configured to use at least two authentication servers for the purpose of authenticating users prior to granting administrative access.</t>
        </r>
      </text>
    </comment>
    <comment ref="L154" authorId="0" shapeId="0" xr:uid="{00000000-0006-0000-0A00-000034000000}">
      <text>
        <r>
          <rPr>
            <sz val="11"/>
            <rFont val="Calibri"/>
          </rPr>
          <t>The Cisco device must be configured to audit all administrator activity.</t>
        </r>
      </text>
    </comment>
    <comment ref="M154" authorId="0" shapeId="0" xr:uid="{00000000-0006-0000-0A00-000035000000}">
      <text>
        <r>
          <rPr>
            <sz val="11"/>
            <rFont val="Calibri"/>
          </rPr>
          <t>The Cisco switch must be configured to limit privileges to change the software resident within software libraries.</t>
        </r>
      </text>
    </comment>
    <comment ref="L155" authorId="0" shapeId="0" xr:uid="{00000000-0006-0000-0A00-000036000000}">
      <text>
        <r>
          <rPr>
            <sz val="11"/>
            <rFont val="Calibri"/>
          </rPr>
          <t>The Cisco switch must be configured to limit the number of concurrent management sessions to an organization-defined number.</t>
        </r>
      </text>
    </comment>
    <comment ref="L159" authorId="0" shapeId="0" xr:uid="{00000000-0006-0000-0A00-000037000000}">
      <text>
        <r>
          <rPr>
            <sz val="11"/>
            <rFont val="Calibri"/>
          </rPr>
          <t>The Cisco switch must be configured to display the Standard Mandatory DoD Notice and Consent Banner before granting access to the device.</t>
        </r>
      </text>
    </comment>
    <comment ref="M159" authorId="0" shapeId="0" xr:uid="{00000000-0006-0000-0A00-000038000000}">
      <text>
        <r>
          <rPr>
            <sz val="11"/>
            <rFont val="Calibri"/>
          </rPr>
          <t>The Cisco switch must be configured to terminate all network connections associated with device management after five minutes of inactivity.</t>
        </r>
      </text>
    </comment>
    <comment ref="L162" authorId="0" shapeId="0" xr:uid="{00000000-0006-0000-0A00-000039000000}">
      <text>
        <r>
          <rPr>
            <sz val="11"/>
            <rFont val="Calibri"/>
          </rPr>
          <t>The Cisco switch must only store cryptographic representations of passwords.</t>
        </r>
      </text>
    </comment>
    <comment ref="L164" authorId="0" shapeId="0" xr:uid="{00000000-0006-0000-0A00-00003A000000}">
      <text>
        <r>
          <rPr>
            <sz val="11"/>
            <rFont val="Calibri"/>
          </rPr>
          <t>The Cisco switch must be configured to enforce the limit of three consecutive invalid logon attempts, after which time it must lock out the user account from accessing the device for 15 minutes.</t>
        </r>
      </text>
    </comment>
    <comment ref="L166" authorId="0" shapeId="0" xr:uid="{00000000-0006-0000-0A00-00003B000000}">
      <text>
        <r>
          <rPr>
            <sz val="11"/>
            <rFont val="Calibri"/>
          </rPr>
          <t>The Cisco switch must be configured to enforce a minimum 15-character password length.</t>
        </r>
      </text>
    </comment>
    <comment ref="M166" authorId="0" shapeId="0" xr:uid="{00000000-0006-0000-0A00-00003C000000}">
      <text>
        <r>
          <rPr>
            <sz val="11"/>
            <rFont val="Calibri"/>
          </rPr>
          <t>The Cisco switch must be configured to enforce password complexity by requiring that at least one uppercase character be used.</t>
        </r>
      </text>
    </comment>
    <comment ref="N166" authorId="0" shapeId="0" xr:uid="{00000000-0006-0000-0A00-00003D000000}">
      <text>
        <r>
          <rPr>
            <sz val="11"/>
            <rFont val="Calibri"/>
          </rPr>
          <t>The Cisco switch must be configured to enforce password complexity by requiring that at least one lowercase character be used.</t>
        </r>
      </text>
    </comment>
    <comment ref="O166" authorId="0" shapeId="0" xr:uid="{00000000-0006-0000-0A00-00003E000000}">
      <text>
        <r>
          <rPr>
            <sz val="11"/>
            <rFont val="Calibri"/>
          </rPr>
          <t>The Cisco switch must be configured to enforce password complexity by requiring that at least one numeric character be used.</t>
        </r>
      </text>
    </comment>
    <comment ref="P166" authorId="0" shapeId="0" xr:uid="{00000000-0006-0000-0A00-00003F000000}">
      <text>
        <r>
          <rPr>
            <sz val="11"/>
            <rFont val="Calibri"/>
          </rPr>
          <t>The Cisco switch must be configured to enforce password complexity by requiring that at least one special character be used.</t>
        </r>
      </text>
    </comment>
    <comment ref="L167" authorId="0" shapeId="0" xr:uid="{00000000-0006-0000-0A00-000040000000}">
      <text>
        <r>
          <rPr>
            <sz val="11"/>
            <rFont val="Calibri"/>
          </rPr>
          <t>The Cisco switch must be configured to enforce a minimum 15-character password length.</t>
        </r>
      </text>
    </comment>
    <comment ref="M167" authorId="0" shapeId="0" xr:uid="{00000000-0006-0000-0A00-000041000000}">
      <text>
        <r>
          <rPr>
            <sz val="11"/>
            <rFont val="Calibri"/>
          </rPr>
          <t>The Cisco switch must be configured to enforce password complexity by requiring that at least one uppercase character be used.</t>
        </r>
      </text>
    </comment>
    <comment ref="N167" authorId="0" shapeId="0" xr:uid="{00000000-0006-0000-0A00-000042000000}">
      <text>
        <r>
          <rPr>
            <sz val="11"/>
            <rFont val="Calibri"/>
          </rPr>
          <t>The Cisco switch must be configured to enforce password complexity by requiring that at least one lowercase character be used.</t>
        </r>
      </text>
    </comment>
    <comment ref="O167" authorId="0" shapeId="0" xr:uid="{00000000-0006-0000-0A00-000043000000}">
      <text>
        <r>
          <rPr>
            <sz val="11"/>
            <rFont val="Calibri"/>
          </rPr>
          <t>The Cisco switch must be configured to enforce password complexity by requiring that at least one numeric character be used.</t>
        </r>
      </text>
    </comment>
    <comment ref="P167" authorId="0" shapeId="0" xr:uid="{00000000-0006-0000-0A00-000044000000}">
      <text>
        <r>
          <rPr>
            <sz val="11"/>
            <rFont val="Calibri"/>
          </rPr>
          <t>The Cisco switch must be configured to enforce password complexity by requiring that at least one special character be used.</t>
        </r>
      </text>
    </comment>
    <comment ref="L174" authorId="0" shapeId="0" xr:uid="{00000000-0006-0000-0A00-000045000000}">
      <text>
        <r>
          <rPr>
            <sz val="11"/>
            <rFont val="Calibri"/>
          </rPr>
          <t>The Cisco switch must uniquely identify and authenticate all network-connected endpoint devices before establishing any connection.</t>
        </r>
      </text>
    </comment>
    <comment ref="L175" authorId="0" shapeId="0" xr:uid="{00000000-0006-0000-0A00-000046000000}">
      <text>
        <r>
          <rPr>
            <sz val="11"/>
            <rFont val="Calibri"/>
          </rPr>
          <t>The Cisco switch must be configured to use at least two authentication servers for the purpose of authenticating users prior to granting administrative access.</t>
        </r>
      </text>
    </comment>
    <comment ref="L221" authorId="0" shapeId="0" xr:uid="{00000000-0006-0000-0A00-000047000000}">
      <text>
        <r>
          <rPr>
            <sz val="11"/>
            <rFont val="Calibri"/>
          </rPr>
          <t>The Cisco switch must be configured to automatically audit account creation.</t>
        </r>
      </text>
    </comment>
    <comment ref="M221" authorId="0" shapeId="0" xr:uid="{00000000-0006-0000-0A00-00004A000000}">
      <text>
        <r>
          <rPr>
            <sz val="11"/>
            <rFont val="Calibri"/>
          </rPr>
          <t>The Cisco switch must be configured to automatically audit account modification.</t>
        </r>
      </text>
    </comment>
    <comment ref="N221" authorId="0" shapeId="0" xr:uid="{00000000-0006-0000-0A00-00004B000000}">
      <text>
        <r>
          <rPr>
            <sz val="11"/>
            <rFont val="Calibri"/>
          </rPr>
          <t>The Cisco switch must be configured to automatically audit account disabling actions.</t>
        </r>
      </text>
    </comment>
    <comment ref="O221" authorId="0" shapeId="0" xr:uid="{00000000-0006-0000-0A00-00004C000000}">
      <text>
        <r>
          <rPr>
            <sz val="11"/>
            <rFont val="Calibri"/>
          </rPr>
          <t>The Cisco switch must be configured to automatically audit account removal actions.</t>
        </r>
      </text>
    </comment>
    <comment ref="P221" authorId="0" shapeId="0" xr:uid="{00000000-0006-0000-0A00-00004D000000}">
      <text>
        <r>
          <rPr>
            <sz val="11"/>
            <rFont val="Calibri"/>
          </rPr>
          <t>The Cisco switch must produce audit records containing information to establish when (date and time) the events occurred.</t>
        </r>
      </text>
    </comment>
    <comment ref="Q221" authorId="0" shapeId="0" xr:uid="{00000000-0006-0000-0A00-00004E000000}">
      <text>
        <r>
          <rPr>
            <sz val="11"/>
            <rFont val="Calibri"/>
          </rPr>
          <t>The Cisco switch must produce audit records containing information to establish where the events occurred.</t>
        </r>
      </text>
    </comment>
    <comment ref="R221" authorId="0" shapeId="0" xr:uid="{00000000-0006-0000-0A00-00004F000000}">
      <text>
        <r>
          <rPr>
            <sz val="11"/>
            <rFont val="Calibri"/>
          </rPr>
          <t>The Cisco switch must be configured to generate audit records containing the full-text recording of privileged commands.</t>
        </r>
      </text>
    </comment>
    <comment ref="S221" authorId="0" shapeId="0" xr:uid="{00000000-0006-0000-0A00-000050000000}">
      <text>
        <r>
          <rPr>
            <sz val="11"/>
            <rFont val="Calibri"/>
          </rPr>
          <t>The Cisco switch must be configured to automatically audit account enabling actions.</t>
        </r>
      </text>
    </comment>
    <comment ref="T221" authorId="0" shapeId="0" xr:uid="{00000000-0006-0000-0A00-000051000000}">
      <text>
        <r>
          <rPr>
            <sz val="11"/>
            <rFont val="Calibri"/>
          </rPr>
          <t>The Cisco switch must be configured to allocate audit record storage capacity in accordance with organization-defined audit record storage requirements.</t>
        </r>
      </text>
    </comment>
    <comment ref="U221" authorId="0" shapeId="0" xr:uid="{00000000-0006-0000-0A00-000052000000}">
      <text>
        <r>
          <rPr>
            <sz val="11"/>
            <rFont val="Calibri"/>
          </rPr>
          <t>The Cisco switch must be configured to generate log records when administrator privileges are deleted.</t>
        </r>
      </text>
    </comment>
    <comment ref="V221" authorId="0" shapeId="0" xr:uid="{00000000-0006-0000-0A00-000053000000}">
      <text>
        <r>
          <rPr>
            <sz val="11"/>
            <rFont val="Calibri"/>
          </rPr>
          <t>The Cisco switch must be configured to generate audit records when successful/unsuccessful logon attempts occur.</t>
        </r>
      </text>
    </comment>
    <comment ref="W221" authorId="0" shapeId="0" xr:uid="{00000000-0006-0000-0A00-000054000000}">
      <text>
        <r>
          <rPr>
            <sz val="11"/>
            <rFont val="Calibri"/>
          </rPr>
          <t>The Cisco switch must be configured to generate log records for privileged activities.</t>
        </r>
      </text>
    </comment>
    <comment ref="X221" authorId="0" shapeId="0" xr:uid="{00000000-0006-0000-0A00-000048000000}">
      <text>
        <r>
          <rPr>
            <sz val="11"/>
            <rFont val="Calibri"/>
          </rPr>
          <t>The Cisco switch must be configured to produce audit records containing information to establish where the events occurred.</t>
        </r>
      </text>
    </comment>
    <comment ref="Y221" authorId="0" shapeId="0" xr:uid="{00000000-0006-0000-0A00-000049000000}">
      <text>
        <r>
          <rPr>
            <sz val="11"/>
            <rFont val="Calibri"/>
          </rPr>
          <t>The Cisco switch must be configured to produce audit records containing information to establish the source of the events.</t>
        </r>
      </text>
    </comment>
    <comment ref="L231" authorId="0" shapeId="0" xr:uid="{00000000-0006-0000-0A00-000055000000}">
      <text>
        <r>
          <rPr>
            <sz val="11"/>
            <rFont val="Calibri"/>
          </rPr>
          <t>The Cisco switch must produce audit records containing information to establish where the events occurred.</t>
        </r>
      </text>
    </comment>
    <comment ref="M231" authorId="0" shapeId="0" xr:uid="{00000000-0006-0000-0A00-000056000000}">
      <text>
        <r>
          <rPr>
            <sz val="11"/>
            <rFont val="Calibri"/>
          </rPr>
          <t>The Cisco switch must be configured to generate audit records containing the full-text recording of privileged commands.</t>
        </r>
      </text>
    </comment>
    <comment ref="N231" authorId="0" shapeId="0" xr:uid="{00000000-0006-0000-0A00-000057000000}">
      <text>
        <r>
          <rPr>
            <sz val="11"/>
            <rFont val="Calibri"/>
          </rPr>
          <t>The Cisco switch must be configured to allocate audit record storage capacity in accordance with organization-defined audit record storage requirements.</t>
        </r>
      </text>
    </comment>
    <comment ref="O231" authorId="0" shapeId="0" xr:uid="{00000000-0006-0000-0A00-000058000000}">
      <text>
        <r>
          <rPr>
            <sz val="11"/>
            <rFont val="Calibri"/>
          </rPr>
          <t>The Cisco switch must be configured to generate log records when administrator privileges are deleted.</t>
        </r>
      </text>
    </comment>
    <comment ref="P231" authorId="0" shapeId="0" xr:uid="{00000000-0006-0000-0A00-000059000000}">
      <text>
        <r>
          <rPr>
            <sz val="11"/>
            <rFont val="Calibri"/>
          </rPr>
          <t>The Cisco switch must be configured to generate log records for privileged activities.</t>
        </r>
      </text>
    </comment>
    <comment ref="Q231" authorId="0" shapeId="0" xr:uid="{00000000-0006-0000-0A00-00005A000000}">
      <text>
        <r>
          <rPr>
            <sz val="11"/>
            <rFont val="Calibri"/>
          </rPr>
          <t>The Cisco switch must be configured to produce audit records containing information to establish where the events occurred.</t>
        </r>
      </text>
    </comment>
    <comment ref="R231" authorId="0" shapeId="0" xr:uid="{00000000-0006-0000-0A00-00005B000000}">
      <text>
        <r>
          <rPr>
            <sz val="11"/>
            <rFont val="Calibri"/>
          </rPr>
          <t>The Cisco switch must be configured to produce audit records containing information to establish the source of the events.</t>
        </r>
      </text>
    </comment>
    <comment ref="L232" authorId="0" shapeId="0" xr:uid="{00000000-0006-0000-0A00-00005C000000}">
      <text>
        <r>
          <rPr>
            <sz val="11"/>
            <rFont val="Calibri"/>
          </rPr>
          <t>The Cisco switch must be configured to send log data to at least two central log servers for the purpose of forwarding alerts to the administrators and the information system security officer (ISSO).</t>
        </r>
      </text>
    </comment>
    <comment ref="L233" authorId="0" shapeId="0" xr:uid="{00000000-0006-0000-0A00-00005D000000}">
      <text>
        <r>
          <rPr>
            <sz val="11"/>
            <rFont val="Calibri"/>
          </rPr>
          <t>The Cisco switch must be configured to send log data to at least two central log servers for the purpose of forwarding alerts to the administrators and the information system security officer (ISSO).</t>
        </r>
      </text>
    </comment>
    <comment ref="L244" authorId="0" shapeId="0" xr:uid="{00000000-0006-0000-0A00-00005E000000}">
      <text>
        <r>
          <rPr>
            <sz val="11"/>
            <rFont val="Calibri"/>
          </rPr>
          <t>The Cisco switch must produce audit records containing information to establish when (date and time) the events occurred.</t>
        </r>
      </text>
    </comment>
    <comment ref="M244" authorId="0" shapeId="0" xr:uid="{00000000-0006-0000-0A00-00005F000000}">
      <text>
        <r>
          <rPr>
            <sz val="11"/>
            <rFont val="Calibri"/>
          </rPr>
          <t>The Cisco switch must be configured to synchronize its clock with the primary and secondary time sources using redundant authoritative time sources.</t>
        </r>
      </text>
    </comment>
    <comment ref="N244" authorId="0" shapeId="0" xr:uid="{00000000-0006-0000-0A00-000060000000}">
      <text>
        <r>
          <rPr>
            <sz val="11"/>
            <rFont val="Calibri"/>
          </rPr>
          <t>The Cisco switch must be configured to authenticate Network Time Protocol (NTP) sources using authentication that is cryptographically based.</t>
        </r>
      </text>
    </comment>
    <comment ref="L249" authorId="0" shapeId="0" xr:uid="{00000000-0006-0000-0A00-000061000000}">
      <text>
        <r>
          <rPr>
            <sz val="11"/>
            <rFont val="Calibri"/>
          </rPr>
          <t>The Cisco switch must be configured to generate an alert for all audit failure events.</t>
        </r>
      </text>
    </comment>
    <comment ref="L274" authorId="0" shapeId="0" xr:uid="{00000000-0006-0000-0A00-000062000000}">
      <text>
        <r>
          <rPr>
            <sz val="11"/>
            <rFont val="Calibri"/>
          </rPr>
          <t>The Cisco switch must manage excess bandwidth to limit the effects of packet flooding types of denial-of-service (DoS) attacks.</t>
        </r>
      </text>
    </comment>
    <comment ref="M274" authorId="0" shapeId="0" xr:uid="{00000000-0006-0000-0A00-000063000000}">
      <text>
        <r>
          <rPr>
            <sz val="11"/>
            <rFont val="Calibri"/>
          </rPr>
          <t>The Cisco switch must have Unknown Unicast Flood Blocking (UUFB) enabled.</t>
        </r>
      </text>
    </comment>
    <comment ref="N274" authorId="0" shapeId="0" xr:uid="{00000000-0006-0000-0A00-000064000000}">
      <text>
        <r>
          <rPr>
            <sz val="11"/>
            <rFont val="Calibri"/>
          </rPr>
          <t>The Cisco switch must be configured to protect against or limit the effects of denial-of-service (DoS) attacks by employing control plane protection.</t>
        </r>
      </text>
    </comment>
    <comment ref="O274" authorId="0" shapeId="0" xr:uid="{00000000-0006-0000-0A00-000065000000}">
      <text>
        <r>
          <rPr>
            <sz val="11"/>
            <rFont val="Calibri"/>
          </rPr>
          <t>The Cisco BGP switch must be configured to use the maximum prefixes feature to protect against route table flooding and prefix de-aggregation attacks.</t>
        </r>
      </text>
    </comment>
    <comment ref="P274" authorId="0" shapeId="0" xr:uid="{00000000-0006-0000-0A00-000066000000}">
      <text>
        <r>
          <rPr>
            <sz val="11"/>
            <rFont val="Calibri"/>
          </rPr>
          <t>The Cisco switch must be configured to enforce a Quality-of-Service (QoS) policy to limit the effects of packet flooding denial-of-service (DoS) attacks.</t>
        </r>
      </text>
    </comment>
    <comment ref="Q274" authorId="0" shapeId="0" xr:uid="{00000000-0006-0000-0A00-000067000000}">
      <text>
        <r>
          <rPr>
            <sz val="11"/>
            <rFont val="Calibri"/>
          </rPr>
          <t>The Cisco multicast Rendezvous Point (RP) must be configured to rate limit the number of Protocol Independent Multicast (PIM) Register messages.</t>
        </r>
      </text>
    </comment>
    <comment ref="L291" authorId="0" shapeId="0" xr:uid="{00000000-0006-0000-0A00-000068000000}">
      <text>
        <r>
          <rPr>
            <sz val="11"/>
            <rFont val="Calibri"/>
          </rPr>
          <t>The Cisco switch must be configured to support organizational requirements to conduct backups of the configuration when changes occur.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 authorId="0" shapeId="0" xr:uid="{00000000-0006-0000-0B00-000001000000}">
      <text>
        <r>
          <rPr>
            <sz val="11"/>
            <rFont val="Calibri"/>
          </rPr>
          <t>The Cisco switch must be configured to support organizational requirements to conduct backups of the configuration when changes occur.</t>
        </r>
      </text>
    </comment>
    <comment ref="H111" authorId="0" shapeId="0" xr:uid="{00000000-0006-0000-0B00-000002000000}">
      <text>
        <r>
          <rPr>
            <sz val="11"/>
            <rFont val="Calibri"/>
          </rPr>
          <t>The Cisco switch must be configured to authenticate SNMP messages using a FIPS-validated Keyed-Hash Message Authentication Code (HMAC).</t>
        </r>
      </text>
    </comment>
    <comment ref="I111" authorId="0" shapeId="0" xr:uid="{00000000-0006-0000-0B00-000009000000}">
      <text>
        <r>
          <rPr>
            <sz val="11"/>
            <rFont val="Calibri"/>
          </rPr>
          <t>The Cisco switch must be configured to encrypt SNMP messages using a FIPS 140-2 approved algorithm.</t>
        </r>
      </text>
    </comment>
    <comment ref="J111" authorId="0" shapeId="0" xr:uid="{00000000-0006-0000-0B00-000003000000}">
      <text>
        <r>
          <rPr>
            <sz val="11"/>
            <rFont val="Calibri"/>
          </rPr>
          <t>The Cisco switch must be configured to use FIPS-validated Keyed-Hash Message Authentication Code (HMAC) to protect the integrity of remote maintenance sessions.</t>
        </r>
      </text>
    </comment>
    <comment ref="K111" authorId="0" shapeId="0" xr:uid="{00000000-0006-0000-0B00-000004000000}">
      <text>
        <r>
          <rPr>
            <sz val="11"/>
            <rFont val="Calibri"/>
          </rPr>
          <t>The Cisco switch must be configured to implement cryptographic mechanisms to protect the confidentiality of remote maintenance sessions.</t>
        </r>
      </text>
    </comment>
    <comment ref="L111" authorId="0" shapeId="0" xr:uid="{00000000-0006-0000-0B00-000005000000}">
      <text>
        <r>
          <rPr>
            <sz val="11"/>
            <rFont val="Calibri"/>
          </rPr>
          <t>The Cisco switch must authenticate all VLAN Trunk Protocol (VTP) messages with a hash function using the most secured cryptographic algorithm available.</t>
        </r>
      </text>
    </comment>
    <comment ref="M111" authorId="0" shapeId="0" xr:uid="{00000000-0006-0000-0B00-000006000000}">
      <text>
        <r>
          <rPr>
            <sz val="11"/>
            <rFont val="Calibri"/>
          </rPr>
          <t>The Cisco switch must be configured to enable routing protocol authentication using FIPS 198-1 algorithms with keys not exceeding 180 days of lifetime.</t>
        </r>
      </text>
    </comment>
    <comment ref="N111" authorId="0" shapeId="0" xr:uid="{00000000-0006-0000-0B00-000007000000}">
      <text>
        <r>
          <rPr>
            <sz val="11"/>
            <rFont val="Calibri"/>
          </rPr>
          <t>The Cisco BGP switch must be configured to use a unique key for each autonomous system (AS) that it peers with.</t>
        </r>
      </text>
    </comment>
    <comment ref="O111" authorId="0" shapeId="0" xr:uid="{00000000-0006-0000-0B00-000008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112" authorId="0" shapeId="0" xr:uid="{00000000-0006-0000-0B00-00000A000000}">
      <text>
        <r>
          <rPr>
            <sz val="11"/>
            <rFont val="Calibri"/>
          </rPr>
          <t>The Cisco switch must be configured to authenticate SNMP messages using a FIPS-validated Keyed-Hash Message Authentication Code (HMAC).</t>
        </r>
      </text>
    </comment>
    <comment ref="I112" authorId="0" shapeId="0" xr:uid="{00000000-0006-0000-0B00-00000B000000}">
      <text>
        <r>
          <rPr>
            <sz val="11"/>
            <rFont val="Calibri"/>
          </rPr>
          <t>The Cisco switch must be configured to encrypt SNMP messages using a FIPS 140-2 approved algorithm.</t>
        </r>
      </text>
    </comment>
    <comment ref="J112" authorId="0" shapeId="0" xr:uid="{00000000-0006-0000-0B00-00000C000000}">
      <text>
        <r>
          <rPr>
            <sz val="11"/>
            <rFont val="Calibri"/>
          </rPr>
          <t>The Cisco switch must be configured to use FIPS-validated Keyed-Hash Message Authentication Code (HMAC) to protect the integrity of remote maintenance sessions.</t>
        </r>
      </text>
    </comment>
    <comment ref="K112" authorId="0" shapeId="0" xr:uid="{00000000-0006-0000-0B00-00000D000000}">
      <text>
        <r>
          <rPr>
            <sz val="11"/>
            <rFont val="Calibri"/>
          </rPr>
          <t>The Cisco switch must be configured to implement cryptographic mechanisms to protect the confidentiality of remote maintenance sessions.</t>
        </r>
      </text>
    </comment>
    <comment ref="H114" authorId="0" shapeId="0" xr:uid="{00000000-0006-0000-0B00-00000E000000}">
      <text>
        <r>
          <rPr>
            <sz val="11"/>
            <rFont val="Calibri"/>
          </rPr>
          <t>The Cisco switch must be configured to obtain its public key certificates from an appropriate certificate policy through an approved service provider.</t>
        </r>
      </text>
    </comment>
    <comment ref="H238" authorId="0" shapeId="0" xr:uid="{00000000-0006-0000-0B00-00000F000000}">
      <text>
        <r>
          <rPr>
            <sz val="11"/>
            <rFont val="Calibri"/>
          </rPr>
          <t>The Cisco switch must be running an IOS release that is currently supported by Cisco Systems.</t>
        </r>
      </text>
    </comment>
    <comment ref="H240" authorId="0" shapeId="0" xr:uid="{00000000-0006-0000-0B00-000010000000}">
      <text>
        <r>
          <rPr>
            <sz val="11"/>
            <rFont val="Calibri"/>
          </rPr>
          <t>The Cisco switch must be configured to prohibit the use of all unnecessary and nonsecure functions and services.</t>
        </r>
      </text>
    </comment>
    <comment ref="H241" authorId="0" shapeId="0" xr:uid="{00000000-0006-0000-0B00-000011000000}">
      <text>
        <r>
          <rPr>
            <sz val="11"/>
            <rFont val="Calibri"/>
          </rPr>
          <t>The Cisco switch must be configured to prohibit the use of all unnecessary and nonsecure functions and services.</t>
        </r>
      </text>
    </comment>
    <comment ref="I241" authorId="0" shapeId="0" xr:uid="{00000000-0006-0000-0B00-000012000000}">
      <text>
        <r>
          <rPr>
            <sz val="11"/>
            <rFont val="Calibri"/>
          </rPr>
          <t>The Cisco switch must be configured to have all inactive layer 3 interfaces disabled.</t>
        </r>
      </text>
    </comment>
    <comment ref="H242" authorId="0" shapeId="0" xr:uid="{00000000-0006-0000-0B00-000013000000}">
      <text>
        <r>
          <rPr>
            <sz val="11"/>
            <rFont val="Calibri"/>
          </rPr>
          <t>The Cisco switch must not be configured to have any zero-touch deployment feature enabled when connected to an operational network.</t>
        </r>
      </text>
    </comment>
    <comment ref="I242" authorId="0" shapeId="0" xr:uid="{00000000-0006-0000-0B00-000014000000}">
      <text>
        <r>
          <rPr>
            <sz val="11"/>
            <rFont val="Calibri"/>
          </rPr>
          <t>The Cisco perimeter switch must be configured to have Link Layer Discovery Protocol (LLDP) disabled on all external interfaces.</t>
        </r>
      </text>
    </comment>
    <comment ref="J242" authorId="0" shapeId="0" xr:uid="{00000000-0006-0000-0B00-000015000000}">
      <text>
        <r>
          <rPr>
            <sz val="11"/>
            <rFont val="Calibri"/>
          </rPr>
          <t>The Cisco perimeter switch must be configured to have Cisco Discovery Protocol (CDP) disabled on all external interfaces.</t>
        </r>
      </text>
    </comment>
    <comment ref="H244" authorId="0" shapeId="0" xr:uid="{00000000-0006-0000-0B00-000016000000}">
      <text>
        <r>
          <rPr>
            <sz val="11"/>
            <rFont val="Calibri"/>
          </rPr>
          <t>The Cisco switch must be configured to disable the auxiliary port unless it is connected to a secured modem providing encryption and authentication.</t>
        </r>
      </text>
    </comment>
    <comment ref="H304" authorId="0" shapeId="0" xr:uid="{00000000-0006-0000-0B00-000017000000}">
      <text>
        <r>
          <rPr>
            <sz val="11"/>
            <rFont val="Calibri"/>
          </rPr>
          <t>The Cisco device must be configured to audit all administrator activity.</t>
        </r>
      </text>
    </comment>
    <comment ref="I304" authorId="0" shapeId="0" xr:uid="{00000000-0006-0000-0B00-000018000000}">
      <text>
        <r>
          <rPr>
            <sz val="11"/>
            <rFont val="Calibri"/>
          </rPr>
          <t>The Cisco switch must be configured to limit privileges to change the software resident within software libraries.</t>
        </r>
      </text>
    </comment>
    <comment ref="H305" authorId="0" shapeId="0" xr:uid="{00000000-0006-0000-0B00-000019000000}">
      <text>
        <r>
          <rPr>
            <sz val="11"/>
            <rFont val="Calibri"/>
          </rPr>
          <t>The Cisco device must be configured to audit all administrator activity.</t>
        </r>
      </text>
    </comment>
    <comment ref="I305" authorId="0" shapeId="0" xr:uid="{00000000-0006-0000-0B00-00001A000000}">
      <text>
        <r>
          <rPr>
            <sz val="11"/>
            <rFont val="Calibri"/>
          </rPr>
          <t>The Cisco switch must be configured to limit privileges to change the software resident within software libraries.</t>
        </r>
      </text>
    </comment>
    <comment ref="J305" authorId="0" shapeId="0" xr:uid="{00000000-0006-0000-0B00-00001B000000}">
      <text>
        <r>
          <rPr>
            <sz val="11"/>
            <rFont val="Calibri"/>
          </rPr>
          <t>The Cisco switch must be configured with only one local account to be used as the account of last resort in the event the authentication server is unavailable.</t>
        </r>
      </text>
    </comment>
    <comment ref="H307" authorId="0" shapeId="0" xr:uid="{00000000-0006-0000-0B00-00001C000000}">
      <text>
        <r>
          <rPr>
            <sz val="11"/>
            <rFont val="Calibri"/>
          </rPr>
          <t>The Cisco switch must be configured to generate log records when administrator privileges are deleted.</t>
        </r>
      </text>
    </comment>
    <comment ref="I307" authorId="0" shapeId="0" xr:uid="{00000000-0006-0000-0B00-00001D000000}">
      <text>
        <r>
          <rPr>
            <sz val="11"/>
            <rFont val="Calibri"/>
          </rPr>
          <t>The Cisco switch must be configured to generate log records for privileged activities.</t>
        </r>
      </text>
    </comment>
    <comment ref="H355" authorId="0" shapeId="0" xr:uid="{00000000-0006-0000-0B00-00001E000000}">
      <text>
        <r>
          <rPr>
            <sz val="11"/>
            <rFont val="Calibri"/>
          </rPr>
          <t>The Cisco switch must be configured to automatically audit account creation.</t>
        </r>
      </text>
    </comment>
    <comment ref="I355" authorId="0" shapeId="0" xr:uid="{00000000-0006-0000-0B00-000028000000}">
      <text>
        <r>
          <rPr>
            <sz val="11"/>
            <rFont val="Calibri"/>
          </rPr>
          <t>The Cisco switch must be configured to automatically audit account modification.</t>
        </r>
      </text>
    </comment>
    <comment ref="J355" authorId="0" shapeId="0" xr:uid="{00000000-0006-0000-0B00-000029000000}">
      <text>
        <r>
          <rPr>
            <sz val="11"/>
            <rFont val="Calibri"/>
          </rPr>
          <t>The Cisco switch must be configured to automatically audit account disabling actions.</t>
        </r>
      </text>
    </comment>
    <comment ref="K355" authorId="0" shapeId="0" xr:uid="{00000000-0006-0000-0B00-00002A000000}">
      <text>
        <r>
          <rPr>
            <sz val="11"/>
            <rFont val="Calibri"/>
          </rPr>
          <t>The Cisco switch must be configured to automatically audit account removal actions.</t>
        </r>
      </text>
    </comment>
    <comment ref="L355" authorId="0" shapeId="0" xr:uid="{00000000-0006-0000-0B00-00002B000000}">
      <text>
        <r>
          <rPr>
            <sz val="11"/>
            <rFont val="Calibri"/>
          </rPr>
          <t>The Cisco device must be configured to audit all administrator activity.</t>
        </r>
      </text>
    </comment>
    <comment ref="M355" authorId="0" shapeId="0" xr:uid="{00000000-0006-0000-0B00-00002C000000}">
      <text>
        <r>
          <rPr>
            <sz val="11"/>
            <rFont val="Calibri"/>
          </rPr>
          <t>The Cisco switch must produce audit records containing information to establish when (date and time) the events occurred.</t>
        </r>
      </text>
    </comment>
    <comment ref="N355" authorId="0" shapeId="0" xr:uid="{00000000-0006-0000-0B00-00002D000000}">
      <text>
        <r>
          <rPr>
            <sz val="11"/>
            <rFont val="Calibri"/>
          </rPr>
          <t>The Cisco switch must produce audit records containing information to establish where the events occurred.</t>
        </r>
      </text>
    </comment>
    <comment ref="O355" authorId="0" shapeId="0" xr:uid="{00000000-0006-0000-0B00-00002E000000}">
      <text>
        <r>
          <rPr>
            <sz val="11"/>
            <rFont val="Calibri"/>
          </rPr>
          <t>The Cisco switch must be configured to generate audit records containing the full-text recording of privileged commands.</t>
        </r>
      </text>
    </comment>
    <comment ref="P355" authorId="0" shapeId="0" xr:uid="{00000000-0006-0000-0B00-00001F000000}">
      <text>
        <r>
          <rPr>
            <sz val="11"/>
            <rFont val="Calibri"/>
          </rPr>
          <t>The Cisco switch must be configured to limit privileges to change the software resident within software libraries.</t>
        </r>
      </text>
    </comment>
    <comment ref="Q355" authorId="0" shapeId="0" xr:uid="{00000000-0006-0000-0B00-000020000000}">
      <text>
        <r>
          <rPr>
            <sz val="11"/>
            <rFont val="Calibri"/>
          </rPr>
          <t>The Cisco switch must be configured to automatically audit account enabling actions.</t>
        </r>
      </text>
    </comment>
    <comment ref="R355" authorId="0" shapeId="0" xr:uid="{00000000-0006-0000-0B00-000021000000}">
      <text>
        <r>
          <rPr>
            <sz val="11"/>
            <rFont val="Calibri"/>
          </rPr>
          <t>The Cisco switch must be configured to allocate audit record storage capacity in accordance with organization-defined audit record storage requirements.</t>
        </r>
      </text>
    </comment>
    <comment ref="S355" authorId="0" shapeId="0" xr:uid="{00000000-0006-0000-0B00-000022000000}">
      <text>
        <r>
          <rPr>
            <sz val="11"/>
            <rFont val="Calibri"/>
          </rPr>
          <t>The Cisco switch must be configured to generate log records when administrator privileges are deleted.</t>
        </r>
      </text>
    </comment>
    <comment ref="T355" authorId="0" shapeId="0" xr:uid="{00000000-0006-0000-0B00-000023000000}">
      <text>
        <r>
          <rPr>
            <sz val="11"/>
            <rFont val="Calibri"/>
          </rPr>
          <t>The Cisco switch must be configured to generate audit records when successful/unsuccessful logon attempts occur.</t>
        </r>
      </text>
    </comment>
    <comment ref="U355" authorId="0" shapeId="0" xr:uid="{00000000-0006-0000-0B00-000024000000}">
      <text>
        <r>
          <rPr>
            <sz val="11"/>
            <rFont val="Calibri"/>
          </rPr>
          <t>The Cisco switch must be configured to generate log records for privileged activities.</t>
        </r>
      </text>
    </comment>
    <comment ref="V355" authorId="0" shapeId="0" xr:uid="{00000000-0006-0000-0B00-000025000000}">
      <text>
        <r>
          <rPr>
            <sz val="11"/>
            <rFont val="Calibri"/>
          </rPr>
          <t>The Cisco switch must be configured to send log data to at least two central log servers for the purpose of forwarding alerts to the administrators and the information system security officer (ISSO).</t>
        </r>
      </text>
    </comment>
    <comment ref="W355" authorId="0" shapeId="0" xr:uid="{00000000-0006-0000-0B00-000026000000}">
      <text>
        <r>
          <rPr>
            <sz val="11"/>
            <rFont val="Calibri"/>
          </rPr>
          <t>The Cisco switch must be configured to produce audit records containing information to establish where the events occurred.</t>
        </r>
      </text>
    </comment>
    <comment ref="X355" authorId="0" shapeId="0" xr:uid="{00000000-0006-0000-0B00-000027000000}">
      <text>
        <r>
          <rPr>
            <sz val="11"/>
            <rFont val="Calibri"/>
          </rPr>
          <t>The Cisco switch must be configured to produce audit records containing information to establish the source of the events.</t>
        </r>
      </text>
    </comment>
    <comment ref="H356" authorId="0" shapeId="0" xr:uid="{00000000-0006-0000-0B00-00002F000000}">
      <text>
        <r>
          <rPr>
            <sz val="11"/>
            <rFont val="Calibri"/>
          </rPr>
          <t>The Cisco switch must be configured to generate audit records containing the full-text recording of privileged commands.</t>
        </r>
      </text>
    </comment>
    <comment ref="I356" authorId="0" shapeId="0" xr:uid="{00000000-0006-0000-0B00-000030000000}">
      <text>
        <r>
          <rPr>
            <sz val="11"/>
            <rFont val="Calibri"/>
          </rPr>
          <t>The Cisco switch must be configured to allocate audit record storage capacity in accordance with organization-defined audit record storage requirements.</t>
        </r>
      </text>
    </comment>
    <comment ref="J356" authorId="0" shapeId="0" xr:uid="{00000000-0006-0000-0B00-000031000000}">
      <text>
        <r>
          <rPr>
            <sz val="11"/>
            <rFont val="Calibri"/>
          </rPr>
          <t>The Cisco switch must be configured to produce audit records containing information to establish the source of the events.</t>
        </r>
      </text>
    </comment>
    <comment ref="H357" authorId="0" shapeId="0" xr:uid="{00000000-0006-0000-0B00-000032000000}">
      <text>
        <r>
          <rPr>
            <sz val="11"/>
            <rFont val="Calibri"/>
          </rPr>
          <t>The Cisco switch must be configured to send log data to at least two central log servers for the purpose of forwarding alerts to the administrators and the information system security officer (ISSO).</t>
        </r>
      </text>
    </comment>
    <comment ref="H359" authorId="0" shapeId="0" xr:uid="{00000000-0006-0000-0B00-000033000000}">
      <text>
        <r>
          <rPr>
            <sz val="11"/>
            <rFont val="Calibri"/>
          </rPr>
          <t>The Cisco switch must produce audit records containing information to establish when (date and time) the events occurred.</t>
        </r>
      </text>
    </comment>
    <comment ref="I359" authorId="0" shapeId="0" xr:uid="{00000000-0006-0000-0B00-000034000000}">
      <text>
        <r>
          <rPr>
            <sz val="11"/>
            <rFont val="Calibri"/>
          </rPr>
          <t>The Cisco switch must be configured to synchronize its clock with the primary and secondary time sources using redundant authoritative time sources.</t>
        </r>
      </text>
    </comment>
    <comment ref="J359" authorId="0" shapeId="0" xr:uid="{00000000-0006-0000-0B00-000035000000}">
      <text>
        <r>
          <rPr>
            <sz val="11"/>
            <rFont val="Calibri"/>
          </rPr>
          <t>The Cisco switch must be configured to authenticate Network Time Protocol (NTP) sources using authentication that is cryptographically based.</t>
        </r>
      </text>
    </comment>
    <comment ref="H361" authorId="0" shapeId="0" xr:uid="{00000000-0006-0000-0B00-000036000000}">
      <text>
        <r>
          <rPr>
            <sz val="11"/>
            <rFont val="Calibri"/>
          </rPr>
          <t>The Cisco switch must be configured to generate an alert for all audit failure events.</t>
        </r>
      </text>
    </comment>
    <comment ref="H374" authorId="0" shapeId="0" xr:uid="{00000000-0006-0000-0B00-000037000000}">
      <text>
        <r>
          <rPr>
            <sz val="11"/>
            <rFont val="Calibri"/>
          </rPr>
          <t>The Cisco switch must not be configured to have any zero-touch deployment feature enabled when connected to an operational network.</t>
        </r>
      </text>
    </comment>
    <comment ref="I374" authorId="0" shapeId="0" xr:uid="{00000000-0006-0000-0B00-000038000000}">
      <text>
        <r>
          <rPr>
            <sz val="11"/>
            <rFont val="Calibri"/>
          </rPr>
          <t>The Cisco perimeter switch must be configured to have Link Layer Discovery Protocol (LLDP) disabled on all external interfaces.</t>
        </r>
      </text>
    </comment>
    <comment ref="J374" authorId="0" shapeId="0" xr:uid="{00000000-0006-0000-0B00-000039000000}">
      <text>
        <r>
          <rPr>
            <sz val="11"/>
            <rFont val="Calibri"/>
          </rPr>
          <t>The Cisco perimeter switch must be configured to have Cisco Discovery Protocol (CDP) disabled on all external interfaces.</t>
        </r>
      </text>
    </comment>
    <comment ref="H375" authorId="0" shapeId="0" xr:uid="{00000000-0006-0000-0B00-00003A000000}">
      <text>
        <r>
          <rPr>
            <sz val="11"/>
            <rFont val="Calibri"/>
          </rPr>
          <t>The Cisco switch must be configured to use at least two authentication servers for the purpose of authenticating users prior to granting administrative access.</t>
        </r>
      </text>
    </comment>
    <comment ref="H376" authorId="0" shapeId="0" xr:uid="{00000000-0006-0000-0B00-00003B000000}">
      <text>
        <r>
          <rPr>
            <sz val="11"/>
            <rFont val="Calibri"/>
          </rPr>
          <t>The Cisco switch must be configured to synchronize its clock with the primary and secondary time sources using redundant authoritative time sources.</t>
        </r>
      </text>
    </comment>
    <comment ref="I376" authorId="0" shapeId="0" xr:uid="{00000000-0006-0000-0B00-00003C000000}">
      <text>
        <r>
          <rPr>
            <sz val="11"/>
            <rFont val="Calibri"/>
          </rPr>
          <t>The Cisco switch must be configured to authenticate Network Time Protocol (NTP) sources using authentication that is cryptographically based.</t>
        </r>
      </text>
    </comment>
    <comment ref="H377" authorId="0" shapeId="0" xr:uid="{00000000-0006-0000-0B00-00003D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378" authorId="0" shapeId="0" xr:uid="{00000000-0006-0000-0B00-00003E000000}">
      <text>
        <r>
          <rPr>
            <sz val="11"/>
            <rFont val="Calibri"/>
          </rPr>
          <t>The Cisco switch must not use the default VLAN for management traffic.</t>
        </r>
      </text>
    </comment>
    <comment ref="I378" authorId="0" shapeId="0" xr:uid="{00000000-0006-0000-0B00-00003F000000}">
      <text>
        <r>
          <rPr>
            <sz val="11"/>
            <rFont val="Calibri"/>
          </rPr>
          <t>The Cisco perimeter switch must be configured to block all outbound management traffic.</t>
        </r>
      </text>
    </comment>
    <comment ref="J378" authorId="0" shapeId="0" xr:uid="{00000000-0006-0000-0B00-000040000000}">
      <text>
        <r>
          <rPr>
            <sz val="11"/>
            <rFont val="Calibri"/>
          </rPr>
          <t>The Cisco switch must be configured to only permit management traffic that ingresses and egresses the out-of-band management (OOBM) interface.</t>
        </r>
      </text>
    </comment>
    <comment ref="H379" authorId="0" shapeId="0" xr:uid="{00000000-0006-0000-0B00-000041000000}">
      <text>
        <r>
          <rPr>
            <sz val="11"/>
            <rFont val="Calibri"/>
          </rPr>
          <t>The Cisco switch must be configured to terminate all network connections associated with device management after five minutes of inactivity.</t>
        </r>
      </text>
    </comment>
    <comment ref="H380" authorId="0" shapeId="0" xr:uid="{00000000-0006-0000-0B00-000042000000}">
      <text>
        <r>
          <rPr>
            <sz val="11"/>
            <rFont val="Calibri"/>
          </rPr>
          <t>The Cisco switch must be configured to display the Standard Mandatory DoD Notice and Consent Banner before granting access to the device.</t>
        </r>
      </text>
    </comment>
    <comment ref="H381" authorId="0" shapeId="0" xr:uid="{00000000-0006-0000-0B00-000043000000}">
      <text>
        <r>
          <rPr>
            <sz val="11"/>
            <rFont val="Calibri"/>
          </rPr>
          <t>The Cisco switch must be configured to limit the number of concurrent management sessions to an organization-defined number.</t>
        </r>
      </text>
    </comment>
    <comment ref="H385" authorId="0" shapeId="0" xr:uid="{00000000-0006-0000-0B00-000044000000}">
      <text>
        <r>
          <rPr>
            <sz val="11"/>
            <rFont val="Calibri"/>
          </rPr>
          <t>The Cisco switch must not use the default VLAN for management traffic.</t>
        </r>
      </text>
    </comment>
    <comment ref="I385" authorId="0" shapeId="0" xr:uid="{00000000-0006-0000-0B00-000045000000}">
      <text>
        <r>
          <rPr>
            <sz val="11"/>
            <rFont val="Calibri"/>
          </rPr>
          <t>The Cisco perimeter switch must be configured to block all outbound management traffic.</t>
        </r>
      </text>
    </comment>
    <comment ref="J385" authorId="0" shapeId="0" xr:uid="{00000000-0006-0000-0B00-000046000000}">
      <text>
        <r>
          <rPr>
            <sz val="11"/>
            <rFont val="Calibri"/>
          </rPr>
          <t>The Cisco switch must be configured to only permit management traffic that ingresses and egresses the out-of-band management (OOBM) interface.</t>
        </r>
      </text>
    </comment>
    <comment ref="H387" authorId="0" shapeId="0" xr:uid="{00000000-0006-0000-0B00-000047000000}">
      <text>
        <r>
          <rPr>
            <sz val="11"/>
            <rFont val="Calibri"/>
          </rPr>
          <t>The Cisco switch must be configured to enforce approved authorizations for controlling the flow of management information within the device based on control policies.</t>
        </r>
      </text>
    </comment>
    <comment ref="I387" authorId="0" shapeId="0" xr:uid="{00000000-0006-0000-0B00-000048000000}">
      <text>
        <r>
          <rPr>
            <sz val="11"/>
            <rFont val="Calibri"/>
          </rPr>
          <t>The Cisco switch must be configured to enforce approved authorizations for controlling the flow of information within the network based on organization-defined information flow control policies.</t>
        </r>
      </text>
    </comment>
    <comment ref="J387" authorId="0" shapeId="0" xr:uid="{00000000-0006-0000-0B00-000049000000}">
      <text>
        <r>
          <rPr>
            <sz val="11"/>
            <rFont val="Calibri"/>
          </rPr>
          <t>The Cisco switch must be configured to have all inactive layer 3 interfaces disabled.</t>
        </r>
      </text>
    </comment>
    <comment ref="K387" authorId="0" shapeId="0" xr:uid="{00000000-0006-0000-0B00-00004A000000}">
      <text>
        <r>
          <rPr>
            <sz val="11"/>
            <rFont val="Calibri"/>
          </rPr>
          <t>The Cisco perimeter switch must be configured to deny network traffic by default and allow network traffic by exception.</t>
        </r>
      </text>
    </comment>
    <comment ref="L387" authorId="0" shapeId="0" xr:uid="{00000000-0006-0000-0B00-00004B000000}">
      <text>
        <r>
          <rPr>
            <sz val="11"/>
            <rFont val="Calibri"/>
          </rPr>
          <t>The Cisco perimeter switch must be configured to enforce approved authorizations for controlling the flow of information between interconnected networks in accordance with applicable policy.</t>
        </r>
      </text>
    </comment>
    <comment ref="M387" authorId="0" shapeId="0" xr:uid="{00000000-0006-0000-0B00-00004C000000}">
      <text>
        <r>
          <rPr>
            <sz val="11"/>
            <rFont val="Calibri"/>
          </rPr>
          <t>The Cisco perimeter switch must be configured to only allow incoming communications from authorized sources to be routed to authorized destinations.</t>
        </r>
      </text>
    </comment>
    <comment ref="N387" authorId="0" shapeId="0" xr:uid="{00000000-0006-0000-0B00-00004D000000}">
      <text>
        <r>
          <rPr>
            <sz val="11"/>
            <rFont val="Calibri"/>
          </rPr>
          <t>The Cisco perimeter switch must be configured to block inbound packets with source Bogon IP address prefixes.</t>
        </r>
      </text>
    </comment>
    <comment ref="O387" authorId="0" shapeId="0" xr:uid="{00000000-0006-0000-0B00-00004E000000}">
      <text>
        <r>
          <rPr>
            <sz val="11"/>
            <rFont val="Calibri"/>
          </rPr>
          <t>The Cisco perimeter switch must be configured to filter traffic destined to the enclave in accordance with the guidelines contained in DoD Instruction 8551.1.</t>
        </r>
      </text>
    </comment>
    <comment ref="P387" authorId="0" shapeId="0" xr:uid="{00000000-0006-0000-0B00-00004F000000}">
      <text>
        <r>
          <rPr>
            <sz val="11"/>
            <rFont val="Calibri"/>
          </rPr>
          <t>The Cisco perimeter switch must be configured to filter ingress traffic at the external interface on an inbound direction.</t>
        </r>
      </text>
    </comment>
    <comment ref="Q387" authorId="0" shapeId="0" xr:uid="{00000000-0006-0000-0B00-000050000000}">
      <text>
        <r>
          <rPr>
            <sz val="11"/>
            <rFont val="Calibri"/>
          </rPr>
          <t>The Cisco perimeter switch must be configured to filter egress traffic at the internal interface on an inbound direction.</t>
        </r>
      </text>
    </comment>
    <comment ref="H388" authorId="0" shapeId="0" xr:uid="{00000000-0006-0000-0B00-000051000000}">
      <text>
        <r>
          <rPr>
            <sz val="11"/>
            <rFont val="Calibri"/>
          </rPr>
          <t>The Cisco perimeter switch must be configured to deny network traffic by default and allow network traffic by exception.</t>
        </r>
      </text>
    </comment>
    <comment ref="I388" authorId="0" shapeId="0" xr:uid="{00000000-0006-0000-0B00-000052000000}">
      <text>
        <r>
          <rPr>
            <sz val="11"/>
            <rFont val="Calibri"/>
          </rPr>
          <t>The Cisco perimeter switch must be configured to only allow incoming communications from authorized sources to be routed to authorized destinations.</t>
        </r>
      </text>
    </comment>
    <comment ref="J388" authorId="0" shapeId="0" xr:uid="{00000000-0006-0000-0B00-000053000000}">
      <text>
        <r>
          <rPr>
            <sz val="11"/>
            <rFont val="Calibri"/>
          </rPr>
          <t>The Cisco perimeter switch must be configured to block inbound packets with source Bogon IP address prefixes.</t>
        </r>
      </text>
    </comment>
    <comment ref="K388" authorId="0" shapeId="0" xr:uid="{00000000-0006-0000-0B00-000054000000}">
      <text>
        <r>
          <rPr>
            <sz val="11"/>
            <rFont val="Calibri"/>
          </rPr>
          <t>The Cisco perimeter switch must be configured to filter traffic destined to the enclave in accordance with the guidelines contained in DoD Instruction 8551.1.</t>
        </r>
      </text>
    </comment>
    <comment ref="L388" authorId="0" shapeId="0" xr:uid="{00000000-0006-0000-0B00-000055000000}">
      <text>
        <r>
          <rPr>
            <sz val="11"/>
            <rFont val="Calibri"/>
          </rPr>
          <t>The Cisco perimeter switch must be configured to filter ingress traffic at the external interface on an inbound direction.</t>
        </r>
      </text>
    </comment>
    <comment ref="M388" authorId="0" shapeId="0" xr:uid="{00000000-0006-0000-0B00-000056000000}">
      <text>
        <r>
          <rPr>
            <sz val="11"/>
            <rFont val="Calibri"/>
          </rPr>
          <t>The Cisco perimeter switch must be configured to filter egress traffic at the internal interface on an inbound direction.</t>
        </r>
      </text>
    </comment>
    <comment ref="N388" authorId="0" shapeId="0" xr:uid="{00000000-0006-0000-0B00-000057000000}">
      <text>
        <r>
          <rPr>
            <sz val="11"/>
            <rFont val="Calibri"/>
          </rPr>
          <t>The Cisco switch must be configured to have Cisco Express Forwarding enabled.</t>
        </r>
      </text>
    </comment>
    <comment ref="H389" authorId="0" shapeId="0" xr:uid="{00000000-0006-0000-0B00-000058000000}">
      <text>
        <r>
          <rPr>
            <sz val="11"/>
            <rFont val="Calibri"/>
          </rPr>
          <t>The Cisco switch must be configured to have Gratuitous ARP disabled on all external interfaces.</t>
        </r>
      </text>
    </comment>
    <comment ref="I389" authorId="0" shapeId="0" xr:uid="{00000000-0006-0000-0B00-00005A000000}">
      <text>
        <r>
          <rPr>
            <sz val="11"/>
            <rFont val="Calibri"/>
          </rPr>
          <t>The Cisco switch must be configured to have IP directed broadcast disabled on all interfaces.</t>
        </r>
      </text>
    </comment>
    <comment ref="J389" authorId="0" shapeId="0" xr:uid="{00000000-0006-0000-0B00-00005B000000}">
      <text>
        <r>
          <rPr>
            <sz val="11"/>
            <rFont val="Calibri"/>
          </rPr>
          <t>The Cisco switch must be configured to have Internet Control Message Protocol (ICMP) unreachable messages disabled on all external interfaces.</t>
        </r>
      </text>
    </comment>
    <comment ref="K389" authorId="0" shapeId="0" xr:uid="{00000000-0006-0000-0B00-00005C000000}">
      <text>
        <r>
          <rPr>
            <sz val="11"/>
            <rFont val="Calibri"/>
          </rPr>
          <t>The Cisco switch must be configured to have Internet Control Message Protocol (ICMP) mask reply messages disabled on all external interfaces.</t>
        </r>
      </text>
    </comment>
    <comment ref="L389" authorId="0" shapeId="0" xr:uid="{00000000-0006-0000-0B00-00005D000000}">
      <text>
        <r>
          <rPr>
            <sz val="11"/>
            <rFont val="Calibri"/>
          </rPr>
          <t>The Cisco switch must be configured to have Internet Control Message Protocol (ICMP) redirect messages disabled on all external interfaces.</t>
        </r>
      </text>
    </comment>
    <comment ref="M389" authorId="0" shapeId="0" xr:uid="{00000000-0006-0000-0B00-00005E000000}">
      <text>
        <r>
          <rPr>
            <sz val="11"/>
            <rFont val="Calibri"/>
          </rPr>
          <t>The Cisco perimeter switch must be configured to block all packets with any IP options.</t>
        </r>
      </text>
    </comment>
    <comment ref="N389" authorId="0" shapeId="0" xr:uid="{00000000-0006-0000-0B00-00005F000000}">
      <text>
        <r>
          <rPr>
            <sz val="11"/>
            <rFont val="Calibri"/>
          </rPr>
          <t>The Cisco perimeter switch must be configured to have Proxy ARP disabled on all external interfaces.</t>
        </r>
      </text>
    </comment>
    <comment ref="O389" authorId="0" shapeId="0" xr:uid="{00000000-0006-0000-0B00-000060000000}">
      <text>
        <r>
          <rPr>
            <sz val="11"/>
            <rFont val="Calibri"/>
          </rPr>
          <t>The Cisco PE switch must be configured to ignore or drop all packets with any IP options.</t>
        </r>
      </text>
    </comment>
    <comment ref="P389" authorId="0" shapeId="0" xr:uid="{00000000-0006-0000-0B00-000061000000}">
      <text>
        <r>
          <rPr>
            <sz val="11"/>
            <rFont val="Calibri"/>
          </rPr>
          <t>The Cisco switch must be configured to advertise a hop limit of at least 32 in Switch Advertisement messages for IPv6 stateless auto-configuration deployments.</t>
        </r>
      </text>
    </comment>
    <comment ref="Q389" authorId="0" shapeId="0" xr:uid="{00000000-0006-0000-0B00-000062000000}">
      <text>
        <r>
          <rPr>
            <sz val="11"/>
            <rFont val="Calibri"/>
          </rPr>
          <t>The Cisco switch must not be configured to use IPv6 Site Local Unicast addresses.</t>
        </r>
      </text>
    </comment>
    <comment ref="R389" authorId="0" shapeId="0" xr:uid="{00000000-0006-0000-0B00-000063000000}">
      <text>
        <r>
          <rPr>
            <sz val="11"/>
            <rFont val="Calibri"/>
          </rPr>
          <t>The Cisco perimeter switch must be configured to suppress Router Advertisements on all external IPv6-enabled interfaces.</t>
        </r>
      </text>
    </comment>
    <comment ref="S389" authorId="0" shapeId="0" xr:uid="{00000000-0006-0000-0B00-000064000000}">
      <text>
        <r>
          <rPr>
            <sz val="11"/>
            <rFont val="Calibri"/>
          </rPr>
          <t>The Cisco perimeter switch must be configured to drop IPv6 undetermined transport packets.</t>
        </r>
      </text>
    </comment>
    <comment ref="T389" authorId="0" shapeId="0" xr:uid="{00000000-0006-0000-0B00-000065000000}">
      <text>
        <r>
          <rPr>
            <sz val="11"/>
            <rFont val="Calibri"/>
          </rPr>
          <t>The Cisco perimeter switch must be configured drop IPv6 packets with a Routing Header type 0, 1, or 3-255.</t>
        </r>
      </text>
    </comment>
    <comment ref="U389" authorId="0" shapeId="0" xr:uid="{00000000-0006-0000-0B00-000066000000}">
      <text>
        <r>
          <rPr>
            <sz val="11"/>
            <rFont val="Calibri"/>
          </rPr>
          <t>The Cisco perimeter switch must be configured to drop IPv6 packets containing a Hop-by-Hop header with invalid option type values.</t>
        </r>
      </text>
    </comment>
    <comment ref="V389" authorId="0" shapeId="0" xr:uid="{00000000-0006-0000-0B00-000067000000}">
      <text>
        <r>
          <rPr>
            <sz val="11"/>
            <rFont val="Calibri"/>
          </rPr>
          <t>The Cisco perimeter switch must be configured to drop IPv6 packets containing a Destination Option header with invalid option type values.</t>
        </r>
      </text>
    </comment>
    <comment ref="W389" authorId="0" shapeId="0" xr:uid="{00000000-0006-0000-0B00-000068000000}">
      <text>
        <r>
          <rPr>
            <sz val="11"/>
            <rFont val="Calibri"/>
          </rPr>
          <t>The Cisco perimeter switch must be configured to drop IPv6 packets containing an extension header with the Endpoint Identification option.</t>
        </r>
      </text>
    </comment>
    <comment ref="X389" authorId="0" shapeId="0" xr:uid="{00000000-0006-0000-0B00-000069000000}">
      <text>
        <r>
          <rPr>
            <sz val="11"/>
            <rFont val="Calibri"/>
          </rPr>
          <t>The Cisco perimeter switch must be configured to drop IPv6 packets containing the NSAP address option within Destination Option header.</t>
        </r>
      </text>
    </comment>
    <comment ref="Y389" authorId="0" shapeId="0" xr:uid="{00000000-0006-0000-0B00-000059000000}">
      <text>
        <r>
          <rPr>
            <sz val="11"/>
            <rFont val="Calibri"/>
          </rPr>
          <t>The Cisco perimeter switch must be configured to drop IPv6 packets containing a Hop-by-Hop or Destination Option extension header with an undefined option type.</t>
        </r>
      </text>
    </comment>
    <comment ref="H390" authorId="0" shapeId="0" xr:uid="{00000000-0006-0000-0B00-00006A000000}">
      <text>
        <r>
          <rPr>
            <sz val="11"/>
            <rFont val="Calibri"/>
          </rPr>
          <t>The Cisco perimeter switch must be configured to restrict it from accepting outbound IP packets that contain an illegitimate address in the source address field via egress filter or by enabling Unicast Reverse Path Forwarding (uRPF).</t>
        </r>
      </text>
    </comment>
    <comment ref="I390" authorId="0" shapeId="0" xr:uid="{00000000-0006-0000-0B00-00006B000000}">
      <text>
        <r>
          <rPr>
            <sz val="11"/>
            <rFont val="Calibri"/>
          </rPr>
          <t>The Cisco PE switch must be configured with Unicast Reverse Path Forwarding (uRPF) loose mode enabled on all CE-facing interfaces.</t>
        </r>
      </text>
    </comment>
    <comment ref="H391" authorId="0" shapeId="0" xr:uid="{00000000-0006-0000-0B00-00006C000000}">
      <text>
        <r>
          <rPr>
            <sz val="11"/>
            <rFont val="Calibri"/>
          </rPr>
          <t>The Cisco switch must be configured to enable routing protocol authentication using FIPS 198-1 algorithms with keys not exceeding 180 days of lifetime.</t>
        </r>
      </text>
    </comment>
    <comment ref="I391" authorId="0" shapeId="0" xr:uid="{00000000-0006-0000-0B00-00006D000000}">
      <text>
        <r>
          <rPr>
            <sz val="11"/>
            <rFont val="Calibri"/>
          </rPr>
          <t>The Cisco BGP switch must be configured to use a unique key for each autonomous system (AS) that it peers with.</t>
        </r>
      </text>
    </comment>
    <comment ref="H392" authorId="0" shapeId="0" xr:uid="{00000000-0006-0000-0B00-00006E000000}">
      <text>
        <r>
          <rPr>
            <sz val="11"/>
            <rFont val="Calibri"/>
          </rPr>
          <t>The Cisco switch must have Root Guard enabled on all switch ports connecting to access layer switches.</t>
        </r>
      </text>
    </comment>
    <comment ref="I392" authorId="0" shapeId="0" xr:uid="{00000000-0006-0000-0B00-00006F000000}">
      <text>
        <r>
          <rPr>
            <sz val="11"/>
            <rFont val="Calibri"/>
          </rPr>
          <t>The Cisco switch must have BPDU Guard enabled on all user-facing or untrusted access switch ports.</t>
        </r>
      </text>
    </comment>
    <comment ref="J392" authorId="0" shapeId="0" xr:uid="{00000000-0006-0000-0B00-000070000000}">
      <text>
        <r>
          <rPr>
            <sz val="11"/>
            <rFont val="Calibri"/>
          </rPr>
          <t>The Cisco switch must have STP Loop Guard enabled.</t>
        </r>
      </text>
    </comment>
    <comment ref="K392" authorId="0" shapeId="0" xr:uid="{00000000-0006-0000-0B00-000071000000}">
      <text>
        <r>
          <rPr>
            <sz val="11"/>
            <rFont val="Calibri"/>
          </rPr>
          <t>The Cisco switch must have DHCP snooping for all user VLANs to validate DHCP messages from untrusted sources.</t>
        </r>
      </text>
    </comment>
    <comment ref="L392" authorId="0" shapeId="0" xr:uid="{00000000-0006-0000-0B00-000072000000}">
      <text>
        <r>
          <rPr>
            <sz val="11"/>
            <rFont val="Calibri"/>
          </rPr>
          <t>The Cisco switch must have IP Source Guard enabled on all user-facing or untrusted access switch ports.</t>
        </r>
      </text>
    </comment>
    <comment ref="M392" authorId="0" shapeId="0" xr:uid="{00000000-0006-0000-0B00-000073000000}">
      <text>
        <r>
          <rPr>
            <sz val="11"/>
            <rFont val="Calibri"/>
          </rPr>
          <t>The Cisco switch must have Dynamic Address Resolution Protocol (ARP) Inspection (DAI) enabled on all user VLANs.</t>
        </r>
      </text>
    </comment>
    <comment ref="N392" authorId="0" shapeId="0" xr:uid="{00000000-0006-0000-0B00-000074000000}">
      <text>
        <r>
          <rPr>
            <sz val="11"/>
            <rFont val="Calibri"/>
          </rPr>
          <t>The Cisco switch must enable Unidirectional Link Detection (UDLD) to protect against one-way connections.</t>
        </r>
      </text>
    </comment>
    <comment ref="O392" authorId="0" shapeId="0" xr:uid="{00000000-0006-0000-0B00-000075000000}">
      <text>
        <r>
          <rPr>
            <sz val="11"/>
            <rFont val="Calibri"/>
          </rPr>
          <t>The Cisco switch must have all trunk links enabled statically.</t>
        </r>
      </text>
    </comment>
    <comment ref="P392" authorId="0" shapeId="0" xr:uid="{00000000-0006-0000-0B00-000076000000}">
      <text>
        <r>
          <rPr>
            <sz val="11"/>
            <rFont val="Calibri"/>
          </rPr>
          <t>The Cisco switch must have all user-facing or untrusted ports configured as access switch ports.</t>
        </r>
      </text>
    </comment>
    <comment ref="Q392" authorId="0" shapeId="0" xr:uid="{00000000-0006-0000-0B00-000077000000}">
      <text>
        <r>
          <rPr>
            <sz val="11"/>
            <rFont val="Calibri"/>
          </rPr>
          <t>The Cisco switch must have the native VLAN assigned to an ID other than the default VLAN for all 802.1q trunk links.</t>
        </r>
      </text>
    </comment>
    <comment ref="H393" authorId="0" shapeId="0" xr:uid="{00000000-0006-0000-0B00-000078000000}">
      <text>
        <r>
          <rPr>
            <sz val="11"/>
            <rFont val="Calibri"/>
          </rPr>
          <t>The Cisco BGP switch must be configured to enable the Generalized TTL Security Mechanism (GTSM).</t>
        </r>
      </text>
    </comment>
    <comment ref="I393" authorId="0" shapeId="0" xr:uid="{00000000-0006-0000-0B00-00008E000000}">
      <text>
        <r>
          <rPr>
            <sz val="11"/>
            <rFont val="Calibri"/>
          </rPr>
          <t>The Cisco BGP switch must be configured to reject inbound route advertisements for any Bogon prefixes.</t>
        </r>
      </text>
    </comment>
    <comment ref="J393" authorId="0" shapeId="0" xr:uid="{00000000-0006-0000-0B00-00008F000000}">
      <text>
        <r>
          <rPr>
            <sz val="11"/>
            <rFont val="Calibri"/>
          </rPr>
          <t>The Cisco BGP switch must be configured to reject inbound route advertisements for any prefixes belonging to the local autonomous system (AS).</t>
        </r>
      </text>
    </comment>
    <comment ref="K393" authorId="0" shapeId="0" xr:uid="{00000000-0006-0000-0B00-000090000000}">
      <text>
        <r>
          <rPr>
            <sz val="11"/>
            <rFont val="Calibri"/>
          </rPr>
          <t>The Cisco BGP switch must be configured to reject inbound route advertisements from a customer edge (CE) switch for prefixes that are not allocated to that customer.</t>
        </r>
      </text>
    </comment>
    <comment ref="L393" authorId="0" shapeId="0" xr:uid="{00000000-0006-0000-0B00-000091000000}">
      <text>
        <r>
          <rPr>
            <sz val="11"/>
            <rFont val="Calibri"/>
          </rPr>
          <t>The Cisco BGP switch must be configured to reject outbound route advertisements for any prefixes that do not belong to any customers or the local autonomous system (AS).</t>
        </r>
      </text>
    </comment>
    <comment ref="M393" authorId="0" shapeId="0" xr:uid="{00000000-0006-0000-0B00-000092000000}">
      <text>
        <r>
          <rPr>
            <sz val="11"/>
            <rFont val="Calibri"/>
          </rPr>
          <t>The Cisco BGP switch must be configured to reject outbound route advertisements for any prefixes belonging to the IP core.</t>
        </r>
      </text>
    </comment>
    <comment ref="N393" authorId="0" shapeId="0" xr:uid="{00000000-0006-0000-0B00-000093000000}">
      <text>
        <r>
          <rPr>
            <sz val="11"/>
            <rFont val="Calibri"/>
          </rPr>
          <t>The Cisco BGP switch must be configured to reject route advertisements from BGP peers that do not list their autonomous system (AS) number as the first AS in the AS_PATH attribute.</t>
        </r>
      </text>
    </comment>
    <comment ref="O393" authorId="0" shapeId="0" xr:uid="{00000000-0006-0000-0B00-000094000000}">
      <text>
        <r>
          <rPr>
            <sz val="11"/>
            <rFont val="Calibri"/>
          </rPr>
          <t>The Cisco BGP switch must be configured to reject route advertisements from CE switches with an originating AS in the AS_PATH attribute that does not belong to that customer.</t>
        </r>
      </text>
    </comment>
    <comment ref="P393" authorId="0" shapeId="0" xr:uid="{00000000-0006-0000-0B00-000095000000}">
      <text>
        <r>
          <rPr>
            <sz val="11"/>
            <rFont val="Calibri"/>
          </rPr>
          <t>The Cisco BGP switch must be configured to limit the prefix size on any inbound route advertisement to /24, or the least significant prefixes issued to the customer.</t>
        </r>
      </text>
    </comment>
    <comment ref="Q393" authorId="0" shapeId="0" xr:uid="{00000000-0006-0000-0B00-000096000000}">
      <text>
        <r>
          <rPr>
            <sz val="11"/>
            <rFont val="Calibri"/>
          </rPr>
          <t>The Cisco BGP switch must be configured to use its loopback address as the source address for iBGP peering sessions.</t>
        </r>
      </text>
    </comment>
    <comment ref="R393" authorId="0" shapeId="0" xr:uid="{00000000-0006-0000-0B00-000097000000}">
      <text>
        <r>
          <rPr>
            <sz val="11"/>
            <rFont val="Calibri"/>
          </rPr>
          <t>The Cisco MPLS switch must be configured to use its loopback address as the source address for LDP peering sessions.</t>
        </r>
      </text>
    </comment>
    <comment ref="S393" authorId="0" shapeId="0" xr:uid="{00000000-0006-0000-0B00-000098000000}">
      <text>
        <r>
          <rPr>
            <sz val="11"/>
            <rFont val="Calibri"/>
          </rPr>
          <t>The Cisco MPLS switch must be configured to synchronize Interior Gateway Protocol (IGP) and LDP to minimize packet loss when an IGP adjacency is established prior to LDP peers completing label exchange.</t>
        </r>
      </text>
    </comment>
    <comment ref="T393" authorId="0" shapeId="0" xr:uid="{00000000-0006-0000-0B00-000099000000}">
      <text>
        <r>
          <rPr>
            <sz val="11"/>
            <rFont val="Calibri"/>
          </rPr>
          <t>The MPLS switch with RSVP-TE enabled must be configured with message pacing to adjust maximum burst and maximum number of RSVP messages to an output queue based on the link speed and input queue size of adjacent core switches.</t>
        </r>
      </text>
    </comment>
    <comment ref="U393" authorId="0" shapeId="0" xr:uid="{00000000-0006-0000-0B00-00009A000000}">
      <text>
        <r>
          <rPr>
            <sz val="11"/>
            <rFont val="Calibri"/>
          </rPr>
          <t>The Cisco MPLS switch must be configured to have TTL Propagation disabled.</t>
        </r>
      </text>
    </comment>
    <comment ref="V393" authorId="0" shapeId="0" xr:uid="{00000000-0006-0000-0B00-00009B000000}">
      <text>
        <r>
          <rPr>
            <sz val="11"/>
            <rFont val="Calibri"/>
          </rPr>
          <t>The Cisco PE switch must be configured to have each Virtual Routing and Forwarding (VRF) instance bound to the appropriate physical or logical interfaces to maintain traffic separation between all MPLS L3VPNs.</t>
        </r>
      </text>
    </comment>
    <comment ref="W393" authorId="0" shapeId="0" xr:uid="{00000000-0006-0000-0B00-00009C000000}">
      <text>
        <r>
          <rPr>
            <sz val="11"/>
            <rFont val="Calibri"/>
          </rPr>
          <t>The Cisco PE switch must be configured to have each Virtual Routing and Forwarding (VRF) instance with the appropriate Route Target (RT).</t>
        </r>
      </text>
    </comment>
    <comment ref="X393" authorId="0" shapeId="0" xr:uid="{00000000-0006-0000-0B00-00009D000000}">
      <text>
        <r>
          <rPr>
            <sz val="11"/>
            <rFont val="Calibri"/>
          </rPr>
          <t>The Cisco PE switch must be configured to have each VRF with the appropriate Route Distinguisher (RD).</t>
        </r>
      </text>
    </comment>
    <comment ref="Y393" authorId="0" shapeId="0" xr:uid="{00000000-0006-0000-0B00-00009E000000}">
      <text>
        <r>
          <rPr>
            <sz val="11"/>
            <rFont val="Calibri"/>
          </rPr>
          <t>The Cisco PE switch providing MPLS Virtual Private Wire Service (VPWS) must be configured to have the appropriate virtual circuit identification (VC ID) for each attachment circuit.</t>
        </r>
      </text>
    </comment>
    <comment ref="Z393" authorId="0" shapeId="0" xr:uid="{00000000-0006-0000-0B00-000079000000}">
      <text>
        <r>
          <rPr>
            <sz val="11"/>
            <rFont val="Calibri"/>
          </rPr>
          <t>The Cisco PE switch must be configured to enforce the split-horizon rule for all pseudowires within a Virtual Private LAN Services (VPLS) bridge domain.</t>
        </r>
      </text>
    </comment>
    <comment ref="AA393" authorId="0" shapeId="0" xr:uid="{00000000-0006-0000-0B00-00007A000000}">
      <text>
        <r>
          <rPr>
            <sz val="11"/>
            <rFont val="Calibri"/>
          </rPr>
          <t>The Cisco PE switch must be configured to implement Internet Group Management Protocol (IGMP) or Multicast Listener Discovery (MLD) snooping for each Virtual Private LAN Services (VPLS) bridge domain.</t>
        </r>
      </text>
    </comment>
    <comment ref="AB393" authorId="0" shapeId="0" xr:uid="{00000000-0006-0000-0B00-00007B000000}">
      <text>
        <r>
          <rPr>
            <sz val="11"/>
            <rFont val="Calibri"/>
          </rPr>
          <t>The Cisco PE switch must be configured to limit the number of MAC addresses it can learn for each Virtual Private LAN Services (VPLS) bridge domain.</t>
        </r>
      </text>
    </comment>
    <comment ref="AC393" authorId="0" shapeId="0" xr:uid="{00000000-0006-0000-0B00-00007C000000}">
      <text>
        <r>
          <rPr>
            <sz val="11"/>
            <rFont val="Calibri"/>
          </rPr>
          <t>The Cisco PE switch must be configured to block any traffic that is destined to the IP core infrastructure.</t>
        </r>
      </text>
    </comment>
    <comment ref="AD393" authorId="0" shapeId="0" xr:uid="{00000000-0006-0000-0B00-00007D000000}">
      <text>
        <r>
          <rPr>
            <sz val="11"/>
            <rFont val="Calibri"/>
          </rPr>
          <t>The Cisco PE switch must be configured to enforce a Quality-of-Service (QoS) policy to provide preferred treatment for mission-critical applications.</t>
        </r>
      </text>
    </comment>
    <comment ref="AE393" authorId="0" shapeId="0" xr:uid="{00000000-0006-0000-0B00-00007E000000}">
      <text>
        <r>
          <rPr>
            <sz val="11"/>
            <rFont val="Calibri"/>
          </rPr>
          <t>The Cisco multicast switch must be configured to disable Protocol Independent Multicast (PIM) on all interfaces that are not required to support multicast routing.</t>
        </r>
      </text>
    </comment>
    <comment ref="AF393" authorId="0" shapeId="0" xr:uid="{00000000-0006-0000-0B00-00007F000000}">
      <text>
        <r>
          <rPr>
            <sz val="11"/>
            <rFont val="Calibri"/>
          </rPr>
          <t>The Cisco multicast switch must be configured to bind a Protocol Independent Multicast (PIM) neighbor filter to interfaces that have PIM enabled.</t>
        </r>
      </text>
    </comment>
    <comment ref="AG393" authorId="0" shapeId="0" xr:uid="{00000000-0006-0000-0B00-000080000000}">
      <text>
        <r>
          <rPr>
            <sz val="11"/>
            <rFont val="Calibri"/>
          </rPr>
          <t>The Cisco multicast edge switch must be configured to establish boundaries for administratively scoped multicast traffic.</t>
        </r>
      </text>
    </comment>
    <comment ref="AH393" authorId="0" shapeId="0" xr:uid="{00000000-0006-0000-0B00-000081000000}">
      <text>
        <r>
          <rPr>
            <sz val="11"/>
            <rFont val="Calibri"/>
          </rPr>
          <t>The Cisco multicast Rendezvous Point (RP) switch must be configured to limit the multicast forwarding cache so that its resources are not saturated by managing an overwhelming number of Protocol Independent Multicast (PIM) and Multicast Source Discovery Protocol (MSDP) source-active entries.</t>
        </r>
      </text>
    </comment>
    <comment ref="AI393" authorId="0" shapeId="0" xr:uid="{00000000-0006-0000-0B00-000082000000}">
      <text>
        <r>
          <rPr>
            <sz val="11"/>
            <rFont val="Calibri"/>
          </rPr>
          <t>The Cisco multicast Rendezvous Point (RP) switch must be configured to filter Protocol Independent Multicast (PIM) Register messages received from the Designated switch (DR) for any undesirable multicast groups and sources.</t>
        </r>
      </text>
    </comment>
    <comment ref="AJ393" authorId="0" shapeId="0" xr:uid="{00000000-0006-0000-0B00-000083000000}">
      <text>
        <r>
          <rPr>
            <sz val="11"/>
            <rFont val="Calibri"/>
          </rPr>
          <t>The Cisco multicast Rendezvous Point (RP) switch must be configured to filter Protocol Independent Multicast (PIM) Join messages received from the Designated Cisco switch (DR) for any undesirable multicast groups.</t>
        </r>
      </text>
    </comment>
    <comment ref="AK393" authorId="0" shapeId="0" xr:uid="{00000000-0006-0000-0B00-000084000000}">
      <text>
        <r>
          <rPr>
            <sz val="11"/>
            <rFont val="Calibri"/>
          </rPr>
          <t>The Cisco multicast Designated switch (DR) must be configured to filter the Internet Group Management Protocol (IGMP) and Multicast Listener Discovery (MLD) Report messages to allow hosts to join only multicast groups that have been approved by the organization.</t>
        </r>
      </text>
    </comment>
    <comment ref="AL393" authorId="0" shapeId="0" xr:uid="{00000000-0006-0000-0B00-000085000000}">
      <text>
        <r>
          <rPr>
            <sz val="11"/>
            <rFont val="Calibri"/>
          </rPr>
          <t>The Cisco multicast Designated switch (DR) must be configured to filter the Internet Group Management Protocol (IGMP) and Multicast Listener Discovery (MLD) Report messages to allow hosts to join a multicast group only from sources that have been approved by the organization.</t>
        </r>
      </text>
    </comment>
    <comment ref="AM393" authorId="0" shapeId="0" xr:uid="{00000000-0006-0000-0B00-000086000000}">
      <text>
        <r>
          <rPr>
            <sz val="11"/>
            <rFont val="Calibri"/>
          </rPr>
          <t>The Cisco multicast Designated switch (DR) must be configured to limit the number of mroute states resulting from Internet Group Management Protocol (IGMP) and Multicast Listener Discovery (MLD) Host Membership Reports.</t>
        </r>
      </text>
    </comment>
    <comment ref="AN393" authorId="0" shapeId="0" xr:uid="{00000000-0006-0000-0B00-000087000000}">
      <text>
        <r>
          <rPr>
            <sz val="11"/>
            <rFont val="Calibri"/>
          </rPr>
          <t>The Cisco multicast Designated switch (DR) must be configured to set the shortest-path tree (SPT) threshold to infinity to minimalize source-group (S, G) state within the multicast topology where Any Source Multicast (ASM) is deployed.</t>
        </r>
      </text>
    </comment>
    <comment ref="AO393" authorId="0" shapeId="0" xr:uid="{00000000-0006-0000-0B00-000088000000}">
      <text>
        <r>
          <rPr>
            <sz val="11"/>
            <rFont val="Calibri"/>
          </rPr>
          <t>The Cisco Multicast Source Discovery Protocol (MSDP) switch must be configured to only accept MSDP packets from known MSDP peers.</t>
        </r>
      </text>
    </comment>
    <comment ref="AP393" authorId="0" shapeId="0" xr:uid="{00000000-0006-0000-0B00-000089000000}">
      <text>
        <r>
          <rPr>
            <sz val="11"/>
            <rFont val="Calibri"/>
          </rPr>
          <t>The Cisco Multicast Source Discovery Protocol (MSDP) switch must be configured to authenticate all received MSDP packets.</t>
        </r>
      </text>
    </comment>
    <comment ref="AQ393" authorId="0" shapeId="0" xr:uid="{00000000-0006-0000-0B00-00008A000000}">
      <text>
        <r>
          <rPr>
            <sz val="11"/>
            <rFont val="Calibri"/>
          </rPr>
          <t>The Cisco Multicast Source Discovery Protocol (MSDP) switch must be configured to filter received source-active multicast advertisements for any undesirable multicast groups and sources.</t>
        </r>
      </text>
    </comment>
    <comment ref="AR393" authorId="0" shapeId="0" xr:uid="{00000000-0006-0000-0B00-00008B000000}">
      <text>
        <r>
          <rPr>
            <sz val="11"/>
            <rFont val="Calibri"/>
          </rPr>
          <t>The Cisco Multicast Source Discovery Protocol (MSDP) switch must be configured to filter source-active multicast advertisements to external MSDP peers to avoid global visibility of local-only multicast sources and groups.</t>
        </r>
      </text>
    </comment>
    <comment ref="AS393" authorId="0" shapeId="0" xr:uid="{00000000-0006-0000-0B00-00008C000000}">
      <text>
        <r>
          <rPr>
            <sz val="11"/>
            <rFont val="Calibri"/>
          </rPr>
          <t>The Cisco Multicast Source Discovery Protocol (MSDP) switch must be configured to limit the amount of source-active messages it accepts on a per-peer basis.</t>
        </r>
      </text>
    </comment>
    <comment ref="AT393" authorId="0" shapeId="0" xr:uid="{00000000-0006-0000-0B00-00008D000000}">
      <text>
        <r>
          <rPr>
            <sz val="11"/>
            <rFont val="Calibri"/>
          </rPr>
          <t>The Cisco Multicast Source Discovery Protocol (MSDP) switch must be configured to use a loopback address as the source address when originating MSDP traffic.</t>
        </r>
      </text>
    </comment>
    <comment ref="H394" authorId="0" shapeId="0" xr:uid="{00000000-0006-0000-0B00-00009F000000}">
      <text>
        <r>
          <rPr>
            <sz val="11"/>
            <rFont val="Calibri"/>
          </rPr>
          <t>The Cisco BGP switch must be configured to reject inbound route advertisements for any Bogon prefixes.</t>
        </r>
      </text>
    </comment>
    <comment ref="I394" authorId="0" shapeId="0" xr:uid="{00000000-0006-0000-0B00-0000A0000000}">
      <text>
        <r>
          <rPr>
            <sz val="11"/>
            <rFont val="Calibri"/>
          </rPr>
          <t>The Cisco BGP switch must be configured to reject inbound route advertisements for any prefixes belonging to the local autonomous system (AS).</t>
        </r>
      </text>
    </comment>
    <comment ref="J394" authorId="0" shapeId="0" xr:uid="{00000000-0006-0000-0B00-0000A1000000}">
      <text>
        <r>
          <rPr>
            <sz val="11"/>
            <rFont val="Calibri"/>
          </rPr>
          <t>The Cisco BGP switch must be configured to reject inbound route advertisements from a customer edge (CE) switch for prefixes that are not allocated to that customer.</t>
        </r>
      </text>
    </comment>
    <comment ref="K394" authorId="0" shapeId="0" xr:uid="{00000000-0006-0000-0B00-0000A2000000}">
      <text>
        <r>
          <rPr>
            <sz val="11"/>
            <rFont val="Calibri"/>
          </rPr>
          <t>The Cisco BGP switch must be configured to reject outbound route advertisements for any prefixes that do not belong to any customers or the local autonomous system (AS).</t>
        </r>
      </text>
    </comment>
    <comment ref="L394" authorId="0" shapeId="0" xr:uid="{00000000-0006-0000-0B00-0000A3000000}">
      <text>
        <r>
          <rPr>
            <sz val="11"/>
            <rFont val="Calibri"/>
          </rPr>
          <t>The Cisco BGP switch must be configured to reject outbound route advertisements for any prefixes belonging to the IP core.</t>
        </r>
      </text>
    </comment>
    <comment ref="M394" authorId="0" shapeId="0" xr:uid="{00000000-0006-0000-0B00-0000A4000000}">
      <text>
        <r>
          <rPr>
            <sz val="11"/>
            <rFont val="Calibri"/>
          </rPr>
          <t>The Cisco BGP switch must be configured to reject route advertisements from BGP peers that do not list their autonomous system (AS) number as the first AS in the AS_PATH attribute.</t>
        </r>
      </text>
    </comment>
    <comment ref="N394" authorId="0" shapeId="0" xr:uid="{00000000-0006-0000-0B00-0000A5000000}">
      <text>
        <r>
          <rPr>
            <sz val="11"/>
            <rFont val="Calibri"/>
          </rPr>
          <t>The Cisco BGP switch must be configured to reject route advertisements from CE switches with an originating AS in the AS_PATH attribute that does not belong to that customer.</t>
        </r>
      </text>
    </comment>
    <comment ref="O394" authorId="0" shapeId="0" xr:uid="{00000000-0006-0000-0B00-0000A6000000}">
      <text>
        <r>
          <rPr>
            <sz val="11"/>
            <rFont val="Calibri"/>
          </rPr>
          <t>The Cisco BGP switch must be configured to limit the prefix size on any inbound route advertisement to /24, or the least significant prefixes issued to the customer.</t>
        </r>
      </text>
    </comment>
    <comment ref="P394" authorId="0" shapeId="0" xr:uid="{00000000-0006-0000-0B00-0000A7000000}">
      <text>
        <r>
          <rPr>
            <sz val="11"/>
            <rFont val="Calibri"/>
          </rPr>
          <t>The Cisco BGP switch must be configured to use its loopback address as the source address for iBGP peering sessions.</t>
        </r>
      </text>
    </comment>
    <comment ref="H395" authorId="0" shapeId="0" xr:uid="{00000000-0006-0000-0B00-0000A8000000}">
      <text>
        <r>
          <rPr>
            <sz val="11"/>
            <rFont val="Calibri"/>
          </rPr>
          <t>The Cisco switch must uniquely identify and authenticate all network-connected endpoint devices before establishing any connection.</t>
        </r>
      </text>
    </comment>
    <comment ref="H396" authorId="0" shapeId="0" xr:uid="{00000000-0006-0000-0B00-0000A9000000}">
      <text>
        <r>
          <rPr>
            <sz val="11"/>
            <rFont val="Calibri"/>
          </rPr>
          <t>The Cisco switch must have DHCP snooping for all user VLANs to validate DHCP messages from untrusted sources.</t>
        </r>
      </text>
    </comment>
    <comment ref="I396" authorId="0" shapeId="0" xr:uid="{00000000-0006-0000-0B00-0000AA000000}">
      <text>
        <r>
          <rPr>
            <sz val="11"/>
            <rFont val="Calibri"/>
          </rPr>
          <t>The Cisco switch must have IP Source Guard enabled on all user-facing or untrusted access switch ports.</t>
        </r>
      </text>
    </comment>
    <comment ref="J396" authorId="0" shapeId="0" xr:uid="{00000000-0006-0000-0B00-0000AB000000}">
      <text>
        <r>
          <rPr>
            <sz val="11"/>
            <rFont val="Calibri"/>
          </rPr>
          <t>The Cisco switch must have Dynamic Address Resolution Protocol (ARP) Inspection (DAI) enabled on all user VLANs.</t>
        </r>
      </text>
    </comment>
    <comment ref="K396" authorId="0" shapeId="0" xr:uid="{00000000-0006-0000-0B00-0000AC000000}">
      <text>
        <r>
          <rPr>
            <sz val="11"/>
            <rFont val="Calibri"/>
          </rPr>
          <t>The Cisco switch must enable Unidirectional Link Detection (UDLD) to protect against one-way connections.</t>
        </r>
      </text>
    </comment>
    <comment ref="L396" authorId="0" shapeId="0" xr:uid="{00000000-0006-0000-0B00-0000AD000000}">
      <text>
        <r>
          <rPr>
            <sz val="11"/>
            <rFont val="Calibri"/>
          </rPr>
          <t>The Cisco switch must have all trunk links enabled statically.</t>
        </r>
      </text>
    </comment>
    <comment ref="M396" authorId="0" shapeId="0" xr:uid="{00000000-0006-0000-0B00-0000AE000000}">
      <text>
        <r>
          <rPr>
            <sz val="11"/>
            <rFont val="Calibri"/>
          </rPr>
          <t>The Cisco switch must have all user-facing or untrusted ports configured as access switch ports.</t>
        </r>
      </text>
    </comment>
    <comment ref="N396" authorId="0" shapeId="0" xr:uid="{00000000-0006-0000-0B00-0000AF000000}">
      <text>
        <r>
          <rPr>
            <sz val="11"/>
            <rFont val="Calibri"/>
          </rPr>
          <t>The Cisco switch must have the native VLAN assigned to an ID other than the default VLAN for all 802.1q trunk links.</t>
        </r>
      </text>
    </comment>
    <comment ref="H397" authorId="0" shapeId="0" xr:uid="{00000000-0006-0000-0B00-0000B0000000}">
      <text>
        <r>
          <rPr>
            <sz val="11"/>
            <rFont val="Calibri"/>
          </rPr>
          <t>The Cisco switch must authenticate all VLAN Trunk Protocol (VTP) messages with a hash function using the most secured cryptographic algorithm available.</t>
        </r>
      </text>
    </comment>
    <comment ref="I397" authorId="0" shapeId="0" xr:uid="{00000000-0006-0000-0B00-0000B1000000}">
      <text>
        <r>
          <rPr>
            <sz val="11"/>
            <rFont val="Calibri"/>
          </rPr>
          <t>The Cisco switch must have Root Guard enabled on all switch ports connecting to access layer switches.</t>
        </r>
      </text>
    </comment>
    <comment ref="J397" authorId="0" shapeId="0" xr:uid="{00000000-0006-0000-0B00-0000B2000000}">
      <text>
        <r>
          <rPr>
            <sz val="11"/>
            <rFont val="Calibri"/>
          </rPr>
          <t>The Cisco switch must have BPDU Guard enabled on all user-facing or untrusted access switch ports.</t>
        </r>
      </text>
    </comment>
    <comment ref="K397" authorId="0" shapeId="0" xr:uid="{00000000-0006-0000-0B00-0000B3000000}">
      <text>
        <r>
          <rPr>
            <sz val="11"/>
            <rFont val="Calibri"/>
          </rPr>
          <t>The Cisco switch must have STP Loop Guard enabled.</t>
        </r>
      </text>
    </comment>
    <comment ref="L397" authorId="0" shapeId="0" xr:uid="{00000000-0006-0000-0B00-0000B4000000}">
      <text>
        <r>
          <rPr>
            <sz val="11"/>
            <rFont val="Calibri"/>
          </rPr>
          <t>The Cisco switch must have IGMP or MLD Snooping configured on all VLANs.</t>
        </r>
      </text>
    </comment>
    <comment ref="M397" authorId="0" shapeId="0" xr:uid="{00000000-0006-0000-0B00-0000B5000000}">
      <text>
        <r>
          <rPr>
            <sz val="11"/>
            <rFont val="Calibri"/>
          </rPr>
          <t>The Cisco switch must implement Rapid STP where VLANs span multiple switches with redundant links.</t>
        </r>
      </text>
    </comment>
    <comment ref="N397" authorId="0" shapeId="0" xr:uid="{00000000-0006-0000-0B00-0000B6000000}">
      <text>
        <r>
          <rPr>
            <sz val="11"/>
            <rFont val="Calibri"/>
          </rPr>
          <t>The Cisco switch must have all disabled switch ports assigned to an unused VLAN.</t>
        </r>
      </text>
    </comment>
    <comment ref="O397" authorId="0" shapeId="0" xr:uid="{00000000-0006-0000-0B00-0000B7000000}">
      <text>
        <r>
          <rPr>
            <sz val="11"/>
            <rFont val="Calibri"/>
          </rPr>
          <t>The Cisco switch must not have the default VLAN assigned to any host-facing switch ports.</t>
        </r>
      </text>
    </comment>
    <comment ref="P397" authorId="0" shapeId="0" xr:uid="{00000000-0006-0000-0B00-0000B8000000}">
      <text>
        <r>
          <rPr>
            <sz val="11"/>
            <rFont val="Calibri"/>
          </rPr>
          <t>The Cisco switch must have the default VLAN pruned from all trunk ports that do not require it.</t>
        </r>
      </text>
    </comment>
    <comment ref="Q397" authorId="0" shapeId="0" xr:uid="{00000000-0006-0000-0B00-0000B9000000}">
      <text>
        <r>
          <rPr>
            <sz val="11"/>
            <rFont val="Calibri"/>
          </rPr>
          <t>The Cisco switch must not have any switchports assigned to the native VLAN.</t>
        </r>
      </text>
    </comment>
    <comment ref="R397" authorId="0" shapeId="0" xr:uid="{00000000-0006-0000-0B00-0000BA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H398" authorId="0" shapeId="0" xr:uid="{00000000-0006-0000-0B00-0000BB000000}">
      <text>
        <r>
          <rPr>
            <sz val="11"/>
            <rFont val="Calibri"/>
          </rPr>
          <t>The Cisco switch must have IGMP or MLD Snooping configured on all VLANs.</t>
        </r>
      </text>
    </comment>
    <comment ref="I398" authorId="0" shapeId="0" xr:uid="{00000000-0006-0000-0B00-0000BC000000}">
      <text>
        <r>
          <rPr>
            <sz val="11"/>
            <rFont val="Calibri"/>
          </rPr>
          <t>The Cisco switch must implement Rapid STP where VLANs span multiple switches with redundant links.</t>
        </r>
      </text>
    </comment>
    <comment ref="J398" authorId="0" shapeId="0" xr:uid="{00000000-0006-0000-0B00-0000BD000000}">
      <text>
        <r>
          <rPr>
            <sz val="11"/>
            <rFont val="Calibri"/>
          </rPr>
          <t>The Cisco switch must have all disabled switch ports assigned to an unused VLAN.</t>
        </r>
      </text>
    </comment>
    <comment ref="K398" authorId="0" shapeId="0" xr:uid="{00000000-0006-0000-0B00-0000BE000000}">
      <text>
        <r>
          <rPr>
            <sz val="11"/>
            <rFont val="Calibri"/>
          </rPr>
          <t>The Cisco switch must not have the default VLAN assigned to any host-facing switch ports.</t>
        </r>
      </text>
    </comment>
    <comment ref="L398" authorId="0" shapeId="0" xr:uid="{00000000-0006-0000-0B00-0000BF000000}">
      <text>
        <r>
          <rPr>
            <sz val="11"/>
            <rFont val="Calibri"/>
          </rPr>
          <t>The Cisco switch must have the default VLAN pruned from all trunk ports that do not require it.</t>
        </r>
      </text>
    </comment>
    <comment ref="M398" authorId="0" shapeId="0" xr:uid="{00000000-0006-0000-0B00-0000C0000000}">
      <text>
        <r>
          <rPr>
            <sz val="11"/>
            <rFont val="Calibri"/>
          </rPr>
          <t>The Cisco switch must not have any switchports assigned to the native VLAN.</t>
        </r>
      </text>
    </comment>
    <comment ref="N398" authorId="0" shapeId="0" xr:uid="{00000000-0006-0000-0B00-0000C1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H399" authorId="0" shapeId="0" xr:uid="{00000000-0006-0000-0B00-0000C2000000}">
      <text>
        <r>
          <rPr>
            <sz val="11"/>
            <rFont val="Calibri"/>
          </rPr>
          <t>The Cisco switch must have Storm Control configured on all host-facing switchports.</t>
        </r>
      </text>
    </comment>
    <comment ref="I399" authorId="0" shapeId="0" xr:uid="{00000000-0006-0000-0B00-0000C3000000}">
      <text>
        <r>
          <rPr>
            <sz val="11"/>
            <rFont val="Calibri"/>
          </rPr>
          <t>The Cisco PE switch providing Virtual Private LAN Services (VPLS) must be configured to have traffic storm control thresholds on CE-facing interfaces.</t>
        </r>
      </text>
    </comment>
    <comment ref="H400" authorId="0" shapeId="0" xr:uid="{00000000-0006-0000-0B00-0000C4000000}">
      <text>
        <r>
          <rPr>
            <sz val="11"/>
            <rFont val="Calibri"/>
          </rPr>
          <t>The Cisco multicast switch must be configured to disable Protocol Independent Multicast (PIM) on all interfaces that are not required to support multicast routing.</t>
        </r>
      </text>
    </comment>
    <comment ref="I400" authorId="0" shapeId="0" xr:uid="{00000000-0006-0000-0B00-0000C5000000}">
      <text>
        <r>
          <rPr>
            <sz val="11"/>
            <rFont val="Calibri"/>
          </rPr>
          <t>The Cisco multicast switch must be configured to bind a Protocol Independent Multicast (PIM) neighbor filter to interfaces that have PIM enabled.</t>
        </r>
      </text>
    </comment>
    <comment ref="J400" authorId="0" shapeId="0" xr:uid="{00000000-0006-0000-0B00-0000C6000000}">
      <text>
        <r>
          <rPr>
            <sz val="11"/>
            <rFont val="Calibri"/>
          </rPr>
          <t>The Cisco multicast edge switch must be configured to establish boundaries for administratively scoped multicast traffic.</t>
        </r>
      </text>
    </comment>
    <comment ref="K400" authorId="0" shapeId="0" xr:uid="{00000000-0006-0000-0B00-0000C7000000}">
      <text>
        <r>
          <rPr>
            <sz val="11"/>
            <rFont val="Calibri"/>
          </rPr>
          <t>The Cisco multicast Rendezvous Point (RP) switch must be configured to limit the multicast forwarding cache so that its resources are not saturated by managing an overwhelming number of Protocol Independent Multicast (PIM) and Multicast Source Discovery Protocol (MSDP) source-active entries.</t>
        </r>
      </text>
    </comment>
    <comment ref="L400" authorId="0" shapeId="0" xr:uid="{00000000-0006-0000-0B00-0000C8000000}">
      <text>
        <r>
          <rPr>
            <sz val="11"/>
            <rFont val="Calibri"/>
          </rPr>
          <t>The Cisco multicast Rendezvous Point (RP) switch must be configured to filter Protocol Independent Multicast (PIM) Register messages received from the Designated switch (DR) for any undesirable multicast groups and sources.</t>
        </r>
      </text>
    </comment>
    <comment ref="M400" authorId="0" shapeId="0" xr:uid="{00000000-0006-0000-0B00-0000C9000000}">
      <text>
        <r>
          <rPr>
            <sz val="11"/>
            <rFont val="Calibri"/>
          </rPr>
          <t>The Cisco multicast Rendezvous Point (RP) switch must be configured to filter Protocol Independent Multicast (PIM) Join messages received from the Designated Cisco switch (DR) for any undesirable multicast groups.</t>
        </r>
      </text>
    </comment>
    <comment ref="N400" authorId="0" shapeId="0" xr:uid="{00000000-0006-0000-0B00-0000CA000000}">
      <text>
        <r>
          <rPr>
            <sz val="11"/>
            <rFont val="Calibri"/>
          </rPr>
          <t>The Cisco multicast Designated switch (DR) must be configured to set the shortest-path tree (SPT) threshold to infinity to minimalize source-group (S, G) state within the multicast topology where Any Source Multicast (ASM) is deployed.</t>
        </r>
      </text>
    </comment>
    <comment ref="O400" authorId="0" shapeId="0" xr:uid="{00000000-0006-0000-0B00-0000CB000000}">
      <text>
        <r>
          <rPr>
            <sz val="11"/>
            <rFont val="Calibri"/>
          </rPr>
          <t>The Cisco Multicast Source Discovery Protocol (MSDP) switch must be configured to only accept MSDP packets from known MSDP peers.</t>
        </r>
      </text>
    </comment>
    <comment ref="P400" authorId="0" shapeId="0" xr:uid="{00000000-0006-0000-0B00-0000CC000000}">
      <text>
        <r>
          <rPr>
            <sz val="11"/>
            <rFont val="Calibri"/>
          </rPr>
          <t>The Cisco Multicast Source Discovery Protocol (MSDP) switch must be configured to authenticate all received MSDP packets.</t>
        </r>
      </text>
    </comment>
    <comment ref="Q400" authorId="0" shapeId="0" xr:uid="{00000000-0006-0000-0B00-0000CD000000}">
      <text>
        <r>
          <rPr>
            <sz val="11"/>
            <rFont val="Calibri"/>
          </rPr>
          <t>The Cisco Multicast Source Discovery Protocol (MSDP) switch must be configured to filter received source-active multicast advertisements for any undesirable multicast groups and sources.</t>
        </r>
      </text>
    </comment>
    <comment ref="R400" authorId="0" shapeId="0" xr:uid="{00000000-0006-0000-0B00-0000CE000000}">
      <text>
        <r>
          <rPr>
            <sz val="11"/>
            <rFont val="Calibri"/>
          </rPr>
          <t>The Cisco Multicast Source Discovery Protocol (MSDP) switch must be configured to filter source-active multicast advertisements to external MSDP peers to avoid global visibility of local-only multicast sources and groups.</t>
        </r>
      </text>
    </comment>
    <comment ref="S400" authorId="0" shapeId="0" xr:uid="{00000000-0006-0000-0B00-0000CF000000}">
      <text>
        <r>
          <rPr>
            <sz val="11"/>
            <rFont val="Calibri"/>
          </rPr>
          <t>The Cisco Multicast Source Discovery Protocol (MSDP) switch must be configured to limit the amount of source-active messages it accepts on a per-peer basis.</t>
        </r>
      </text>
    </comment>
    <comment ref="T400" authorId="0" shapeId="0" xr:uid="{00000000-0006-0000-0B00-0000D0000000}">
      <text>
        <r>
          <rPr>
            <sz val="11"/>
            <rFont val="Calibri"/>
          </rPr>
          <t>The Cisco Multicast Source Discovery Protocol (MSDP) switch must be configured to use a loopback address as the source address when originating MSDP traffic.</t>
        </r>
      </text>
    </comment>
    <comment ref="H401" authorId="0" shapeId="0" xr:uid="{00000000-0006-0000-0B00-0000D1000000}">
      <text>
        <r>
          <rPr>
            <sz val="11"/>
            <rFont val="Calibri"/>
          </rPr>
          <t>The Cisco switch must manage excess bandwidth to limit the effects of packet flooding types of denial-of-service (DoS) attacks.</t>
        </r>
      </text>
    </comment>
    <comment ref="I401" authorId="0" shapeId="0" xr:uid="{00000000-0006-0000-0B00-0000D2000000}">
      <text>
        <r>
          <rPr>
            <sz val="11"/>
            <rFont val="Calibri"/>
          </rPr>
          <t>The Cisco switch must have Unknown Unicast Flood Blocking (UUFB) enabled.</t>
        </r>
      </text>
    </comment>
    <comment ref="J401" authorId="0" shapeId="0" xr:uid="{00000000-0006-0000-0B00-0000D3000000}">
      <text>
        <r>
          <rPr>
            <sz val="11"/>
            <rFont val="Calibri"/>
          </rPr>
          <t>The Cisco switch must have Storm Control configured on all host-facing switchports.</t>
        </r>
      </text>
    </comment>
    <comment ref="K401" authorId="0" shapeId="0" xr:uid="{00000000-0006-0000-0B00-0000D4000000}">
      <text>
        <r>
          <rPr>
            <sz val="11"/>
            <rFont val="Calibri"/>
          </rPr>
          <t>The Cisco switch must be configured to protect against or limit the effects of denial-of-service (DoS) attacks by employing control plane protection.</t>
        </r>
      </text>
    </comment>
    <comment ref="L401" authorId="0" shapeId="0" xr:uid="{00000000-0006-0000-0B00-0000D5000000}">
      <text>
        <r>
          <rPr>
            <sz val="11"/>
            <rFont val="Calibri"/>
          </rPr>
          <t>The Cisco BGP switch must be configured to use the maximum prefixes feature to protect against route table flooding and prefix de-aggregation attacks.</t>
        </r>
      </text>
    </comment>
    <comment ref="M401" authorId="0" shapeId="0" xr:uid="{00000000-0006-0000-0B00-0000D6000000}">
      <text>
        <r>
          <rPr>
            <sz val="11"/>
            <rFont val="Calibri"/>
          </rPr>
          <t>The Cisco PE switch providing Virtual Private LAN Services (VPLS) must be configured to have traffic storm control thresholds on CE-facing interfaces.</t>
        </r>
      </text>
    </comment>
    <comment ref="N401" authorId="0" shapeId="0" xr:uid="{00000000-0006-0000-0B00-0000D7000000}">
      <text>
        <r>
          <rPr>
            <sz val="11"/>
            <rFont val="Calibri"/>
          </rPr>
          <t>The Cisco P switch must be configured to enforce a Quality-of-Service (QoS) policy to provide preferred treatment for mission-critical applications.</t>
        </r>
      </text>
    </comment>
    <comment ref="O401" authorId="0" shapeId="0" xr:uid="{00000000-0006-0000-0B00-0000D8000000}">
      <text>
        <r>
          <rPr>
            <sz val="11"/>
            <rFont val="Calibri"/>
          </rPr>
          <t>The Cisco switch must be configured to enforce a Quality-of-Service (QoS) policy to limit the effects of packet flooding denial-of-service (DoS) attacks.</t>
        </r>
      </text>
    </comment>
    <comment ref="P401" authorId="0" shapeId="0" xr:uid="{00000000-0006-0000-0B00-0000D9000000}">
      <text>
        <r>
          <rPr>
            <sz val="11"/>
            <rFont val="Calibri"/>
          </rPr>
          <t>The Cisco multicast Rendezvous Point (RP) must be configured to rate limit the number of Protocol Independent Multicast (PIM) Register messages.</t>
        </r>
      </text>
    </comment>
    <comment ref="H402" authorId="0" shapeId="0" xr:uid="{00000000-0006-0000-0B00-0000DA000000}">
      <text>
        <r>
          <rPr>
            <sz val="11"/>
            <rFont val="Calibri"/>
          </rPr>
          <t>The Cisco switch must manage excess bandwidth to limit the effects of packet flooding types of denial-of-service (DoS) attacks.</t>
        </r>
      </text>
    </comment>
    <comment ref="I402" authorId="0" shapeId="0" xr:uid="{00000000-0006-0000-0B00-0000DB000000}">
      <text>
        <r>
          <rPr>
            <sz val="11"/>
            <rFont val="Calibri"/>
          </rPr>
          <t>The Cisco switch must have Unknown Unicast Flood Blocking (UUFB) enabled.</t>
        </r>
      </text>
    </comment>
    <comment ref="J402" authorId="0" shapeId="0" xr:uid="{00000000-0006-0000-0B00-0000DC000000}">
      <text>
        <r>
          <rPr>
            <sz val="11"/>
            <rFont val="Calibri"/>
          </rPr>
          <t>The Cisco switch must be configured to protect against or limit the effects of denial-of-service (DoS) attacks by employing control plane protection.</t>
        </r>
      </text>
    </comment>
    <comment ref="K402" authorId="0" shapeId="0" xr:uid="{00000000-0006-0000-0B00-0000DD000000}">
      <text>
        <r>
          <rPr>
            <sz val="11"/>
            <rFont val="Calibri"/>
          </rPr>
          <t>The Cisco BGP switch must be configured to use the maximum prefixes feature to protect against route table flooding and prefix de-aggregation attacks.</t>
        </r>
      </text>
    </comment>
    <comment ref="L402" authorId="0" shapeId="0" xr:uid="{00000000-0006-0000-0B00-0000DE000000}">
      <text>
        <r>
          <rPr>
            <sz val="11"/>
            <rFont val="Calibri"/>
          </rPr>
          <t>The Cisco P switch must be configured to enforce a Quality-of-Service (QoS) policy to provide preferred treatment for mission-critical applications.</t>
        </r>
      </text>
    </comment>
    <comment ref="M402" authorId="0" shapeId="0" xr:uid="{00000000-0006-0000-0B00-0000DF000000}">
      <text>
        <r>
          <rPr>
            <sz val="11"/>
            <rFont val="Calibri"/>
          </rPr>
          <t>The Cisco switch must be configured to enforce a Quality-of-Service (QoS) policy to limit the effects of packet flooding denial-of-service (DoS) attacks.</t>
        </r>
      </text>
    </comment>
    <comment ref="N402" authorId="0" shapeId="0" xr:uid="{00000000-0006-0000-0B00-0000E0000000}">
      <text>
        <r>
          <rPr>
            <sz val="11"/>
            <rFont val="Calibri"/>
          </rPr>
          <t>The Cisco multicast Rendezvous Point (RP) must be configured to rate limit the number of Protocol Independent Multicast (PIM) Register messages.</t>
        </r>
      </text>
    </comment>
    <comment ref="H411" authorId="0" shapeId="0" xr:uid="{00000000-0006-0000-0B00-0000E1000000}">
      <text>
        <r>
          <rPr>
            <sz val="11"/>
            <rFont val="Calibri"/>
          </rPr>
          <t>The Cisco switch must be configured to automatically audit account creation.</t>
        </r>
      </text>
    </comment>
    <comment ref="I411" authorId="0" shapeId="0" xr:uid="{00000000-0006-0000-0B00-0000E2000000}">
      <text>
        <r>
          <rPr>
            <sz val="11"/>
            <rFont val="Calibri"/>
          </rPr>
          <t>The Cisco switch must be configured to automatically audit account modification.</t>
        </r>
      </text>
    </comment>
    <comment ref="J411" authorId="0" shapeId="0" xr:uid="{00000000-0006-0000-0B00-0000E3000000}">
      <text>
        <r>
          <rPr>
            <sz val="11"/>
            <rFont val="Calibri"/>
          </rPr>
          <t>The Cisco switch must be configured to automatically audit account disabling actions.</t>
        </r>
      </text>
    </comment>
    <comment ref="K411" authorId="0" shapeId="0" xr:uid="{00000000-0006-0000-0B00-0000E4000000}">
      <text>
        <r>
          <rPr>
            <sz val="11"/>
            <rFont val="Calibri"/>
          </rPr>
          <t>The Cisco switch must be configured to automatically audit account removal actions.</t>
        </r>
      </text>
    </comment>
    <comment ref="L411" authorId="0" shapeId="0" xr:uid="{00000000-0006-0000-0B00-0000E5000000}">
      <text>
        <r>
          <rPr>
            <sz val="11"/>
            <rFont val="Calibri"/>
          </rPr>
          <t>The Cisco switch must be configured with only one local account to be used as the account of last resort in the event the authentication server is unavailable.</t>
        </r>
      </text>
    </comment>
    <comment ref="M411" authorId="0" shapeId="0" xr:uid="{00000000-0006-0000-0B00-0000E6000000}">
      <text>
        <r>
          <rPr>
            <sz val="11"/>
            <rFont val="Calibri"/>
          </rPr>
          <t>The Cisco switch must be configured to automatically audit account enabling actions.</t>
        </r>
      </text>
    </comment>
    <comment ref="H413" authorId="0" shapeId="0" xr:uid="{00000000-0006-0000-0B00-0000E7000000}">
      <text>
        <r>
          <rPr>
            <sz val="11"/>
            <rFont val="Calibri"/>
          </rPr>
          <t>The Cisco switch must be configured to use at least two authentication servers for the purpose of authenticating users prior to granting administrative access.</t>
        </r>
      </text>
    </comment>
    <comment ref="I413" authorId="0" shapeId="0" xr:uid="{00000000-0006-0000-0B00-0000E8000000}">
      <text>
        <r>
          <rPr>
            <sz val="11"/>
            <rFont val="Calibri"/>
          </rPr>
          <t>The Cisco switch must uniquely identify and authenticate all network-connected endpoint devices before establishing any connection.</t>
        </r>
      </text>
    </comment>
    <comment ref="H416" authorId="0" shapeId="0" xr:uid="{00000000-0006-0000-0B00-0000E9000000}">
      <text>
        <r>
          <rPr>
            <sz val="11"/>
            <rFont val="Calibri"/>
          </rPr>
          <t>The Cisco switch must be configured to enforce approved authorizations for controlling the flow of management information within the device based on control policies.</t>
        </r>
      </text>
    </comment>
    <comment ref="I416" authorId="0" shapeId="0" xr:uid="{00000000-0006-0000-0B00-0000EA000000}">
      <text>
        <r>
          <rPr>
            <sz val="11"/>
            <rFont val="Calibri"/>
          </rPr>
          <t>The Cisco switch must be configured to enforce approved authorizations for controlling the flow of information within the network based on organization-defined information flow control policies.</t>
        </r>
      </text>
    </comment>
    <comment ref="J416" authorId="0" shapeId="0" xr:uid="{00000000-0006-0000-0B00-0000EB000000}">
      <text>
        <r>
          <rPr>
            <sz val="11"/>
            <rFont val="Calibri"/>
          </rPr>
          <t>The Cisco perimeter switch must be configured to enforce approved authorizations for controlling the flow of information between interconnected networks in accordance with applicable policy.</t>
        </r>
      </text>
    </comment>
    <comment ref="H420" authorId="0" shapeId="0" xr:uid="{00000000-0006-0000-0B00-0000EC000000}">
      <text>
        <r>
          <rPr>
            <sz val="11"/>
            <rFont val="Calibri"/>
          </rPr>
          <t>The Cisco switch must be configured to enforce the limit of three consecutive invalid logon attempts, after which time it must lock out the user account from accessing the device for 15 minutes.</t>
        </r>
      </text>
    </comment>
    <comment ref="I420" authorId="0" shapeId="0" xr:uid="{00000000-0006-0000-0B00-0000ED000000}">
      <text>
        <r>
          <rPr>
            <sz val="11"/>
            <rFont val="Calibri"/>
          </rPr>
          <t>The Cisco switch must be configured to generate audit records when successful/unsuccessful logon attempts occur.</t>
        </r>
      </text>
    </comment>
    <comment ref="H421" authorId="0" shapeId="0" xr:uid="{00000000-0006-0000-0B00-0000EE000000}">
      <text>
        <r>
          <rPr>
            <sz val="11"/>
            <rFont val="Calibri"/>
          </rPr>
          <t>The Cisco switch must be configured to enforce a minimum 15-character password length.</t>
        </r>
      </text>
    </comment>
    <comment ref="I421" authorId="0" shapeId="0" xr:uid="{00000000-0006-0000-0B00-0000EF000000}">
      <text>
        <r>
          <rPr>
            <sz val="11"/>
            <rFont val="Calibri"/>
          </rPr>
          <t>The Cisco switch must be configured to enforce password complexity by requiring that at least one uppercase character be used.</t>
        </r>
      </text>
    </comment>
    <comment ref="J421" authorId="0" shapeId="0" xr:uid="{00000000-0006-0000-0B00-0000F0000000}">
      <text>
        <r>
          <rPr>
            <sz val="11"/>
            <rFont val="Calibri"/>
          </rPr>
          <t>The Cisco switch must be configured to enforce password complexity by requiring that at least one lowercase character be used.</t>
        </r>
      </text>
    </comment>
    <comment ref="K421" authorId="0" shapeId="0" xr:uid="{00000000-0006-0000-0B00-0000F1000000}">
      <text>
        <r>
          <rPr>
            <sz val="11"/>
            <rFont val="Calibri"/>
          </rPr>
          <t>The Cisco switch must be configured to enforce password complexity by requiring that at least one numeric character be used.</t>
        </r>
      </text>
    </comment>
    <comment ref="L421" authorId="0" shapeId="0" xr:uid="{00000000-0006-0000-0B00-0000F2000000}">
      <text>
        <r>
          <rPr>
            <sz val="11"/>
            <rFont val="Calibri"/>
          </rPr>
          <t>The Cisco switch must be configured to enforce password complexity by requiring that at least one special character be used.</t>
        </r>
      </text>
    </comment>
    <comment ref="M421" authorId="0" shapeId="0" xr:uid="{00000000-0006-0000-0B00-0000F3000000}">
      <text>
        <r>
          <rPr>
            <sz val="11"/>
            <rFont val="Calibri"/>
          </rPr>
          <t>The Cisco switch must only store cryptographic representations of passwords.</t>
        </r>
      </text>
    </comment>
    <comment ref="H422" authorId="0" shapeId="0" xr:uid="{00000000-0006-0000-0B00-0000F4000000}">
      <text>
        <r>
          <rPr>
            <sz val="11"/>
            <rFont val="Calibri"/>
          </rPr>
          <t>The Cisco switch must be configured to enforce a minimum 15-character password length.</t>
        </r>
      </text>
    </comment>
    <comment ref="I422" authorId="0" shapeId="0" xr:uid="{00000000-0006-0000-0B00-0000F5000000}">
      <text>
        <r>
          <rPr>
            <sz val="11"/>
            <rFont val="Calibri"/>
          </rPr>
          <t>The Cisco switch must be configured to enforce password complexity by requiring that at least one uppercase character be used.</t>
        </r>
      </text>
    </comment>
    <comment ref="J422" authorId="0" shapeId="0" xr:uid="{00000000-0006-0000-0B00-0000F6000000}">
      <text>
        <r>
          <rPr>
            <sz val="11"/>
            <rFont val="Calibri"/>
          </rPr>
          <t>The Cisco switch must be configured to enforce password complexity by requiring that at least one lowercase character be used.</t>
        </r>
      </text>
    </comment>
    <comment ref="K422" authorId="0" shapeId="0" xr:uid="{00000000-0006-0000-0B00-0000F7000000}">
      <text>
        <r>
          <rPr>
            <sz val="11"/>
            <rFont val="Calibri"/>
          </rPr>
          <t>The Cisco switch must be configured to enforce password complexity by requiring that at least one numeric character be used.</t>
        </r>
      </text>
    </comment>
    <comment ref="L422" authorId="0" shapeId="0" xr:uid="{00000000-0006-0000-0B00-0000F8000000}">
      <text>
        <r>
          <rPr>
            <sz val="11"/>
            <rFont val="Calibri"/>
          </rPr>
          <t>The Cisco switch must be configured to enforce password complexity by requiring that at least one special character be used.</t>
        </r>
      </text>
    </comment>
  </commentList>
</comments>
</file>

<file path=xl/sharedStrings.xml><?xml version="1.0" encoding="utf-8"?>
<sst xmlns="http://schemas.openxmlformats.org/spreadsheetml/2006/main" count="13666" uniqueCount="6475">
  <si>
    <t>Id</t>
  </si>
  <si>
    <t>Title</t>
  </si>
  <si>
    <t>Severity</t>
  </si>
  <si>
    <t>Component</t>
  </si>
  <si>
    <t>MoSCoW</t>
  </si>
  <si>
    <t>OpsImpact</t>
  </si>
  <si>
    <t>Phase</t>
  </si>
  <si>
    <t>ImplStatus</t>
  </si>
  <si>
    <t>Notes</t>
  </si>
  <si>
    <t>Remediation</t>
  </si>
  <si>
    <t>Description</t>
  </si>
  <si>
    <t>Audit</t>
  </si>
  <si>
    <t>Status</t>
  </si>
  <si>
    <t>LogID</t>
  </si>
  <si>
    <t>V-220518</t>
  </si>
  <si>
    <r>
      <rPr>
        <sz val="11"/>
        <rFont val="Calibri"/>
      </rPr>
      <t>The Cisco switch must be configured to limit the number of concurrent management sessions to an organization-defined number.</t>
    </r>
  </si>
  <si>
    <t>CAT II (Medium)</t>
  </si>
  <si>
    <t>NDM</t>
  </si>
  <si>
    <t>Unassigned</t>
  </si>
  <si>
    <t>Unassessed</t>
  </si>
  <si>
    <t>Pending</t>
  </si>
  <si>
    <t/>
  </si>
  <si>
    <r>
      <rPr>
        <sz val="11"/>
        <color rgb="FF000000"/>
        <rFont val="Calibri"/>
      </rPr>
      <t>Configure the switch to limit the number of concurrent management sessions to an organization-defined number as shown in the example below:</t>
    </r>
    <r>
      <rPr>
        <sz val="11"/>
        <color rgb="FF000000"/>
        <rFont val="Calibri"/>
      </rPr>
      <t xml:space="preserve">
</t>
    </r>
    <r>
      <rPr>
        <sz val="11"/>
        <color rgb="FF000000"/>
        <rFont val="Calibri"/>
      </rPr>
      <t>SW4(config)#ip http max-connections 2</t>
    </r>
    <r>
      <rPr>
        <sz val="11"/>
        <color rgb="FF000000"/>
        <rFont val="Calibri"/>
      </rPr>
      <t xml:space="preserve">
</t>
    </r>
    <r>
      <rPr>
        <sz val="11"/>
        <color rgb="FF000000"/>
        <rFont val="Calibri"/>
      </rPr>
      <t>SW4(config)#line vty 0 1</t>
    </r>
    <r>
      <rPr>
        <sz val="11"/>
        <color rgb="FF000000"/>
        <rFont val="Calibri"/>
      </rPr>
      <t xml:space="preserve">
</t>
    </r>
    <r>
      <rPr>
        <sz val="11"/>
        <color rgb="FF000000"/>
        <rFont val="Calibri"/>
      </rPr>
      <t>SW4(config)#transport input ssh</t>
    </r>
    <r>
      <rPr>
        <sz val="11"/>
        <color rgb="FF000000"/>
        <rFont val="Calibri"/>
      </rPr>
      <t xml:space="preserve">
</t>
    </r>
    <r>
      <rPr>
        <sz val="11"/>
        <color rgb="FF000000"/>
        <rFont val="Calibri"/>
      </rPr>
      <t>SW4(config)#line vty 2 4</t>
    </r>
    <r>
      <rPr>
        <sz val="11"/>
        <color rgb="FF000000"/>
        <rFont val="Calibri"/>
      </rPr>
      <t xml:space="preserve">
</t>
    </r>
    <r>
      <rPr>
        <sz val="11"/>
        <color rgb="FF000000"/>
        <rFont val="Calibri"/>
      </rPr>
      <t>SW4(config)#transport input none</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</si>
  <si>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 At a minimum, limits must be set for SSH, HTTPS, account of last resort, and root account sessions.</t>
    </r>
  </si>
  <si>
    <r>
      <rPr>
        <sz val="11"/>
        <color rgb="FF000000"/>
        <rFont val="Calibri"/>
      </rPr>
      <t>Note: This requirement is not applicable to file transfer actions such as FTP, SCP, and SFTP.</t>
    </r>
    <r>
      <rPr>
        <sz val="11"/>
        <color rgb="FF000000"/>
        <rFont val="Calibri"/>
      </rPr>
      <t xml:space="preserve">
</t>
    </r>
    <r>
      <rPr>
        <sz val="11"/>
        <color rgb="FF000000"/>
        <rFont val="Calibri"/>
      </rPr>
      <t>Review the switch configuration to determine if concurrent management sessions are limited as show in the example below:</t>
    </r>
    <r>
      <rPr>
        <sz val="11"/>
        <color rgb="FF000000"/>
        <rFont val="Calibri"/>
      </rPr>
      <t xml:space="preserve">
</t>
    </r>
    <r>
      <rPr>
        <sz val="11"/>
        <color rgb="FF000000"/>
        <rFont val="Calibri"/>
      </rPr>
      <t>ip http secure-server</t>
    </r>
    <r>
      <rPr>
        <sz val="11"/>
        <color rgb="FF000000"/>
        <rFont val="Calibri"/>
      </rPr>
      <t xml:space="preserve">
</t>
    </r>
    <r>
      <rPr>
        <sz val="11"/>
        <color rgb="FF000000"/>
        <rFont val="Calibri"/>
      </rPr>
      <t>ip http max-connections 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For platforms that support the session-limit command:</t>
    </r>
    <r>
      <rPr>
        <sz val="11"/>
        <color rgb="FF000000"/>
        <rFont val="Calibri"/>
      </rPr>
      <t xml:space="preserve">
</t>
    </r>
    <r>
      <rPr>
        <sz val="11"/>
        <color rgb="FF000000"/>
        <rFont val="Calibri"/>
      </rPr>
      <t>line vty 0 4</t>
    </r>
    <r>
      <rPr>
        <sz val="11"/>
        <color rgb="FF000000"/>
        <rFont val="Calibri"/>
      </rPr>
      <t xml:space="preserve">
</t>
    </r>
    <r>
      <rPr>
        <sz val="11"/>
        <color rgb="FF000000"/>
        <rFont val="Calibri"/>
      </rPr>
      <t xml:space="preserve"> session-limit 2</t>
    </r>
    <r>
      <rPr>
        <sz val="11"/>
        <color rgb="FF000000"/>
        <rFont val="Calibri"/>
      </rPr>
      <t xml:space="preserve">
</t>
    </r>
    <r>
      <rPr>
        <sz val="11"/>
        <color rgb="FF000000"/>
        <rFont val="Calibri"/>
      </rPr>
      <t xml:space="preserve"> transport input ssh</t>
    </r>
    <r>
      <rPr>
        <sz val="11"/>
        <color rgb="FF000000"/>
        <rFont val="Calibri"/>
      </rPr>
      <t xml:space="preserve">
</t>
    </r>
    <r>
      <rPr>
        <sz val="11"/>
        <color rgb="FF000000"/>
        <rFont val="Calibri"/>
      </rPr>
      <t>For those platforms that do not support the session-limit command, the sessions can also be limited by reducing the number of active vty lines as shown in the example below.</t>
    </r>
    <r>
      <rPr>
        <sz val="11"/>
        <color rgb="FF000000"/>
        <rFont val="Calibri"/>
      </rPr>
      <t xml:space="preserve">
</t>
    </r>
    <r>
      <rPr>
        <sz val="11"/>
        <color rgb="FF000000"/>
        <rFont val="Calibri"/>
      </rPr>
      <t>line vty 0 1</t>
    </r>
    <r>
      <rPr>
        <sz val="11"/>
        <color rgb="FF000000"/>
        <rFont val="Calibri"/>
      </rPr>
      <t xml:space="preserve">
</t>
    </r>
    <r>
      <rPr>
        <sz val="11"/>
        <color rgb="FF000000"/>
        <rFont val="Calibri"/>
      </rPr>
      <t xml:space="preserve"> transport input ssh</t>
    </r>
    <r>
      <rPr>
        <sz val="11"/>
        <color rgb="FF000000"/>
        <rFont val="Calibri"/>
      </rPr>
      <t xml:space="preserve">
</t>
    </r>
    <r>
      <rPr>
        <sz val="11"/>
        <color rgb="FF000000"/>
        <rFont val="Calibri"/>
      </rPr>
      <t>line vty 2 4</t>
    </r>
    <r>
      <rPr>
        <sz val="11"/>
        <color rgb="FF000000"/>
        <rFont val="Calibri"/>
      </rPr>
      <t xml:space="preserve">
</t>
    </r>
    <r>
      <rPr>
        <sz val="11"/>
        <color rgb="FF000000"/>
        <rFont val="Calibri"/>
      </rPr>
      <t xml:space="preserve"> transport input none</t>
    </r>
    <r>
      <rPr>
        <sz val="11"/>
        <color rgb="FF000000"/>
        <rFont val="Calibri"/>
      </rPr>
      <t xml:space="preserve">
</t>
    </r>
    <r>
      <rPr>
        <sz val="11"/>
        <color rgb="FF000000"/>
        <rFont val="Calibri"/>
      </rPr>
      <t>If the switch is not configured to limit the number of concurrent management sessions, this is a finding.</t>
    </r>
  </si>
  <si>
    <t>V-220519</t>
  </si>
  <si>
    <r>
      <rPr>
        <sz val="11"/>
        <rFont val="Calibri"/>
      </rPr>
      <t>The Cisco switch must be configured to automatically audit account creation.</t>
    </r>
  </si>
  <si>
    <r>
      <rPr>
        <sz val="11"/>
        <color rgb="FF000000"/>
        <rFont val="Calibri"/>
      </rPr>
      <t>Configure the switch to log account creation using the following commands:</t>
    </r>
    <r>
      <rPr>
        <sz val="11"/>
        <color rgb="FF000000"/>
        <rFont val="Calibri"/>
      </rPr>
      <t xml:space="preserve">
</t>
    </r>
    <r>
      <rPr>
        <sz val="11"/>
        <color rgb="FF000000"/>
        <rFont val="Calibri"/>
      </rPr>
      <t>SW4(config)#archive</t>
    </r>
    <r>
      <rPr>
        <sz val="11"/>
        <color rgb="FF000000"/>
        <rFont val="Calibri"/>
      </rPr>
      <t xml:space="preserve">
</t>
    </r>
    <r>
      <rPr>
        <sz val="11"/>
        <color rgb="FF000000"/>
        <rFont val="Calibri"/>
      </rPr>
      <t>SW4(config-archive)#log config</t>
    </r>
    <r>
      <rPr>
        <sz val="11"/>
        <color rgb="FF000000"/>
        <rFont val="Calibri"/>
      </rPr>
      <t xml:space="preserve">
</t>
    </r>
    <r>
      <rPr>
        <sz val="11"/>
        <color rgb="FF000000"/>
        <rFont val="Calibri"/>
      </rPr>
      <t>SW4(config-archive-log-cfg)#logging enable</t>
    </r>
    <r>
      <rPr>
        <sz val="11"/>
        <color rgb="FF000000"/>
        <rFont val="Calibri"/>
      </rPr>
      <t xml:space="preserve">
</t>
    </r>
    <r>
      <rPr>
        <sz val="11"/>
        <color rgb="FF000000"/>
        <rFont val="Calibri"/>
      </rPr>
      <t>SW4(config-archive-log-cfg)#logging size 1000</t>
    </r>
    <r>
      <rPr>
        <sz val="11"/>
        <color rgb="FF000000"/>
        <rFont val="Calibri"/>
      </rPr>
      <t xml:space="preserve">
</t>
    </r>
    <r>
      <rPr>
        <sz val="11"/>
        <color rgb="FF000000"/>
        <rFont val="Calibri"/>
      </rPr>
      <t>SW4(config-archive-log-cfg)#notify syslog contenttype plaintext</t>
    </r>
    <r>
      <rPr>
        <sz val="11"/>
        <color rgb="FF000000"/>
        <rFont val="Calibri"/>
      </rPr>
      <t xml:space="preserve">
</t>
    </r>
    <r>
      <rPr>
        <sz val="11"/>
        <color rgb="FF000000"/>
        <rFont val="Calibri"/>
      </rPr>
      <t>SW4(config-archive-log-cfg)#hidekeys</t>
    </r>
    <r>
      <rPr>
        <sz val="11"/>
        <color rgb="FF000000"/>
        <rFont val="Calibri"/>
      </rPr>
      <t xml:space="preserve">
</t>
    </r>
    <r>
      <rPr>
        <sz val="11"/>
        <color rgb="FF000000"/>
        <rFont val="Calibri"/>
      </rPr>
      <t>SW4(config-archive-log-cfg)#end</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</si>
  <si>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</si>
  <si>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Review the switch configuration to determine if it automatically audits account creation. The configuration should look similar to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account creation is not automatically audited, this is a finding.</t>
    </r>
  </si>
  <si>
    <t>V-220520</t>
  </si>
  <si>
    <r>
      <rPr>
        <sz val="11"/>
        <rFont val="Calibri"/>
      </rPr>
      <t>The Cisco switch must be configured to automatically audit account modification.</t>
    </r>
  </si>
  <si>
    <r>
      <rPr>
        <sz val="11"/>
        <color rgb="FF000000"/>
        <rFont val="Calibri"/>
      </rPr>
      <t>Configure the switch to log account modification using the following commands:</t>
    </r>
    <r>
      <rPr>
        <sz val="11"/>
        <color rgb="FF000000"/>
        <rFont val="Calibri"/>
      </rPr>
      <t xml:space="preserve">
</t>
    </r>
    <r>
      <rPr>
        <sz val="11"/>
        <color rgb="FF000000"/>
        <rFont val="Calibri"/>
      </rPr>
      <t>SW4(config)#archive</t>
    </r>
    <r>
      <rPr>
        <sz val="11"/>
        <color rgb="FF000000"/>
        <rFont val="Calibri"/>
      </rPr>
      <t xml:space="preserve">
</t>
    </r>
    <r>
      <rPr>
        <sz val="11"/>
        <color rgb="FF000000"/>
        <rFont val="Calibri"/>
      </rPr>
      <t>SW4(config-archive)#log config</t>
    </r>
    <r>
      <rPr>
        <sz val="11"/>
        <color rgb="FF000000"/>
        <rFont val="Calibri"/>
      </rPr>
      <t xml:space="preserve">
</t>
    </r>
    <r>
      <rPr>
        <sz val="11"/>
        <color rgb="FF000000"/>
        <rFont val="Calibri"/>
      </rPr>
      <t>SW4(config-archive-log-cfg)#logging enable</t>
    </r>
    <r>
      <rPr>
        <sz val="11"/>
        <color rgb="FF000000"/>
        <rFont val="Calibri"/>
      </rPr>
      <t xml:space="preserve">
</t>
    </r>
    <r>
      <rPr>
        <sz val="11"/>
        <color rgb="FF000000"/>
        <rFont val="Calibri"/>
      </rPr>
      <t>SW4(config-archive-log-cfg)#logging size 1000</t>
    </r>
    <r>
      <rPr>
        <sz val="11"/>
        <color rgb="FF000000"/>
        <rFont val="Calibri"/>
      </rPr>
      <t xml:space="preserve">
</t>
    </r>
    <r>
      <rPr>
        <sz val="11"/>
        <color rgb="FF000000"/>
        <rFont val="Calibri"/>
      </rPr>
      <t>SW4(config-archive-log-cfg)#notify syslog contenttype plaintext</t>
    </r>
    <r>
      <rPr>
        <sz val="11"/>
        <color rgb="FF000000"/>
        <rFont val="Calibri"/>
      </rPr>
      <t xml:space="preserve">
</t>
    </r>
    <r>
      <rPr>
        <sz val="11"/>
        <color rgb="FF000000"/>
        <rFont val="Calibri"/>
      </rPr>
      <t>SW4(config-archive-log-cfg)#hidekeys</t>
    </r>
    <r>
      <rPr>
        <sz val="11"/>
        <color rgb="FF000000"/>
        <rFont val="Calibri"/>
      </rPr>
      <t xml:space="preserve">
</t>
    </r>
    <r>
      <rPr>
        <sz val="11"/>
        <color rgb="FF000000"/>
        <rFont val="Calibri"/>
      </rPr>
      <t>SW4(config-archive-log-cfg)#end</t>
    </r>
  </si>
  <si>
    <r>
      <rPr>
        <sz val="11"/>
        <color rgb="FF000000"/>
        <rFont val="Calibri"/>
      </rPr>
      <t>Since the accounts in the network device are privileged or system-level accounts, account management is vital to the security of the network device. Account management by a designated authority ensures access to the network device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</si>
  <si>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r>
      <rPr>
        <sz val="11"/>
        <color rgb="FF000000"/>
        <rFont val="Calibri"/>
      </rPr>
      <t>Review the switch configuration to determine if it automatically audits account modification. The configuration should look similar to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account modification is not automatically audited, this is a finding.</t>
    </r>
  </si>
  <si>
    <t>V-220521</t>
  </si>
  <si>
    <r>
      <rPr>
        <sz val="11"/>
        <rFont val="Calibri"/>
      </rPr>
      <t>The Cisco switch must be configured to automatically audit account disabling actions.</t>
    </r>
  </si>
  <si>
    <r>
      <rPr>
        <sz val="11"/>
        <color rgb="FF000000"/>
        <rFont val="Calibri"/>
      </rPr>
      <t>Configure the switch to log account disabling using the following commands:</t>
    </r>
    <r>
      <rPr>
        <sz val="11"/>
        <color rgb="FF000000"/>
        <rFont val="Calibri"/>
      </rPr>
      <t xml:space="preserve">
</t>
    </r>
    <r>
      <rPr>
        <sz val="11"/>
        <color rgb="FF000000"/>
        <rFont val="Calibri"/>
      </rPr>
      <t>SW4(config)#archive</t>
    </r>
    <r>
      <rPr>
        <sz val="11"/>
        <color rgb="FF000000"/>
        <rFont val="Calibri"/>
      </rPr>
      <t xml:space="preserve">
</t>
    </r>
    <r>
      <rPr>
        <sz val="11"/>
        <color rgb="FF000000"/>
        <rFont val="Calibri"/>
      </rPr>
      <t>SW4(config-archive)#log config</t>
    </r>
    <r>
      <rPr>
        <sz val="11"/>
        <color rgb="FF000000"/>
        <rFont val="Calibri"/>
      </rPr>
      <t xml:space="preserve">
</t>
    </r>
    <r>
      <rPr>
        <sz val="11"/>
        <color rgb="FF000000"/>
        <rFont val="Calibri"/>
      </rPr>
      <t>SW4(config-archive-log-cfg)#logging enable</t>
    </r>
    <r>
      <rPr>
        <sz val="11"/>
        <color rgb="FF000000"/>
        <rFont val="Calibri"/>
      </rPr>
      <t xml:space="preserve">
</t>
    </r>
    <r>
      <rPr>
        <sz val="11"/>
        <color rgb="FF000000"/>
        <rFont val="Calibri"/>
      </rPr>
      <t>SW4(config-archive-log-cfg)#logging size 1000</t>
    </r>
    <r>
      <rPr>
        <sz val="11"/>
        <color rgb="FF000000"/>
        <rFont val="Calibri"/>
      </rPr>
      <t xml:space="preserve">
</t>
    </r>
    <r>
      <rPr>
        <sz val="11"/>
        <color rgb="FF000000"/>
        <rFont val="Calibri"/>
      </rPr>
      <t>SW4(config-archive-log-cfg)#notify syslog contenttype plaintext</t>
    </r>
    <r>
      <rPr>
        <sz val="11"/>
        <color rgb="FF000000"/>
        <rFont val="Calibri"/>
      </rPr>
      <t xml:space="preserve">
</t>
    </r>
    <r>
      <rPr>
        <sz val="11"/>
        <color rgb="FF000000"/>
        <rFont val="Calibri"/>
      </rPr>
      <t>SW4(config-archive-log-cfg)#hidekeys</t>
    </r>
    <r>
      <rPr>
        <sz val="11"/>
        <color rgb="FF000000"/>
        <rFont val="Calibri"/>
      </rPr>
      <t xml:space="preserve">
</t>
    </r>
    <r>
      <rPr>
        <sz val="11"/>
        <color rgb="FF000000"/>
        <rFont val="Calibri"/>
      </rPr>
      <t>SW4(config-archive-log-cfg)#end</t>
    </r>
  </si>
  <si>
    <r>
      <rPr>
        <sz val="11"/>
        <color rgb="FF000000"/>
        <rFont val="Calibri"/>
      </rPr>
      <t>Account management, as a whole, ensures access to the network device is being controlled in a secure manner by granting access to only authorized personnel. Auditing account disabling actions will support account management procedures. When device management accounts are disabled, user or service accessibility may be affected. Auditing also ensures authorized active accounts remain enabled and available for use when required.</t>
    </r>
  </si>
  <si>
    <r>
      <rPr>
        <sz val="11"/>
        <color rgb="FF000000"/>
        <rFont val="Calibri"/>
      </rPr>
      <t>Review the switch configuration to determine if it automatically audits account disabling. The configuration should look similar to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account disabling is not automatically audited, this is a finding.</t>
    </r>
  </si>
  <si>
    <t>V-220522</t>
  </si>
  <si>
    <r>
      <rPr>
        <sz val="11"/>
        <rFont val="Calibri"/>
      </rPr>
      <t>The Cisco switch must be configured to automatically audit account removal actions.</t>
    </r>
  </si>
  <si>
    <r>
      <rPr>
        <sz val="11"/>
        <color rgb="FF000000"/>
        <rFont val="Calibri"/>
      </rPr>
      <t>Configure the switch to log account removal using the following commands:</t>
    </r>
    <r>
      <rPr>
        <sz val="11"/>
        <color rgb="FF000000"/>
        <rFont val="Calibri"/>
      </rPr>
      <t xml:space="preserve">
</t>
    </r>
    <r>
      <rPr>
        <sz val="11"/>
        <color rgb="FF000000"/>
        <rFont val="Calibri"/>
      </rPr>
      <t>SW4(config)#archive</t>
    </r>
    <r>
      <rPr>
        <sz val="11"/>
        <color rgb="FF000000"/>
        <rFont val="Calibri"/>
      </rPr>
      <t xml:space="preserve">
</t>
    </r>
    <r>
      <rPr>
        <sz val="11"/>
        <color rgb="FF000000"/>
        <rFont val="Calibri"/>
      </rPr>
      <t>SW4(config-archive)#log config</t>
    </r>
    <r>
      <rPr>
        <sz val="11"/>
        <color rgb="FF000000"/>
        <rFont val="Calibri"/>
      </rPr>
      <t xml:space="preserve">
</t>
    </r>
    <r>
      <rPr>
        <sz val="11"/>
        <color rgb="FF000000"/>
        <rFont val="Calibri"/>
      </rPr>
      <t>SW4(config-archive-log-cfg)#logging enable</t>
    </r>
    <r>
      <rPr>
        <sz val="11"/>
        <color rgb="FF000000"/>
        <rFont val="Calibri"/>
      </rPr>
      <t xml:space="preserve">
</t>
    </r>
    <r>
      <rPr>
        <sz val="11"/>
        <color rgb="FF000000"/>
        <rFont val="Calibri"/>
      </rPr>
      <t>SW4(config-archive-log-cfg)#logging size 1000</t>
    </r>
    <r>
      <rPr>
        <sz val="11"/>
        <color rgb="FF000000"/>
        <rFont val="Calibri"/>
      </rPr>
      <t xml:space="preserve">
</t>
    </r>
    <r>
      <rPr>
        <sz val="11"/>
        <color rgb="FF000000"/>
        <rFont val="Calibri"/>
      </rPr>
      <t>SW4(config-archive-log-cfg)#notify syslog contenttype plaintext</t>
    </r>
    <r>
      <rPr>
        <sz val="11"/>
        <color rgb="FF000000"/>
        <rFont val="Calibri"/>
      </rPr>
      <t xml:space="preserve">
</t>
    </r>
    <r>
      <rPr>
        <sz val="11"/>
        <color rgb="FF000000"/>
        <rFont val="Calibri"/>
      </rPr>
      <t>SW4(config-archive-log-cfg)#hidekeys</t>
    </r>
    <r>
      <rPr>
        <sz val="11"/>
        <color rgb="FF000000"/>
        <rFont val="Calibri"/>
      </rPr>
      <t xml:space="preserve">
</t>
    </r>
    <r>
      <rPr>
        <sz val="11"/>
        <color rgb="FF000000"/>
        <rFont val="Calibri"/>
      </rPr>
      <t>SW4(config-archive-log-cfg)#end</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</si>
  <si>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</si>
  <si>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r>
      <rPr>
        <sz val="11"/>
        <color rgb="FF000000"/>
        <rFont val="Calibri"/>
      </rPr>
      <t>Review the switch configuration to determine if it automatically audits account removal. The configuration should look similar to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account removal is not automatically audited, this is a finding.</t>
    </r>
  </si>
  <si>
    <t>V-220523</t>
  </si>
  <si>
    <r>
      <rPr>
        <sz val="11"/>
        <rFont val="Calibri"/>
      </rPr>
      <t>The Cisco switch must be configured to enforce approved authorizations for controlling the flow of management information within the device based on control policies.</t>
    </r>
  </si>
  <si>
    <r>
      <rPr>
        <sz val="11"/>
        <color rgb="FF000000"/>
        <rFont val="Calibri"/>
      </rPr>
      <t>Configure the Cisco switch to restrict management access to specific IP addresses via SSH as shown in the example below:</t>
    </r>
    <r>
      <rPr>
        <sz val="11"/>
        <color rgb="FF000000"/>
        <rFont val="Calibri"/>
      </rPr>
      <t xml:space="preserve">
</t>
    </r>
    <r>
      <rPr>
        <sz val="11"/>
        <color rgb="FF000000"/>
        <rFont val="Calibri"/>
      </rPr>
      <t xml:space="preserve">SW2(config)#ip access-list standard MANAGEMENT_NET </t>
    </r>
    <r>
      <rPr>
        <sz val="11"/>
        <color rgb="FF000000"/>
        <rFont val="Calibri"/>
      </rPr>
      <t xml:space="preserve">
</t>
    </r>
    <r>
      <rPr>
        <sz val="11"/>
        <color rgb="FF000000"/>
        <rFont val="Calibri"/>
      </rPr>
      <t xml:space="preserve">SW2(config-std-nacl)#permit x.x.x.0 0.0.0.255 </t>
    </r>
    <r>
      <rPr>
        <sz val="11"/>
        <color rgb="FF000000"/>
        <rFont val="Calibri"/>
      </rPr>
      <t xml:space="preserve">
</t>
    </r>
    <r>
      <rPr>
        <sz val="11"/>
        <color rgb="FF000000"/>
        <rFont val="Calibri"/>
      </rPr>
      <t xml:space="preserve">SW2(config-std-nacl)#exit </t>
    </r>
    <r>
      <rPr>
        <sz val="11"/>
        <color rgb="FF000000"/>
        <rFont val="Calibri"/>
      </rPr>
      <t xml:space="preserve">
</t>
    </r>
    <r>
      <rPr>
        <sz val="11"/>
        <color rgb="FF000000"/>
        <rFont val="Calibri"/>
      </rPr>
      <t>SW2(config)#line vty 0 1</t>
    </r>
    <r>
      <rPr>
        <sz val="11"/>
        <color rgb="FF000000"/>
        <rFont val="Calibri"/>
      </rPr>
      <t xml:space="preserve">
</t>
    </r>
    <r>
      <rPr>
        <sz val="11"/>
        <color rgb="FF000000"/>
        <rFont val="Calibri"/>
      </rPr>
      <t xml:space="preserve">SW2(config-line)#transport input ssh </t>
    </r>
    <r>
      <rPr>
        <sz val="11"/>
        <color rgb="FF000000"/>
        <rFont val="Calibri"/>
      </rPr>
      <t xml:space="preserve">
</t>
    </r>
    <r>
      <rPr>
        <sz val="11"/>
        <color rgb="FF000000"/>
        <rFont val="Calibri"/>
      </rPr>
      <t xml:space="preserve">SW2(config-line)#access-class MANAGEMENT_NET in </t>
    </r>
    <r>
      <rPr>
        <sz val="11"/>
        <color rgb="FF000000"/>
        <rFont val="Calibri"/>
      </rPr>
      <t xml:space="preserve">
</t>
    </r>
    <r>
      <rPr>
        <sz val="11"/>
        <color rgb="FF000000"/>
        <rFont val="Calibri"/>
      </rPr>
      <t>SW2(config-line)#end</t>
    </r>
  </si>
  <si>
    <r>
      <rPr>
        <sz val="11"/>
        <color rgb="FF000000"/>
        <rFont val="Calibri"/>
      </rPr>
      <t xml:space="preserve">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 </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</si>
  <si>
    <r>
      <rPr>
        <sz val="11"/>
        <color rgb="FF000000"/>
        <rFont val="Calibri"/>
      </rPr>
      <t>Review the Cisco switch configuration to verify that it is compliant with this requirement. Administrative access to the switch must only be allowed from hosts residing in the management network.</t>
    </r>
    <r>
      <rPr>
        <sz val="11"/>
        <color rgb="FF000000"/>
        <rFont val="Calibri"/>
      </rPr>
      <t xml:space="preserve">
</t>
    </r>
    <r>
      <rPr>
        <sz val="11"/>
        <color rgb="FF000000"/>
        <rFont val="Calibri"/>
      </rPr>
      <t>Step 1: Verify that the line vty has an ACL inbound applied as shown in the example below:</t>
    </r>
    <r>
      <rPr>
        <sz val="11"/>
        <color rgb="FF000000"/>
        <rFont val="Calibri"/>
      </rPr>
      <t xml:space="preserve">
</t>
    </r>
    <r>
      <rPr>
        <sz val="11"/>
        <color rgb="FF000000"/>
        <rFont val="Calibri"/>
      </rPr>
      <t>line vty 0 1</t>
    </r>
    <r>
      <rPr>
        <sz val="11"/>
        <color rgb="FF000000"/>
        <rFont val="Calibri"/>
      </rPr>
      <t xml:space="preserve">
</t>
    </r>
    <r>
      <rPr>
        <sz val="11"/>
        <color rgb="FF000000"/>
        <rFont val="Calibri"/>
      </rPr>
      <t xml:space="preserve"> access-class MANAGEMENT_NET in</t>
    </r>
    <r>
      <rPr>
        <sz val="11"/>
        <color rgb="FF000000"/>
        <rFont val="Calibri"/>
      </rPr>
      <t xml:space="preserve">
</t>
    </r>
    <r>
      <rPr>
        <sz val="11"/>
        <color rgb="FF000000"/>
        <rFont val="Calibri"/>
      </rPr>
      <t xml:space="preserve"> transport input ssh</t>
    </r>
    <r>
      <rPr>
        <sz val="11"/>
        <color rgb="FF000000"/>
        <rFont val="Calibri"/>
      </rPr>
      <t xml:space="preserve">
</t>
    </r>
    <r>
      <rPr>
        <sz val="11"/>
        <color rgb="FF000000"/>
        <rFont val="Calibri"/>
      </rPr>
      <t>Step 2: Verify that the ACL permits only hosts from the management network to access the switch.</t>
    </r>
    <r>
      <rPr>
        <sz val="11"/>
        <color rgb="FF000000"/>
        <rFont val="Calibri"/>
      </rPr>
      <t xml:space="preserve">
</t>
    </r>
    <r>
      <rPr>
        <sz val="11"/>
        <color rgb="FF000000"/>
        <rFont val="Calibri"/>
      </rPr>
      <t xml:space="preserve">ip access-list extended MANAGEMENT_NET </t>
    </r>
    <r>
      <rPr>
        <sz val="11"/>
        <color rgb="FF000000"/>
        <rFont val="Calibri"/>
      </rPr>
      <t xml:space="preserve">
</t>
    </r>
    <r>
      <rPr>
        <sz val="11"/>
        <color rgb="FF000000"/>
        <rFont val="Calibri"/>
      </rPr>
      <t>permit ip x.x.x.0 0.0.0.255 any</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If the Cisco switch is not configured to enforce approved authorizations for controlling the flow of management information within the device based on control policies, this is a finding.</t>
    </r>
  </si>
  <si>
    <t>V-220524</t>
  </si>
  <si>
    <r>
      <rPr>
        <sz val="11"/>
        <rFont val="Calibri"/>
      </rPr>
      <t>The Cisco switch must be configured to enforce the limit of three consecutive invalid logon attempts, after which time it must lock out the user account from accessing the device for 15 minutes.</t>
    </r>
  </si>
  <si>
    <r>
      <rPr>
        <sz val="11"/>
        <color rgb="FF000000"/>
        <rFont val="Calibri"/>
      </rPr>
      <t>Configure the Cisco switch to enforce the limit of three consecutive invalid logon attempts as shown in the example below:</t>
    </r>
    <r>
      <rPr>
        <sz val="11"/>
        <color rgb="FF000000"/>
        <rFont val="Calibri"/>
      </rPr>
      <t xml:space="preserve">
</t>
    </r>
    <r>
      <rPr>
        <sz val="11"/>
        <color rgb="FF000000"/>
        <rFont val="Calibri"/>
      </rPr>
      <t>SW2(config)#login block-for 900 attempts 3 within 120</t>
    </r>
  </si>
  <si>
    <r>
      <rPr>
        <sz val="11"/>
        <color rgb="FF000000"/>
        <rFont val="Calibri"/>
      </rPr>
      <t>By limiting the number of failed logon attempts, the risk of unauthorized system access via user password guessing, otherwise known as brute-forcing, is reduced.</t>
    </r>
  </si>
  <si>
    <r>
      <rPr>
        <sz val="11"/>
        <color rgb="FF000000"/>
        <rFont val="Calibri"/>
      </rPr>
      <t>Review the Cisco switch configuration to verify that it enforces the limit of three consecutive invalid logon attempts as shown in the example below:</t>
    </r>
    <r>
      <rPr>
        <sz val="11"/>
        <color rgb="FF000000"/>
        <rFont val="Calibri"/>
      </rPr>
      <t xml:space="preserve">
</t>
    </r>
    <r>
      <rPr>
        <sz val="11"/>
        <color rgb="FF000000"/>
        <rFont val="Calibri"/>
      </rPr>
      <t>login block-for 900 attempts 3 within 120</t>
    </r>
    <r>
      <rPr>
        <sz val="11"/>
        <color rgb="FF000000"/>
        <rFont val="Calibri"/>
      </rPr>
      <t xml:space="preserve">
</t>
    </r>
    <r>
      <rPr>
        <sz val="11"/>
        <color rgb="FF000000"/>
        <rFont val="Calibri"/>
      </rPr>
      <t>Note: The configuration example above will block any login attempt for 15 minutes after three consecutive invalid logon attempts within a two-minute period.</t>
    </r>
    <r>
      <rPr>
        <sz val="11"/>
        <color rgb="FF000000"/>
        <rFont val="Calibri"/>
      </rPr>
      <t xml:space="preserve">
</t>
    </r>
    <r>
      <rPr>
        <sz val="11"/>
        <color rgb="FF000000"/>
        <rFont val="Calibri"/>
      </rPr>
      <t>If the Cisco switch is not configured to enforce the limit of three consecutive invalid logon attempts, this is a finding.</t>
    </r>
  </si>
  <si>
    <t>V-220525</t>
  </si>
  <si>
    <r>
      <rPr>
        <sz val="11"/>
        <rFont val="Calibri"/>
      </rPr>
      <t>The Cisco switch must be configured to display the Standard Mandatory DoD Notice and Consent Banner before granting access to the device.</t>
    </r>
  </si>
  <si>
    <r>
      <rPr>
        <sz val="11"/>
        <color rgb="FF000000"/>
        <rFont val="Calibri"/>
      </rPr>
      <t>Configure the Cisco switch to display the Standard Mandatory DoD Notice and Consent Banner before granting access as shown in the following example:</t>
    </r>
    <r>
      <rPr>
        <sz val="11"/>
        <color rgb="FF000000"/>
        <rFont val="Calibri"/>
      </rPr>
      <t xml:space="preserve">
</t>
    </r>
    <r>
      <rPr>
        <sz val="11"/>
        <color rgb="FF000000"/>
        <rFont val="Calibri"/>
      </rPr>
      <t>SW1(config)#banner login #</t>
    </r>
    <r>
      <rPr>
        <sz val="11"/>
        <color rgb="FF000000"/>
        <rFont val="Calibri"/>
      </rPr>
      <t xml:space="preserve">
</t>
    </r>
    <r>
      <rPr>
        <sz val="11"/>
        <color rgb="FF000000"/>
        <rFont val="Calibri"/>
      </rPr>
      <t>Enter TEXT message. End with the character '#'.</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SW1(config)#end</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</si>
  <si>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</si>
  <si>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banner login ^C</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^C</t>
    </r>
    <r>
      <rPr>
        <sz val="11"/>
        <color rgb="FF000000"/>
        <rFont val="Calibri"/>
      </rPr>
      <t xml:space="preserve">
</t>
    </r>
    <r>
      <rPr>
        <sz val="11"/>
        <color rgb="FF000000"/>
        <rFont val="Calibri"/>
      </rPr>
      <t>If the Cisco switch is not configured to display the Standard Mandatory DoD Notice and Consent Banner before granting access to the device, this is a finding.</t>
    </r>
  </si>
  <si>
    <t>V-220526</t>
  </si>
  <si>
    <r>
      <rPr>
        <sz val="11"/>
        <rFont val="Calibri"/>
      </rPr>
      <t>The Cisco device must be configured to audit all administrator activity.</t>
    </r>
  </si>
  <si>
    <r>
      <rPr>
        <sz val="11"/>
        <color rgb="FF000000"/>
        <rFont val="Calibri"/>
      </rPr>
      <t>Configure the switch to log administrator activity as shown in the example below:</t>
    </r>
    <r>
      <rPr>
        <sz val="11"/>
        <color rgb="FF000000"/>
        <rFont val="Calibri"/>
      </rPr>
      <t xml:space="preserve">
</t>
    </r>
    <r>
      <rPr>
        <sz val="11"/>
        <color rgb="FF000000"/>
        <rFont val="Calibri"/>
      </rPr>
      <t>SW1(config)#logging userinfo</t>
    </r>
    <r>
      <rPr>
        <sz val="11"/>
        <color rgb="FF000000"/>
        <rFont val="Calibri"/>
      </rPr>
      <t xml:space="preserve">
</t>
    </r>
    <r>
      <rPr>
        <sz val="11"/>
        <color rgb="FF000000"/>
        <rFont val="Calibri"/>
      </rPr>
      <t>SW1(config)#archive</t>
    </r>
    <r>
      <rPr>
        <sz val="11"/>
        <color rgb="FF000000"/>
        <rFont val="Calibri"/>
      </rPr>
      <t xml:space="preserve">
</t>
    </r>
    <r>
      <rPr>
        <sz val="11"/>
        <color rgb="FF000000"/>
        <rFont val="Calibri"/>
      </rPr>
      <t>SW1(config-archive)#log config</t>
    </r>
    <r>
      <rPr>
        <sz val="11"/>
        <color rgb="FF000000"/>
        <rFont val="Calibri"/>
      </rPr>
      <t xml:space="preserve">
</t>
    </r>
    <r>
      <rPr>
        <sz val="11"/>
        <color rgb="FF000000"/>
        <rFont val="Calibri"/>
      </rPr>
      <t>SW1(config-archive-log-cfg)#logging enable</t>
    </r>
    <r>
      <rPr>
        <sz val="11"/>
        <color rgb="FF000000"/>
        <rFont val="Calibri"/>
      </rPr>
      <t xml:space="preserve">
</t>
    </r>
    <r>
      <rPr>
        <sz val="11"/>
        <color rgb="FF000000"/>
        <rFont val="Calibri"/>
      </rPr>
      <t>SW1(config-archive-log-cfg)#logging size 1000</t>
    </r>
    <r>
      <rPr>
        <sz val="11"/>
        <color rgb="FF000000"/>
        <rFont val="Calibri"/>
      </rPr>
      <t xml:space="preserve">
</t>
    </r>
    <r>
      <rPr>
        <sz val="11"/>
        <color rgb="FF000000"/>
        <rFont val="Calibri"/>
      </rPr>
      <t>SW1(config-archive-log-cfg)#notify syslog contenttype plaintext</t>
    </r>
    <r>
      <rPr>
        <sz val="11"/>
        <color rgb="FF000000"/>
        <rFont val="Calibri"/>
      </rPr>
      <t xml:space="preserve">
</t>
    </r>
    <r>
      <rPr>
        <sz val="11"/>
        <color rgb="FF000000"/>
        <rFont val="Calibri"/>
      </rPr>
      <t>SW1(config-archive-log-cfg)#hidekeys</t>
    </r>
    <r>
      <rPr>
        <sz val="11"/>
        <color rgb="FF000000"/>
        <rFont val="Calibri"/>
      </rPr>
      <t xml:space="preserve">
</t>
    </r>
    <r>
      <rPr>
        <sz val="11"/>
        <color rgb="FF000000"/>
        <rFont val="Calibri"/>
      </rPr>
      <t>SW1(config-archive-log-cfg)#end</t>
    </r>
  </si>
  <si>
    <r>
      <rPr>
        <sz val="11"/>
        <color rgb="FF000000"/>
        <rFont val="Calibri"/>
      </rPr>
      <t>This requirement supports non-repudiation of actions taken by an administrator and is required in order to maintain the integrity of the configuration management process. All configuration changes to the network device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To meet this requirement, the network device must log administrator access and activity.</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</si>
  <si>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hostname R1</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userinfo</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logging userinfo global configuration command will generate a log when a user increases his or her privilege level.</t>
    </r>
    <r>
      <rPr>
        <sz val="11"/>
        <color rgb="FF000000"/>
        <rFont val="Calibri"/>
      </rPr>
      <t xml:space="preserve">
</t>
    </r>
    <r>
      <rPr>
        <sz val="11"/>
        <color rgb="FF000000"/>
        <rFont val="Calibri"/>
      </rPr>
      <t>If logging of administrator activity is not configured, this is a finding.</t>
    </r>
  </si>
  <si>
    <t>V-220528</t>
  </si>
  <si>
    <r>
      <rPr>
        <sz val="11"/>
        <rFont val="Calibri"/>
      </rPr>
      <t>The Cisco switch must produce audit records containing information to establish when (date and time) the events occurred.</t>
    </r>
  </si>
  <si>
    <r>
      <rPr>
        <sz val="11"/>
        <color rgb="FF000000"/>
        <rFont val="Calibri"/>
      </rPr>
      <t>Configure the switch to include the date and time on all log records as shown in the example below:</t>
    </r>
    <r>
      <rPr>
        <sz val="11"/>
        <color rgb="FF000000"/>
        <rFont val="Calibri"/>
      </rPr>
      <t xml:space="preserve">
</t>
    </r>
    <r>
      <rPr>
        <sz val="11"/>
        <color rgb="FF000000"/>
        <rFont val="Calibri"/>
      </rPr>
      <t>SW1(config)#service timestamps log datetime localtime</t>
    </r>
  </si>
  <si>
    <r>
      <rPr>
        <sz val="11"/>
        <color rgb="FF000000"/>
        <rFont val="Calibri"/>
      </rPr>
      <t>It is essential for security personnel to know what is being done, what was attempted, where it was done, when it was done, and by whom it was done in order to compile an accurate risk assessment. Logging the date and time of each detected event provides a means of investigating an attack; recognizing resource utilization or capacity thresholds; or identifying an improperly configured network device. In order to establish and correlate the series of events leading up to an outage or attack, it is imperative the date and time are recorded in all log records.</t>
    </r>
  </si>
  <si>
    <r>
      <rPr>
        <sz val="11"/>
        <color rgb="FF000000"/>
        <rFont val="Calibri"/>
      </rPr>
      <t>Verify that the switch is configured to include the date and time on all log records as shown in the configuration example below:</t>
    </r>
    <r>
      <rPr>
        <sz val="11"/>
        <color rgb="FF000000"/>
        <rFont val="Calibri"/>
      </rPr>
      <t xml:space="preserve">
</t>
    </r>
    <r>
      <rPr>
        <sz val="11"/>
        <color rgb="FF000000"/>
        <rFont val="Calibri"/>
      </rPr>
      <t>service timestamps log datetime localtime</t>
    </r>
    <r>
      <rPr>
        <sz val="11"/>
        <color rgb="FF000000"/>
        <rFont val="Calibri"/>
      </rPr>
      <t xml:space="preserve">
</t>
    </r>
    <r>
      <rPr>
        <sz val="11"/>
        <color rgb="FF000000"/>
        <rFont val="Calibri"/>
      </rPr>
      <t>If time stamps is not configured, this is a finding.</t>
    </r>
  </si>
  <si>
    <t>V-220529</t>
  </si>
  <si>
    <r>
      <rPr>
        <sz val="11"/>
        <rFont val="Calibri"/>
      </rPr>
      <t>The Cisco switch must produce audit records containing information to establish where the events occurred.</t>
    </r>
  </si>
  <si>
    <r>
      <rPr>
        <sz val="11"/>
        <color rgb="FF000000"/>
        <rFont val="Calibri"/>
      </rPr>
      <t>Configure the log-input parameter after any deny statements to provide the location as to where packets have been dropped via an ACL.</t>
    </r>
    <r>
      <rPr>
        <sz val="11"/>
        <color rgb="FF000000"/>
        <rFont val="Calibri"/>
      </rPr>
      <t xml:space="preserve">
</t>
    </r>
    <r>
      <rPr>
        <sz val="11"/>
        <color rgb="FF000000"/>
        <rFont val="Calibri"/>
      </rPr>
      <t>SW1(config)#ip access-list extended BLOCK_INBOUND</t>
    </r>
    <r>
      <rPr>
        <sz val="11"/>
        <color rgb="FF000000"/>
        <rFont val="Calibri"/>
      </rPr>
      <t xml:space="preserve">
</t>
    </r>
    <r>
      <rPr>
        <sz val="11"/>
        <color rgb="FF000000"/>
        <rFont val="Calibri"/>
      </rPr>
      <t>SW1(config-ext-nacl)#deny icmp any any log-input</t>
    </r>
  </si>
  <si>
    <r>
      <rPr>
        <sz val="11"/>
        <color rgb="FF000000"/>
        <rFont val="Calibri"/>
      </rPr>
      <t>In order to compile an accurate risk assessment and provide forensic analysis, it is essential for security personnel to know where events occurred, such as device hardware components, device software modules, session identifiers, filenames, host names, and functionality.</t>
    </r>
    <r>
      <rPr>
        <sz val="11"/>
        <color rgb="FF000000"/>
        <rFont val="Calibri"/>
      </rPr>
      <t xml:space="preserve">
</t>
    </r>
    <r>
      <rPr>
        <sz val="11"/>
        <color rgb="FF000000"/>
        <rFont val="Calibri"/>
      </rPr>
      <t>Associating information about where the event occurred within the network device provides a means of investigating an attack; recognizing resource utilization or capacity thresholds; or identifying an improperly configured device.</t>
    </r>
  </si>
  <si>
    <r>
      <rPr>
        <sz val="11"/>
        <color rgb="FF000000"/>
        <rFont val="Calibri"/>
      </rPr>
      <t>Review the deny statements in all interface ACLs to determine if the log-input parameter has been configured as shown in the example below.</t>
    </r>
    <r>
      <rPr>
        <sz val="11"/>
        <color rgb="FF000000"/>
        <rFont val="Calibri"/>
      </rPr>
      <t xml:space="preserve">
</t>
    </r>
    <r>
      <rPr>
        <sz val="11"/>
        <color rgb="FF000000"/>
        <rFont val="Calibri"/>
      </rPr>
      <t>Note: log-input can only apply to interface bound ACLs.</t>
    </r>
    <r>
      <rPr>
        <sz val="11"/>
        <color rgb="FF000000"/>
        <rFont val="Calibri"/>
      </rPr>
      <t xml:space="preserve">
</t>
    </r>
    <r>
      <rPr>
        <sz val="11"/>
        <color rgb="FF000000"/>
        <rFont val="Calibri"/>
      </rPr>
      <t>ip access-list extended BLOCK_INBOUND</t>
    </r>
    <r>
      <rPr>
        <sz val="11"/>
        <color rgb="FF000000"/>
        <rFont val="Calibri"/>
      </rPr>
      <t xml:space="preserve">
</t>
    </r>
    <r>
      <rPr>
        <sz val="11"/>
        <color rgb="FF000000"/>
        <rFont val="Calibri"/>
      </rPr>
      <t xml:space="preserve"> deny icmp any any log-input</t>
    </r>
    <r>
      <rPr>
        <sz val="11"/>
        <color rgb="FF000000"/>
        <rFont val="Calibri"/>
      </rPr>
      <t xml:space="preserve">
</t>
    </r>
    <r>
      <rPr>
        <sz val="11"/>
        <color rgb="FF000000"/>
        <rFont val="Calibri"/>
      </rPr>
      <t>If the switch is not configured with the log-input parameter after any deny statements to note where packets have been dropped via an ACL, this is a finding.</t>
    </r>
  </si>
  <si>
    <t>V-220530</t>
  </si>
  <si>
    <r>
      <rPr>
        <sz val="11"/>
        <rFont val="Calibri"/>
      </rPr>
      <t>The Cisco switch must be configured to generate audit records containing the full-text recording of privileged commands.</t>
    </r>
  </si>
  <si>
    <r>
      <rPr>
        <sz val="11"/>
        <color rgb="FF000000"/>
        <rFont val="Calibri"/>
      </rPr>
      <t>Configure the Cisco switch to log all configuration changes as shown in the example below:</t>
    </r>
    <r>
      <rPr>
        <sz val="11"/>
        <color rgb="FF000000"/>
        <rFont val="Calibri"/>
      </rPr>
      <t xml:space="preserve">
</t>
    </r>
    <r>
      <rPr>
        <sz val="11"/>
        <color rgb="FF000000"/>
        <rFont val="Calibri"/>
      </rPr>
      <t>SW4(config)#archive</t>
    </r>
    <r>
      <rPr>
        <sz val="11"/>
        <color rgb="FF000000"/>
        <rFont val="Calibri"/>
      </rPr>
      <t xml:space="preserve">
</t>
    </r>
    <r>
      <rPr>
        <sz val="11"/>
        <color rgb="FF000000"/>
        <rFont val="Calibri"/>
      </rPr>
      <t>SW4(config-archive)#log config</t>
    </r>
    <r>
      <rPr>
        <sz val="11"/>
        <color rgb="FF000000"/>
        <rFont val="Calibri"/>
      </rPr>
      <t xml:space="preserve">
</t>
    </r>
    <r>
      <rPr>
        <sz val="11"/>
        <color rgb="FF000000"/>
        <rFont val="Calibri"/>
      </rPr>
      <t>SW4(config-archive-log-cfg)#logging enable</t>
    </r>
    <r>
      <rPr>
        <sz val="11"/>
        <color rgb="FF000000"/>
        <rFont val="Calibri"/>
      </rPr>
      <t xml:space="preserve">
</t>
    </r>
    <r>
      <rPr>
        <sz val="11"/>
        <color rgb="FF000000"/>
        <rFont val="Calibri"/>
      </rPr>
      <t>SW4(config-archive-log-cfg)#logging size 1000</t>
    </r>
    <r>
      <rPr>
        <sz val="11"/>
        <color rgb="FF000000"/>
        <rFont val="Calibri"/>
      </rPr>
      <t xml:space="preserve">
</t>
    </r>
    <r>
      <rPr>
        <sz val="11"/>
        <color rgb="FF000000"/>
        <rFont val="Calibri"/>
      </rPr>
      <t>SW4(config-archive-log-cfg)#notify syslog contenttype plaintext</t>
    </r>
    <r>
      <rPr>
        <sz val="11"/>
        <color rgb="FF000000"/>
        <rFont val="Calibri"/>
      </rPr>
      <t xml:space="preserve">
</t>
    </r>
    <r>
      <rPr>
        <sz val="11"/>
        <color rgb="FF000000"/>
        <rFont val="Calibri"/>
      </rPr>
      <t>SW4(config-archive-log-cfg)#hidekeys</t>
    </r>
    <r>
      <rPr>
        <sz val="11"/>
        <color rgb="FF000000"/>
        <rFont val="Calibri"/>
      </rPr>
      <t xml:space="preserve">
</t>
    </r>
    <r>
      <rPr>
        <sz val="11"/>
        <color rgb="FF000000"/>
        <rFont val="Calibri"/>
      </rPr>
      <t>SW4(config-archive-log-cfg)#end</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</si>
  <si>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full-text recording of privileged commands. The organization must maintain audit trails in sufficient detail to reconstruct events to determine the cause and impact of compromise.</t>
    </r>
  </si>
  <si>
    <r>
      <rPr>
        <sz val="11"/>
        <color rgb="FF000000"/>
        <rFont val="Calibri"/>
      </rPr>
      <t>Review the Cisco switch configuration to verify that it is compliant with this requirement. The configuration example below will log all configuration changes.</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the Cisco switch is not configured to generate audit records of configuration changes, this is a finding.</t>
    </r>
  </si>
  <si>
    <t>V-220531</t>
  </si>
  <si>
    <r>
      <rPr>
        <sz val="11"/>
        <rFont val="Calibri"/>
      </rPr>
      <t>The Cisco switch must be configured to protect audit information from unauthorized modification.</t>
    </r>
  </si>
  <si>
    <r>
      <rPr>
        <sz val="11"/>
        <color rgb="FF000000"/>
        <rFont val="Calibri"/>
      </rPr>
      <t>If persistent logging is enabled, configure the switch to only allow administrators with privilege level "15" access to the file system as shown in the example below:</t>
    </r>
    <r>
      <rPr>
        <sz val="11"/>
        <color rgb="FF000000"/>
        <rFont val="Calibri"/>
      </rPr>
      <t xml:space="preserve">
</t>
    </r>
    <r>
      <rPr>
        <sz val="11"/>
        <color rgb="FF000000"/>
        <rFont val="Calibri"/>
      </rPr>
      <t>SW4(config)#file privilege 15</t>
    </r>
  </si>
  <si>
    <r>
      <rPr>
        <sz val="11"/>
        <color rgb="FF000000"/>
        <rFont val="Calibri"/>
      </rPr>
      <t>Audit information includes all information (e.g., audit records, audit settings, and audit reports) needed to successfully audit network device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modification. </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receive the proper file system permissions and limiting log data locations.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that the user enjoys in order to make access decisions regarding the modification of audit data.</t>
    </r>
  </si>
  <si>
    <r>
      <rPr>
        <sz val="11"/>
        <color rgb="FF000000"/>
        <rFont val="Calibri"/>
      </rPr>
      <t>Review the Cisco switch configuration to verify that it is compliant with this requirement.</t>
    </r>
    <r>
      <rPr>
        <sz val="11"/>
        <color rgb="FF000000"/>
        <rFont val="Calibri"/>
      </rPr>
      <t xml:space="preserve">
</t>
    </r>
    <r>
      <rPr>
        <sz val="11"/>
        <color rgb="FF000000"/>
        <rFont val="Calibri"/>
      </rPr>
      <t>Step 1: If persistent logging is enabled as shown in the example below, go to Step 2. Otherwise, this requirement is not applicable.</t>
    </r>
    <r>
      <rPr>
        <sz val="11"/>
        <color rgb="FF000000"/>
        <rFont val="Calibri"/>
      </rPr>
      <t xml:space="preserve">
</t>
    </r>
    <r>
      <rPr>
        <sz val="11"/>
        <color rgb="FF000000"/>
        <rFont val="Calibri"/>
      </rPr>
      <t>logging persistent url disk0:/logfile size 134217728 filesize 16384</t>
    </r>
    <r>
      <rPr>
        <sz val="11"/>
        <color rgb="FF000000"/>
        <rFont val="Calibri"/>
      </rPr>
      <t xml:space="preserve">
</t>
    </r>
    <r>
      <rPr>
        <sz val="11"/>
        <color rgb="FF000000"/>
        <rFont val="Calibri"/>
      </rPr>
      <t>Step 2: Verify that the switch is not configured with a privilege level other than "15" to allow access to the file system as shown in the example below:</t>
    </r>
    <r>
      <rPr>
        <sz val="11"/>
        <color rgb="FF000000"/>
        <rFont val="Calibri"/>
      </rPr>
      <t xml:space="preserve">
</t>
    </r>
    <r>
      <rPr>
        <sz val="11"/>
        <color rgb="FF000000"/>
        <rFont val="Calibri"/>
      </rPr>
      <t xml:space="preserve">file privilege 10 </t>
    </r>
    <r>
      <rPr>
        <sz val="11"/>
        <color rgb="FF000000"/>
        <rFont val="Calibri"/>
      </rPr>
      <t xml:space="preserve">
</t>
    </r>
    <r>
      <rPr>
        <sz val="11"/>
        <color rgb="FF000000"/>
        <rFont val="Calibri"/>
      </rPr>
      <t>Note: The default privilege level required for access to the file system is "15"; hence, the command file privilege "15" will not be shown in the configuration.</t>
    </r>
    <r>
      <rPr>
        <sz val="11"/>
        <color rgb="FF000000"/>
        <rFont val="Calibri"/>
      </rPr>
      <t xml:space="preserve">
</t>
    </r>
    <r>
      <rPr>
        <sz val="11"/>
        <color rgb="FF000000"/>
        <rFont val="Calibri"/>
      </rPr>
      <t>If the switch is configured with a privilege level other than "15" to allow access to the file system, this is a finding.</t>
    </r>
  </si>
  <si>
    <t>V-220532</t>
  </si>
  <si>
    <r>
      <rPr>
        <sz val="11"/>
        <rFont val="Calibri"/>
      </rPr>
      <t>The Cisco switch must be configured to protect audit information from unauthorized deletion.</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</si>
  <si>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deletion. This requirement can be achieved through multiple methods, which will depend upon system architecture and design. Some commonly employed methods include: ensuring log files receive the proper file system permissions utilizing file system protections, restricting access, and backing up log data to ensure log data is retained.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the user enjoys in order to make access decisions regarding the deletion of audit data.</t>
    </r>
  </si>
  <si>
    <t>V-220533</t>
  </si>
  <si>
    <r>
      <rPr>
        <sz val="11"/>
        <rFont val="Calibri"/>
      </rPr>
      <t>The Cisco switch must be configured to limit privileges to change the software resident within software libraries.</t>
    </r>
  </si>
  <si>
    <r>
      <rPr>
        <sz val="11"/>
        <color rgb="FF000000"/>
        <rFont val="Calibri"/>
      </rPr>
      <t>Changes to any software components of the network device can have significant effects on the overall security of the network. Therefore, only qualified and authorized individuals should be allowed administrative access to the network device for implementing any changes or upgrades. If the network device were to enable non-authorized users to make changes to software libraries, those changes could be implemented without undergoing testing, validation, and approval.</t>
    </r>
  </si>
  <si>
    <t>V-220534</t>
  </si>
  <si>
    <r>
      <rPr>
        <sz val="11"/>
        <rFont val="Calibri"/>
      </rPr>
      <t>The Cisco switch must be configured to prohibit the use of all unnecessary and nonsecure functions and services.</t>
    </r>
  </si>
  <si>
    <t>CAT I (High)</t>
  </si>
  <si>
    <r>
      <rPr>
        <sz val="11"/>
        <color rgb="FF000000"/>
        <rFont val="Calibri"/>
      </rPr>
      <t>Disable the following services if enabled as shown in the example below:</t>
    </r>
    <r>
      <rPr>
        <sz val="11"/>
        <color rgb="FF000000"/>
        <rFont val="Calibri"/>
      </rPr>
      <t xml:space="preserve">
</t>
    </r>
    <r>
      <rPr>
        <sz val="11"/>
        <color rgb="FF000000"/>
        <rFont val="Calibri"/>
      </rPr>
      <t>SW2(config)#no boot network</t>
    </r>
    <r>
      <rPr>
        <sz val="11"/>
        <color rgb="FF000000"/>
        <rFont val="Calibri"/>
      </rPr>
      <t xml:space="preserve">
</t>
    </r>
    <r>
      <rPr>
        <sz val="11"/>
        <color rgb="FF000000"/>
        <rFont val="Calibri"/>
      </rPr>
      <t>SW2(config)#no ip boot server</t>
    </r>
    <r>
      <rPr>
        <sz val="11"/>
        <color rgb="FF000000"/>
        <rFont val="Calibri"/>
      </rPr>
      <t xml:space="preserve">
</t>
    </r>
    <r>
      <rPr>
        <sz val="11"/>
        <color rgb="FF000000"/>
        <rFont val="Calibri"/>
      </rPr>
      <t>SW2(config)#no ip bootp server</t>
    </r>
    <r>
      <rPr>
        <sz val="11"/>
        <color rgb="FF000000"/>
        <rFont val="Calibri"/>
      </rPr>
      <t xml:space="preserve">
</t>
    </r>
    <r>
      <rPr>
        <sz val="11"/>
        <color rgb="FF000000"/>
        <rFont val="Calibri"/>
      </rPr>
      <t>SW2(config)#no ip dns server</t>
    </r>
    <r>
      <rPr>
        <sz val="11"/>
        <color rgb="FF000000"/>
        <rFont val="Calibri"/>
      </rPr>
      <t xml:space="preserve">
</t>
    </r>
    <r>
      <rPr>
        <sz val="11"/>
        <color rgb="FF000000"/>
        <rFont val="Calibri"/>
      </rPr>
      <t>SW2(config)#no ip identd</t>
    </r>
    <r>
      <rPr>
        <sz val="11"/>
        <color rgb="FF000000"/>
        <rFont val="Calibri"/>
      </rPr>
      <t xml:space="preserve">
</t>
    </r>
    <r>
      <rPr>
        <sz val="11"/>
        <color rgb="FF000000"/>
        <rFont val="Calibri"/>
      </rPr>
      <t>SW2(config)#no ip finger</t>
    </r>
    <r>
      <rPr>
        <sz val="11"/>
        <color rgb="FF000000"/>
        <rFont val="Calibri"/>
      </rPr>
      <t xml:space="preserve">
</t>
    </r>
    <r>
      <rPr>
        <sz val="11"/>
        <color rgb="FF000000"/>
        <rFont val="Calibri"/>
      </rPr>
      <t>SW2(config)#no ip http server</t>
    </r>
    <r>
      <rPr>
        <sz val="11"/>
        <color rgb="FF000000"/>
        <rFont val="Calibri"/>
      </rPr>
      <t xml:space="preserve">
</t>
    </r>
    <r>
      <rPr>
        <sz val="11"/>
        <color rgb="FF000000"/>
        <rFont val="Calibri"/>
      </rPr>
      <t>SW2(config)#no ip rcmd rcp-enable</t>
    </r>
    <r>
      <rPr>
        <sz val="11"/>
        <color rgb="FF000000"/>
        <rFont val="Calibri"/>
      </rPr>
      <t xml:space="preserve">
</t>
    </r>
    <r>
      <rPr>
        <sz val="11"/>
        <color rgb="FF000000"/>
        <rFont val="Calibri"/>
      </rPr>
      <t>SW2(config)#no ip rcmd rsh-enable</t>
    </r>
    <r>
      <rPr>
        <sz val="11"/>
        <color rgb="FF000000"/>
        <rFont val="Calibri"/>
      </rPr>
      <t xml:space="preserve">
</t>
    </r>
    <r>
      <rPr>
        <sz val="11"/>
        <color rgb="FF000000"/>
        <rFont val="Calibri"/>
      </rPr>
      <t>SW2(config)#no service config</t>
    </r>
    <r>
      <rPr>
        <sz val="11"/>
        <color rgb="FF000000"/>
        <rFont val="Calibri"/>
      </rPr>
      <t xml:space="preserve">
</t>
    </r>
    <r>
      <rPr>
        <sz val="11"/>
        <color rgb="FF000000"/>
        <rFont val="Calibri"/>
      </rPr>
      <t>SW2(config)#no service finger</t>
    </r>
    <r>
      <rPr>
        <sz val="11"/>
        <color rgb="FF000000"/>
        <rFont val="Calibri"/>
      </rPr>
      <t xml:space="preserve">
</t>
    </r>
    <r>
      <rPr>
        <sz val="11"/>
        <color rgb="FF000000"/>
        <rFont val="Calibri"/>
      </rPr>
      <t>SW2(config)#no service tcp-small-servers</t>
    </r>
    <r>
      <rPr>
        <sz val="11"/>
        <color rgb="FF000000"/>
        <rFont val="Calibri"/>
      </rPr>
      <t xml:space="preserve">
</t>
    </r>
    <r>
      <rPr>
        <sz val="11"/>
        <color rgb="FF000000"/>
        <rFont val="Calibri"/>
      </rPr>
      <t>SW2(config)#no service udp-small-servers</t>
    </r>
    <r>
      <rPr>
        <sz val="11"/>
        <color rgb="FF000000"/>
        <rFont val="Calibri"/>
      </rPr>
      <t xml:space="preserve">
</t>
    </r>
    <r>
      <rPr>
        <sz val="11"/>
        <color rgb="FF000000"/>
        <rFont val="Calibri"/>
      </rPr>
      <t>SW2(config)#no service pad</t>
    </r>
    <r>
      <rPr>
        <sz val="11"/>
        <color rgb="FF000000"/>
        <rFont val="Calibri"/>
      </rPr>
      <t xml:space="preserve">
</t>
    </r>
    <r>
      <rPr>
        <sz val="11"/>
        <color rgb="FF000000"/>
        <rFont val="Calibri"/>
      </rPr>
      <t>SW2(config)#no service call-home</t>
    </r>
    <r>
      <rPr>
        <sz val="11"/>
        <color rgb="FF000000"/>
        <rFont val="Calibri"/>
      </rPr>
      <t xml:space="preserve">
</t>
    </r>
    <r>
      <rPr>
        <sz val="11"/>
        <color rgb="FF000000"/>
        <rFont val="Calibri"/>
      </rPr>
      <t>SW2(config)#end</t>
    </r>
  </si>
  <si>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</si>
  <si>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Verify that the switch does not have any unnecessary or nonsecure ports, protocols, and services enabled. For example, the following commands should not be in the configuration:</t>
    </r>
    <r>
      <rPr>
        <sz val="11"/>
        <color rgb="FF000000"/>
        <rFont val="Calibri"/>
      </rPr>
      <t xml:space="preserve">
</t>
    </r>
    <r>
      <rPr>
        <sz val="11"/>
        <color rgb="FF000000"/>
        <rFont val="Calibri"/>
      </rPr>
      <t>boot network</t>
    </r>
    <r>
      <rPr>
        <sz val="11"/>
        <color rgb="FF000000"/>
        <rFont val="Calibri"/>
      </rPr>
      <t xml:space="preserve">
</t>
    </r>
    <r>
      <rPr>
        <sz val="11"/>
        <color rgb="FF000000"/>
        <rFont val="Calibri"/>
      </rPr>
      <t>ip boot server</t>
    </r>
    <r>
      <rPr>
        <sz val="11"/>
        <color rgb="FF000000"/>
        <rFont val="Calibri"/>
      </rPr>
      <t xml:space="preserve">
</t>
    </r>
    <r>
      <rPr>
        <sz val="11"/>
        <color rgb="FF000000"/>
        <rFont val="Calibri"/>
      </rPr>
      <t>ip bootp server</t>
    </r>
    <r>
      <rPr>
        <sz val="11"/>
        <color rgb="FF000000"/>
        <rFont val="Calibri"/>
      </rPr>
      <t xml:space="preserve">
</t>
    </r>
    <r>
      <rPr>
        <sz val="11"/>
        <color rgb="FF000000"/>
        <rFont val="Calibri"/>
      </rPr>
      <t>ip dns server</t>
    </r>
    <r>
      <rPr>
        <sz val="11"/>
        <color rgb="FF000000"/>
        <rFont val="Calibri"/>
      </rPr>
      <t xml:space="preserve">
</t>
    </r>
    <r>
      <rPr>
        <sz val="11"/>
        <color rgb="FF000000"/>
        <rFont val="Calibri"/>
      </rPr>
      <t>ip identd</t>
    </r>
    <r>
      <rPr>
        <sz val="11"/>
        <color rgb="FF000000"/>
        <rFont val="Calibri"/>
      </rPr>
      <t xml:space="preserve">
</t>
    </r>
    <r>
      <rPr>
        <sz val="11"/>
        <color rgb="FF000000"/>
        <rFont val="Calibri"/>
      </rPr>
      <t>ip finger</t>
    </r>
    <r>
      <rPr>
        <sz val="11"/>
        <color rgb="FF000000"/>
        <rFont val="Calibri"/>
      </rPr>
      <t xml:space="preserve">
</t>
    </r>
    <r>
      <rPr>
        <sz val="11"/>
        <color rgb="FF000000"/>
        <rFont val="Calibri"/>
      </rPr>
      <t>ip http server</t>
    </r>
    <r>
      <rPr>
        <sz val="11"/>
        <color rgb="FF000000"/>
        <rFont val="Calibri"/>
      </rPr>
      <t xml:space="preserve">
</t>
    </r>
    <r>
      <rPr>
        <sz val="11"/>
        <color rgb="FF000000"/>
        <rFont val="Calibri"/>
      </rPr>
      <t>ip rcmd rcp-enable</t>
    </r>
    <r>
      <rPr>
        <sz val="11"/>
        <color rgb="FF000000"/>
        <rFont val="Calibri"/>
      </rPr>
      <t xml:space="preserve">
</t>
    </r>
    <r>
      <rPr>
        <sz val="11"/>
        <color rgb="FF000000"/>
        <rFont val="Calibri"/>
      </rPr>
      <t>ip rcmd rsh-enable</t>
    </r>
    <r>
      <rPr>
        <sz val="11"/>
        <color rgb="FF000000"/>
        <rFont val="Calibri"/>
      </rPr>
      <t xml:space="preserve">
</t>
    </r>
    <r>
      <rPr>
        <sz val="11"/>
        <color rgb="FF000000"/>
        <rFont val="Calibri"/>
      </rPr>
      <t>service config</t>
    </r>
    <r>
      <rPr>
        <sz val="11"/>
        <color rgb="FF000000"/>
        <rFont val="Calibri"/>
      </rPr>
      <t xml:space="preserve">
</t>
    </r>
    <r>
      <rPr>
        <sz val="11"/>
        <color rgb="FF000000"/>
        <rFont val="Calibri"/>
      </rPr>
      <t>service finger</t>
    </r>
    <r>
      <rPr>
        <sz val="11"/>
        <color rgb="FF000000"/>
        <rFont val="Calibri"/>
      </rPr>
      <t xml:space="preserve">
</t>
    </r>
    <r>
      <rPr>
        <sz val="11"/>
        <color rgb="FF000000"/>
        <rFont val="Calibri"/>
      </rPr>
      <t>service tcp-small-servers</t>
    </r>
    <r>
      <rPr>
        <sz val="11"/>
        <color rgb="FF000000"/>
        <rFont val="Calibri"/>
      </rPr>
      <t xml:space="preserve">
</t>
    </r>
    <r>
      <rPr>
        <sz val="11"/>
        <color rgb="FF000000"/>
        <rFont val="Calibri"/>
      </rPr>
      <t>service udp-small-servers</t>
    </r>
    <r>
      <rPr>
        <sz val="11"/>
        <color rgb="FF000000"/>
        <rFont val="Calibri"/>
      </rPr>
      <t xml:space="preserve">
</t>
    </r>
    <r>
      <rPr>
        <sz val="11"/>
        <color rgb="FF000000"/>
        <rFont val="Calibri"/>
      </rPr>
      <t>service pad</t>
    </r>
    <r>
      <rPr>
        <sz val="11"/>
        <color rgb="FF000000"/>
        <rFont val="Calibri"/>
      </rPr>
      <t xml:space="preserve">
</t>
    </r>
    <r>
      <rPr>
        <sz val="11"/>
        <color rgb="FF000000"/>
        <rFont val="Calibri"/>
      </rPr>
      <t>service call-home</t>
    </r>
    <r>
      <rPr>
        <sz val="11"/>
        <color rgb="FF000000"/>
        <rFont val="Calibri"/>
      </rPr>
      <t xml:space="preserve">
</t>
    </r>
    <r>
      <rPr>
        <sz val="11"/>
        <color rgb="FF000000"/>
        <rFont val="Calibri"/>
      </rPr>
      <t>Note: Certain legacy devices may require 'service call-home' be enabled to support Smart Licensing as they do not support the newer smart transport configuration. Those devices do not incur a finding for having call-home enabled for Smart Licensing.</t>
    </r>
    <r>
      <rPr>
        <sz val="11"/>
        <color rgb="FF000000"/>
        <rFont val="Calibri"/>
      </rPr>
      <t xml:space="preserve">
</t>
    </r>
    <r>
      <rPr>
        <sz val="11"/>
        <color rgb="FF000000"/>
        <rFont val="Calibri"/>
      </rPr>
      <t>If any unnecessary or nonsecure ports, protocols, or services are enabled, this is a finding.</t>
    </r>
  </si>
  <si>
    <t>V-220535</t>
  </si>
  <si>
    <r>
      <rPr>
        <sz val="11"/>
        <rFont val="Calibri"/>
      </rPr>
      <t>The Cisco switch must be configured with only one local account to be used as the account of last resort in the event the authentication server is unavailable.</t>
    </r>
  </si>
  <si>
    <r>
      <rPr>
        <sz val="11"/>
        <color rgb="FF000000"/>
        <rFont val="Calibri"/>
      </rPr>
      <t xml:space="preserve">Step 1: Configure a local account with the necessary privilege level to troubleshoot network outage and restore operations as shown in the following example: </t>
    </r>
    <r>
      <rPr>
        <sz val="11"/>
        <color rgb="FF000000"/>
        <rFont val="Calibri"/>
      </rPr>
      <t xml:space="preserve">
</t>
    </r>
    <r>
      <rPr>
        <sz val="11"/>
        <color rgb="FF000000"/>
        <rFont val="Calibri"/>
      </rPr>
      <t>SW2(config)#username xxxxxxxxxxx privilege 10 common-criteria-policy PASSWORD_POLICY password xxxxxxxxxx</t>
    </r>
    <r>
      <rPr>
        <sz val="11"/>
        <color rgb="FF000000"/>
        <rFont val="Calibri"/>
      </rPr>
      <t xml:space="preserve">
</t>
    </r>
    <r>
      <rPr>
        <sz val="11"/>
        <color rgb="FF000000"/>
        <rFont val="Calibri"/>
      </rPr>
      <t>Step 2: Configure the authentication order to use the local account if the authentication server is not reachable as shown in the following example:</t>
    </r>
    <r>
      <rPr>
        <sz val="11"/>
        <color rgb="FF000000"/>
        <rFont val="Calibri"/>
      </rPr>
      <t xml:space="preserve">
</t>
    </r>
    <r>
      <rPr>
        <sz val="11"/>
        <color rgb="FF000000"/>
        <rFont val="Calibri"/>
      </rPr>
      <t>SW2(config)#aaa authentication login default group tacacs+ local</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</si>
  <si>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t>
    </r>
    <r>
      <rPr>
        <sz val="11"/>
        <color rgb="FF000000"/>
        <rFont val="Calibri"/>
      </rPr>
      <t xml:space="preserve">
</t>
    </r>
    <r>
      <rPr>
        <sz val="11"/>
        <color rgb="FF000000"/>
        <rFont val="Calibri"/>
      </rPr>
      <t xml:space="preserve">An alternative to using a sealed envelope in a safe would be credential files, separated by technology, located in a secured location on a file server, with the files only accessible to administrators authorized to use the accounts of last resort, and access to that location monitored by a central log server. </t>
    </r>
    <r>
      <rPr>
        <sz val="11"/>
        <color rgb="FF000000"/>
        <rFont val="Calibri"/>
      </rPr>
      <t xml:space="preserve">
</t>
    </r>
    <r>
      <rPr>
        <sz val="11"/>
        <color rgb="FF000000"/>
        <rFont val="Calibri"/>
      </rPr>
      <t>Administrators should secure the credentials and disable the root account (if possible) when not needed for system administration functions.</t>
    </r>
  </si>
  <si>
    <r>
      <rPr>
        <sz val="11"/>
        <color rgb="FF000000"/>
        <rFont val="Calibri"/>
      </rPr>
      <t>Step 1: Review the Cisco switch configuration to verify that a local account for last resort has been configured with a privilege level that will enable the administrator to troubleshoot connectivity to the authentication server.</t>
    </r>
    <r>
      <rPr>
        <sz val="11"/>
        <color rgb="FF000000"/>
        <rFont val="Calibri"/>
      </rPr>
      <t xml:space="preserve">
</t>
    </r>
    <r>
      <rPr>
        <sz val="11"/>
        <color rgb="FF000000"/>
        <rFont val="Calibri"/>
      </rPr>
      <t>username xxxxxxxxxxx privilege 10 common-criteria-policy PASSWORD_POLICY password xxxxxxxxxx</t>
    </r>
    <r>
      <rPr>
        <sz val="11"/>
        <color rgb="FF000000"/>
        <rFont val="Calibri"/>
      </rPr>
      <t xml:space="preserve">
</t>
    </r>
    <r>
      <rPr>
        <sz val="11"/>
        <color rgb="FF000000"/>
        <rFont val="Calibri"/>
      </rPr>
      <t>Note: The configured Common Criteria policy must be used when creating or changing the local account password as shown in the example above.</t>
    </r>
    <r>
      <rPr>
        <sz val="11"/>
        <color rgb="FF000000"/>
        <rFont val="Calibri"/>
      </rPr>
      <t xml:space="preserve">
</t>
    </r>
    <r>
      <rPr>
        <sz val="11"/>
        <color rgb="FF000000"/>
        <rFont val="Calibri"/>
      </rPr>
      <t>Step 2: Verify that local is defined after radius or tacacs+ in the authentication order as shown in the example below:</t>
    </r>
    <r>
      <rPr>
        <sz val="11"/>
        <color rgb="FF000000"/>
        <rFont val="Calibri"/>
      </rPr>
      <t xml:space="preserve">
</t>
    </r>
    <r>
      <rPr>
        <sz val="11"/>
        <color rgb="FF000000"/>
        <rFont val="Calibri"/>
      </rPr>
      <t>aaa authentication login default group tacacs+ local</t>
    </r>
    <r>
      <rPr>
        <sz val="11"/>
        <color rgb="FF000000"/>
        <rFont val="Calibri"/>
      </rPr>
      <t xml:space="preserve">
</t>
    </r>
    <r>
      <rPr>
        <sz val="11"/>
        <color rgb="FF000000"/>
        <rFont val="Calibri"/>
      </rPr>
      <t>If the Cisco switch is not configured with only one local account to be used as the account of last resort in the event the authentication server is unavailable, this is a finding.</t>
    </r>
  </si>
  <si>
    <t>V-220537</t>
  </si>
  <si>
    <r>
      <rPr>
        <sz val="11"/>
        <rFont val="Calibri"/>
      </rPr>
      <t>The Cisco switch must be configured to enforce a minimum 15-character password length.</t>
    </r>
  </si>
  <si>
    <r>
      <rPr>
        <sz val="11"/>
        <color rgb="FF000000"/>
        <rFont val="Calibri"/>
      </rPr>
      <t>Configure the Cisco switch to enforce a minimum 15-character password length as shown in the example below:</t>
    </r>
    <r>
      <rPr>
        <sz val="11"/>
        <color rgb="FF000000"/>
        <rFont val="Calibri"/>
      </rPr>
      <t xml:space="preserve">
</t>
    </r>
    <r>
      <rPr>
        <sz val="11"/>
        <color rgb="FF000000"/>
        <rFont val="Calibri"/>
      </rPr>
      <t>SW1(config)#aaa common-criteria policy PASSWORD_POLICY</t>
    </r>
    <r>
      <rPr>
        <sz val="11"/>
        <color rgb="FF000000"/>
        <rFont val="Calibri"/>
      </rPr>
      <t xml:space="preserve">
</t>
    </r>
    <r>
      <rPr>
        <sz val="11"/>
        <color rgb="FF000000"/>
        <rFont val="Calibri"/>
      </rPr>
      <t>SW1(config-cc-policy)#min-length 15</t>
    </r>
    <r>
      <rPr>
        <sz val="11"/>
        <color rgb="FF000000"/>
        <rFont val="Calibri"/>
      </rPr>
      <t xml:space="preserve">
</t>
    </r>
    <r>
      <rPr>
        <sz val="11"/>
        <color rgb="FF000000"/>
        <rFont val="Calibri"/>
      </rPr>
      <t>SW1(config-cc-policy)#exit</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</si>
  <si>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</si>
  <si>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 xml:space="preserve"> min-length 15</t>
    </r>
    <r>
      <rPr>
        <sz val="11"/>
        <color rgb="FF000000"/>
        <rFont val="Calibri"/>
      </rPr>
      <t xml:space="preserve">
</t>
    </r>
    <r>
      <rPr>
        <sz val="11"/>
        <color rgb="FF000000"/>
        <rFont val="Calibri"/>
      </rPr>
      <t>If the Cisco switch is not configured to enforce a minimum 15-character password length, this is a finding.</t>
    </r>
  </si>
  <si>
    <t>V-220538</t>
  </si>
  <si>
    <r>
      <rPr>
        <sz val="11"/>
        <rFont val="Calibri"/>
      </rPr>
      <t>The Cisco switch must be configured to enforce password complexity by requiring that at least one uppercase character be used.</t>
    </r>
  </si>
  <si>
    <r>
      <rPr>
        <sz val="11"/>
        <color rgb="FF000000"/>
        <rFont val="Calibri"/>
      </rPr>
      <t>Configure the Cisco switch to enforce password complexity by requiring that at least one uppercase character be used as shown in the example below:</t>
    </r>
    <r>
      <rPr>
        <sz val="11"/>
        <color rgb="FF000000"/>
        <rFont val="Calibri"/>
      </rPr>
      <t xml:space="preserve">
</t>
    </r>
    <r>
      <rPr>
        <sz val="11"/>
        <color rgb="FF000000"/>
        <rFont val="Calibri"/>
      </rPr>
      <t>SW1(config)#aaa common-criteria policy PASSWORD_POLICY</t>
    </r>
    <r>
      <rPr>
        <sz val="11"/>
        <color rgb="FF000000"/>
        <rFont val="Calibri"/>
      </rPr>
      <t xml:space="preserve">
</t>
    </r>
    <r>
      <rPr>
        <sz val="11"/>
        <color rgb="FF000000"/>
        <rFont val="Calibri"/>
      </rPr>
      <t>SW1(config-cc-policy)#upper-case 1</t>
    </r>
    <r>
      <rPr>
        <sz val="11"/>
        <color rgb="FF000000"/>
        <rFont val="Calibri"/>
      </rPr>
      <t xml:space="preserve">
</t>
    </r>
    <r>
      <rPr>
        <sz val="11"/>
        <color rgb="FF000000"/>
        <rFont val="Calibri"/>
      </rPr>
      <t>SW1(config-cc-policy)#exit</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</si>
  <si>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</si>
  <si>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 xml:space="preserve"> upper-case 1</t>
    </r>
    <r>
      <rPr>
        <sz val="11"/>
        <color rgb="FF000000"/>
        <rFont val="Calibri"/>
      </rPr>
      <t xml:space="preserve">
</t>
    </r>
    <r>
      <rPr>
        <sz val="11"/>
        <color rgb="FF000000"/>
        <rFont val="Calibri"/>
      </rPr>
      <t>If the Cisco switch is not configured to enforce password complexity by requiring that at least one uppercase character be used, this is a finding.</t>
    </r>
  </si>
  <si>
    <t>V-220539</t>
  </si>
  <si>
    <r>
      <rPr>
        <sz val="11"/>
        <rFont val="Calibri"/>
      </rPr>
      <t>The Cisco switch must be configured to enforce password complexity by requiring that at least one lowercase character be used.</t>
    </r>
  </si>
  <si>
    <r>
      <rPr>
        <sz val="11"/>
        <color rgb="FF000000"/>
        <rFont val="Calibri"/>
      </rPr>
      <t>Configure the Cisco switch to enforce password complexity by requiring that at least one lowercase character be used as shown in the example below:</t>
    </r>
    <r>
      <rPr>
        <sz val="11"/>
        <color rgb="FF000000"/>
        <rFont val="Calibri"/>
      </rPr>
      <t xml:space="preserve">
</t>
    </r>
    <r>
      <rPr>
        <sz val="11"/>
        <color rgb="FF000000"/>
        <rFont val="Calibri"/>
      </rPr>
      <t>SW1(config)#aaa common-criteria policy PASSWORD_POLICY</t>
    </r>
    <r>
      <rPr>
        <sz val="11"/>
        <color rgb="FF000000"/>
        <rFont val="Calibri"/>
      </rPr>
      <t xml:space="preserve">
</t>
    </r>
    <r>
      <rPr>
        <sz val="11"/>
        <color rgb="FF000000"/>
        <rFont val="Calibri"/>
      </rPr>
      <t>SW1(config-cc-policy)#lower-case 1</t>
    </r>
    <r>
      <rPr>
        <sz val="11"/>
        <color rgb="FF000000"/>
        <rFont val="Calibri"/>
      </rPr>
      <t xml:space="preserve">
</t>
    </r>
    <r>
      <rPr>
        <sz val="11"/>
        <color rgb="FF000000"/>
        <rFont val="Calibri"/>
      </rPr>
      <t>SW1(config-cc-policy)#exit</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</si>
  <si>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</si>
  <si>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lower-case 1</t>
    </r>
    <r>
      <rPr>
        <sz val="11"/>
        <color rgb="FF000000"/>
        <rFont val="Calibri"/>
      </rPr>
      <t xml:space="preserve">
</t>
    </r>
    <r>
      <rPr>
        <sz val="11"/>
        <color rgb="FF000000"/>
        <rFont val="Calibri"/>
      </rPr>
      <t>If the Cisco switch is not configured to enforce password complexity by requiring that at least one lowercase character be used, this is a finding.</t>
    </r>
  </si>
  <si>
    <t>V-220540</t>
  </si>
  <si>
    <r>
      <rPr>
        <sz val="11"/>
        <rFont val="Calibri"/>
      </rPr>
      <t>The Cisco switch must be configured to enforce password complexity by requiring that at least one numeric character be used.</t>
    </r>
  </si>
  <si>
    <r>
      <rPr>
        <sz val="11"/>
        <color rgb="FF000000"/>
        <rFont val="Calibri"/>
      </rPr>
      <t>Configure the Cisco switch to enforce password complexity by requiring that at least one numeric character be used as shown in the example below:</t>
    </r>
    <r>
      <rPr>
        <sz val="11"/>
        <color rgb="FF000000"/>
        <rFont val="Calibri"/>
      </rPr>
      <t xml:space="preserve">
</t>
    </r>
    <r>
      <rPr>
        <sz val="11"/>
        <color rgb="FF000000"/>
        <rFont val="Calibri"/>
      </rPr>
      <t>SW1(config)#aaa common-criteria policy PASSWORD_POLICY</t>
    </r>
    <r>
      <rPr>
        <sz val="11"/>
        <color rgb="FF000000"/>
        <rFont val="Calibri"/>
      </rPr>
      <t xml:space="preserve">
</t>
    </r>
    <r>
      <rPr>
        <sz val="11"/>
        <color rgb="FF000000"/>
        <rFont val="Calibri"/>
      </rPr>
      <t>SW1(config-cc-policy)#numeric-count 1</t>
    </r>
    <r>
      <rPr>
        <sz val="11"/>
        <color rgb="FF000000"/>
        <rFont val="Calibri"/>
      </rPr>
      <t xml:space="preserve">
</t>
    </r>
    <r>
      <rPr>
        <sz val="11"/>
        <color rgb="FF000000"/>
        <rFont val="Calibri"/>
      </rPr>
      <t>SW1(config-cc-policy)#exit</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</si>
  <si>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 xml:space="preserve"> numeric-count 1</t>
    </r>
    <r>
      <rPr>
        <sz val="11"/>
        <color rgb="FF000000"/>
        <rFont val="Calibri"/>
      </rPr>
      <t xml:space="preserve">
</t>
    </r>
    <r>
      <rPr>
        <sz val="11"/>
        <color rgb="FF000000"/>
        <rFont val="Calibri"/>
      </rPr>
      <t>If the Cisco switch is not configured to enforce password complexity by requiring that at least one numeric character be used, this is a finding.</t>
    </r>
  </si>
  <si>
    <t>V-220541</t>
  </si>
  <si>
    <r>
      <rPr>
        <sz val="11"/>
        <rFont val="Calibri"/>
      </rPr>
      <t>The Cisco switch must be configured to enforce password complexity by requiring that at least one special character be used.</t>
    </r>
  </si>
  <si>
    <r>
      <rPr>
        <sz val="11"/>
        <color rgb="FF000000"/>
        <rFont val="Calibri"/>
      </rPr>
      <t>Configure the Cisco switch to enforce password complexity by requiring that at least one special character be used as shown in the example below:</t>
    </r>
    <r>
      <rPr>
        <sz val="11"/>
        <color rgb="FF000000"/>
        <rFont val="Calibri"/>
      </rPr>
      <t xml:space="preserve">
</t>
    </r>
    <r>
      <rPr>
        <sz val="11"/>
        <color rgb="FF000000"/>
        <rFont val="Calibri"/>
      </rPr>
      <t>SW1(config)#aaa common-criteria policy PASSWORD_POLICY</t>
    </r>
    <r>
      <rPr>
        <sz val="11"/>
        <color rgb="FF000000"/>
        <rFont val="Calibri"/>
      </rPr>
      <t xml:space="preserve">
</t>
    </r>
    <r>
      <rPr>
        <sz val="11"/>
        <color rgb="FF000000"/>
        <rFont val="Calibri"/>
      </rPr>
      <t>SW1(config-cc-policy)#special-case 1</t>
    </r>
    <r>
      <rPr>
        <sz val="11"/>
        <color rgb="FF000000"/>
        <rFont val="Calibri"/>
      </rPr>
      <t xml:space="preserve">
</t>
    </r>
    <r>
      <rPr>
        <sz val="11"/>
        <color rgb="FF000000"/>
        <rFont val="Calibri"/>
      </rPr>
      <t>SW1(config-cc-policy)#exit</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</si>
  <si>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 xml:space="preserve"> special-case 1</t>
    </r>
    <r>
      <rPr>
        <sz val="11"/>
        <color rgb="FF000000"/>
        <rFont val="Calibri"/>
      </rPr>
      <t xml:space="preserve">
</t>
    </r>
    <r>
      <rPr>
        <sz val="11"/>
        <color rgb="FF000000"/>
        <rFont val="Calibri"/>
      </rPr>
      <t>If the Cisco switch is not configured to enforce password complexity by requiring that at least one special character be used, this is a finding.</t>
    </r>
  </si>
  <si>
    <t>V-220542</t>
  </si>
  <si>
    <r>
      <rPr>
        <sz val="11"/>
        <rFont val="Calibri"/>
      </rPr>
      <t>The Cisco switch must be configured to require that when a password is changed, the characters are changed in at least eight of the positions within the password.</t>
    </r>
  </si>
  <si>
    <r>
      <rPr>
        <sz val="11"/>
        <color rgb="FF000000"/>
        <rFont val="Calibri"/>
      </rPr>
      <t>Configure the Cisco switch to enforce password complexity by requiring that when a password is changed, the characters are changed in at least eight of the positions within the password as shown in the example below:</t>
    </r>
    <r>
      <rPr>
        <sz val="11"/>
        <color rgb="FF000000"/>
        <rFont val="Calibri"/>
      </rPr>
      <t xml:space="preserve">
</t>
    </r>
    <r>
      <rPr>
        <sz val="11"/>
        <color rgb="FF000000"/>
        <rFont val="Calibri"/>
      </rPr>
      <t>SW1(config)#aaa common-criteria policy PASSWORD_POLICY</t>
    </r>
    <r>
      <rPr>
        <sz val="11"/>
        <color rgb="FF000000"/>
        <rFont val="Calibri"/>
      </rPr>
      <t xml:space="preserve">
</t>
    </r>
    <r>
      <rPr>
        <sz val="11"/>
        <color rgb="FF000000"/>
        <rFont val="Calibri"/>
      </rPr>
      <t>SW1(config-cc-policy)#char-changes 8</t>
    </r>
    <r>
      <rPr>
        <sz val="11"/>
        <color rgb="FF000000"/>
        <rFont val="Calibri"/>
      </rPr>
      <t xml:space="preserve">
</t>
    </r>
    <r>
      <rPr>
        <sz val="11"/>
        <color rgb="FF000000"/>
        <rFont val="Calibri"/>
      </rPr>
      <t>SW1(config-cc-policy)#exit</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</si>
  <si>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</si>
  <si>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common-criteria policy PASSWORD_POLICY</t>
    </r>
    <r>
      <rPr>
        <sz val="11"/>
        <color rgb="FF000000"/>
        <rFont val="Calibri"/>
      </rPr>
      <t xml:space="preserve">
</t>
    </r>
    <r>
      <rPr>
        <sz val="11"/>
        <color rgb="FF000000"/>
        <rFont val="Calibri"/>
      </rPr>
      <t xml:space="preserve"> char-changes 8</t>
    </r>
    <r>
      <rPr>
        <sz val="11"/>
        <color rgb="FF000000"/>
        <rFont val="Calibri"/>
      </rPr>
      <t xml:space="preserve">
</t>
    </r>
    <r>
      <rPr>
        <sz val="11"/>
        <color rgb="FF000000"/>
        <rFont val="Calibri"/>
      </rPr>
      <t>If the Cisco switch is not configured to require that when a password is changed, the characters are changed in at least eight of the positions within the password, this is a finding.</t>
    </r>
  </si>
  <si>
    <t>V-220543</t>
  </si>
  <si>
    <r>
      <rPr>
        <sz val="11"/>
        <rFont val="Calibri"/>
      </rPr>
      <t>The Cisco switch must only store cryptographic representations of passwords.</t>
    </r>
  </si>
  <si>
    <r>
      <rPr>
        <sz val="11"/>
        <color rgb="FF000000"/>
        <rFont val="Calibri"/>
      </rPr>
      <t>Configure the switch to encrypt all passwords:</t>
    </r>
    <r>
      <rPr>
        <sz val="11"/>
        <color rgb="FF000000"/>
        <rFont val="Calibri"/>
      </rPr>
      <t xml:space="preserve">
</t>
    </r>
    <r>
      <rPr>
        <sz val="11"/>
        <color rgb="FF000000"/>
        <rFont val="Calibri"/>
      </rPr>
      <t xml:space="preserve">SW4(config)#service password-encryption </t>
    </r>
    <r>
      <rPr>
        <sz val="11"/>
        <color rgb="FF000000"/>
        <rFont val="Calibri"/>
      </rPr>
      <t xml:space="preserve">
</t>
    </r>
    <r>
      <rPr>
        <sz val="11"/>
        <color rgb="FF000000"/>
        <rFont val="Calibri"/>
      </rPr>
      <t>SW4(config)#enable secret xxxxxxxxxxxx</t>
    </r>
    <r>
      <rPr>
        <sz val="11"/>
        <color rgb="FF000000"/>
        <rFont val="Calibri"/>
      </rPr>
      <t xml:space="preserve">
</t>
    </r>
    <r>
      <rPr>
        <sz val="11"/>
        <color rgb="FF000000"/>
        <rFont val="Calibri"/>
      </rPr>
      <t>SW4(config)#end</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</si>
  <si>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Network devices must enforce cryptographic representations of passwords when storing passwords in databases, configuration files, and log files. Passwords must be protected at all times; using a strong one-way hashing encryption algorithm with a salt is the standard method for providing a means to validate a password without having to store the actual password.</t>
    </r>
    <r>
      <rPr>
        <sz val="11"/>
        <color rgb="FF000000"/>
        <rFont val="Calibri"/>
      </rPr>
      <t xml:space="preserve">
</t>
    </r>
    <r>
      <rPr>
        <sz val="11"/>
        <color rgb="FF000000"/>
        <rFont val="Calibri"/>
      </rPr>
      <t>Performance and time required to access are factors that must be considered, and the one way hash is the most feasible means of securing the password and providing an acceptable measure of password security. If passwords are stored in clear text, they can be plainly read and easily compromised.</t>
    </r>
    <r>
      <rPr>
        <sz val="11"/>
        <color rgb="FF000000"/>
        <rFont val="Calibri"/>
      </rPr>
      <t xml:space="preserve">
</t>
    </r>
    <r>
      <rPr>
        <sz val="11"/>
        <color rgb="FF000000"/>
        <rFont val="Calibri"/>
      </rPr>
      <t>In many instances, verifying the user knows a password is performed using a password verifier. In its simplest form, a password verifier is a computational function that is capable of creating a hash of a password and determining if the value provided by the user matches the stored hash.</t>
    </r>
  </si>
  <si>
    <r>
      <rPr>
        <sz val="11"/>
        <color rgb="FF000000"/>
        <rFont val="Calibri"/>
      </rPr>
      <t>Review the switch configuration to determine if passwords are encrypted as shown in the example below:</t>
    </r>
    <r>
      <rPr>
        <sz val="11"/>
        <color rgb="FF000000"/>
        <rFont val="Calibri"/>
      </rPr>
      <t xml:space="preserve">
</t>
    </r>
    <r>
      <rPr>
        <sz val="11"/>
        <color rgb="FF000000"/>
        <rFont val="Calibri"/>
      </rPr>
      <t>service password-encryption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Enable secret 5 xxxxxxxxxxxxxxxxxxxxxxxxxx</t>
    </r>
    <r>
      <rPr>
        <sz val="11"/>
        <color rgb="FF000000"/>
        <rFont val="Calibri"/>
      </rPr>
      <t xml:space="preserve">
</t>
    </r>
    <r>
      <rPr>
        <sz val="11"/>
        <color rgb="FF000000"/>
        <rFont val="Calibri"/>
      </rPr>
      <t>If the switch is not configured to encrypt passwords, this is a finding.</t>
    </r>
  </si>
  <si>
    <t>V-220544</t>
  </si>
  <si>
    <r>
      <rPr>
        <sz val="11"/>
        <rFont val="Calibri"/>
      </rPr>
      <t>The Cisco switch must be configured to terminate all network connections associated with device management after five minutes of inactivity.</t>
    </r>
  </si>
  <si>
    <r>
      <rPr>
        <sz val="11"/>
        <color rgb="FF000000"/>
        <rFont val="Calibri"/>
      </rPr>
      <t>Set the idle timeout value to five minutes or less on all configured login classes as shown in the example below:</t>
    </r>
    <r>
      <rPr>
        <sz val="11"/>
        <color rgb="FF000000"/>
        <rFont val="Calibri"/>
      </rPr>
      <t xml:space="preserve">
</t>
    </r>
    <r>
      <rPr>
        <sz val="11"/>
        <color rgb="FF000000"/>
        <rFont val="Calibri"/>
      </rPr>
      <t>SW1(config)#line vty 0 1</t>
    </r>
    <r>
      <rPr>
        <sz val="11"/>
        <color rgb="FF000000"/>
        <rFont val="Calibri"/>
      </rPr>
      <t xml:space="preserve">
</t>
    </r>
    <r>
      <rPr>
        <sz val="11"/>
        <color rgb="FF000000"/>
        <rFont val="Calibri"/>
      </rPr>
      <t>SW1(config-line)#exec-timeout 5 0</t>
    </r>
    <r>
      <rPr>
        <sz val="11"/>
        <color rgb="FF000000"/>
        <rFont val="Calibri"/>
      </rPr>
      <t xml:space="preserve">
</t>
    </r>
    <r>
      <rPr>
        <sz val="11"/>
        <color rgb="FF000000"/>
        <rFont val="Calibri"/>
      </rPr>
      <t>SW1(config-line)#exit</t>
    </r>
    <r>
      <rPr>
        <sz val="11"/>
        <color rgb="FF000000"/>
        <rFont val="Calibri"/>
      </rPr>
      <t xml:space="preserve">
</t>
    </r>
    <r>
      <rPr>
        <sz val="11"/>
        <color rgb="FF000000"/>
        <rFont val="Calibri"/>
      </rPr>
      <t>SW1(config)#line con 0</t>
    </r>
    <r>
      <rPr>
        <sz val="11"/>
        <color rgb="FF000000"/>
        <rFont val="Calibri"/>
      </rPr>
      <t xml:space="preserve">
</t>
    </r>
    <r>
      <rPr>
        <sz val="11"/>
        <color rgb="FF000000"/>
        <rFont val="Calibri"/>
      </rPr>
      <t>SW1(config-line)#exec-timeout 5 0</t>
    </r>
    <r>
      <rPr>
        <sz val="11"/>
        <color rgb="FF000000"/>
        <rFont val="Calibri"/>
      </rPr>
      <t xml:space="preserve">
</t>
    </r>
    <r>
      <rPr>
        <sz val="11"/>
        <color rgb="FF000000"/>
        <rFont val="Calibri"/>
      </rPr>
      <t>SW1(config-line)#exit</t>
    </r>
    <r>
      <rPr>
        <sz val="11"/>
        <color rgb="FF000000"/>
        <rFont val="Calibri"/>
      </rPr>
      <t xml:space="preserve">
</t>
    </r>
    <r>
      <rPr>
        <sz val="11"/>
        <color rgb="FF000000"/>
        <rFont val="Calibri"/>
      </rPr>
      <t>SW2(config)#ip http timeout-policy idle 300 life nnnn requests nn</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</si>
  <si>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</si>
  <si>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Review the Cisco switch configuration to verify that all network connections associated with a device management have an idle timeout value set to five minutes or less as shown in the following example:</t>
    </r>
    <r>
      <rPr>
        <sz val="11"/>
        <color rgb="FF000000"/>
        <rFont val="Calibri"/>
      </rPr>
      <t xml:space="preserve">
</t>
    </r>
    <r>
      <rPr>
        <sz val="11"/>
        <color rgb="FF000000"/>
        <rFont val="Calibri"/>
      </rPr>
      <t>ip http secure-server</t>
    </r>
    <r>
      <rPr>
        <sz val="11"/>
        <color rgb="FF000000"/>
        <rFont val="Calibri"/>
      </rPr>
      <t xml:space="preserve">
</t>
    </r>
    <r>
      <rPr>
        <sz val="11"/>
        <color rgb="FF000000"/>
        <rFont val="Calibri"/>
      </rPr>
      <t>ip http timeout-policy idle 300 life nnnn requests nn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line con 0</t>
    </r>
    <r>
      <rPr>
        <sz val="11"/>
        <color rgb="FF000000"/>
        <rFont val="Calibri"/>
      </rPr>
      <t xml:space="preserve">
</t>
    </r>
    <r>
      <rPr>
        <sz val="11"/>
        <color rgb="FF000000"/>
        <rFont val="Calibri"/>
      </rPr>
      <t xml:space="preserve"> exec-timeout 5 0</t>
    </r>
    <r>
      <rPr>
        <sz val="11"/>
        <color rgb="FF000000"/>
        <rFont val="Calibri"/>
      </rPr>
      <t xml:space="preserve">
</t>
    </r>
    <r>
      <rPr>
        <sz val="11"/>
        <color rgb="FF000000"/>
        <rFont val="Calibri"/>
      </rPr>
      <t>line vty 0 1</t>
    </r>
    <r>
      <rPr>
        <sz val="11"/>
        <color rgb="FF000000"/>
        <rFont val="Calibri"/>
      </rPr>
      <t xml:space="preserve">
</t>
    </r>
    <r>
      <rPr>
        <sz val="11"/>
        <color rgb="FF000000"/>
        <rFont val="Calibri"/>
      </rPr>
      <t xml:space="preserve"> exec-timeout 5 0</t>
    </r>
    <r>
      <rPr>
        <sz val="11"/>
        <color rgb="FF000000"/>
        <rFont val="Calibri"/>
      </rPr>
      <t xml:space="preserve">
</t>
    </r>
    <r>
      <rPr>
        <sz val="11"/>
        <color rgb="FF000000"/>
        <rFont val="Calibri"/>
      </rPr>
      <t>If the Cisco switch is not configured to terminate all network connections associated with a device management after five minutes of inactivity, this is a finding.</t>
    </r>
  </si>
  <si>
    <t>V-220545</t>
  </si>
  <si>
    <r>
      <rPr>
        <sz val="11"/>
        <rFont val="Calibri"/>
      </rPr>
      <t>The Cisco switch must be configured to automatically audit account enabling actions.</t>
    </r>
  </si>
  <si>
    <r>
      <rPr>
        <sz val="11"/>
        <color rgb="FF000000"/>
        <rFont val="Calibri"/>
      </rPr>
      <t>Configure the switch to log account enabling using the following commands:</t>
    </r>
    <r>
      <rPr>
        <sz val="11"/>
        <color rgb="FF000000"/>
        <rFont val="Calibri"/>
      </rPr>
      <t xml:space="preserve">
</t>
    </r>
    <r>
      <rPr>
        <sz val="11"/>
        <color rgb="FF000000"/>
        <rFont val="Calibri"/>
      </rPr>
      <t>SW4(config)#archive</t>
    </r>
    <r>
      <rPr>
        <sz val="11"/>
        <color rgb="FF000000"/>
        <rFont val="Calibri"/>
      </rPr>
      <t xml:space="preserve">
</t>
    </r>
    <r>
      <rPr>
        <sz val="11"/>
        <color rgb="FF000000"/>
        <rFont val="Calibri"/>
      </rPr>
      <t>SW4(config-archive)#log config</t>
    </r>
    <r>
      <rPr>
        <sz val="11"/>
        <color rgb="FF000000"/>
        <rFont val="Calibri"/>
      </rPr>
      <t xml:space="preserve">
</t>
    </r>
    <r>
      <rPr>
        <sz val="11"/>
        <color rgb="FF000000"/>
        <rFont val="Calibri"/>
      </rPr>
      <t>SW4(config-archive-log-cfg)#logging enable</t>
    </r>
    <r>
      <rPr>
        <sz val="11"/>
        <color rgb="FF000000"/>
        <rFont val="Calibri"/>
      </rPr>
      <t xml:space="preserve">
</t>
    </r>
    <r>
      <rPr>
        <sz val="11"/>
        <color rgb="FF000000"/>
        <rFont val="Calibri"/>
      </rPr>
      <t>SW4(config-archive-log-cfg)#logging size 1000</t>
    </r>
    <r>
      <rPr>
        <sz val="11"/>
        <color rgb="FF000000"/>
        <rFont val="Calibri"/>
      </rPr>
      <t xml:space="preserve">
</t>
    </r>
    <r>
      <rPr>
        <sz val="11"/>
        <color rgb="FF000000"/>
        <rFont val="Calibri"/>
      </rPr>
      <t>SW4(config-archive-log-cfg)#notify syslog contenttype plaintext</t>
    </r>
    <r>
      <rPr>
        <sz val="11"/>
        <color rgb="FF000000"/>
        <rFont val="Calibri"/>
      </rPr>
      <t xml:space="preserve">
</t>
    </r>
    <r>
      <rPr>
        <sz val="11"/>
        <color rgb="FF000000"/>
        <rFont val="Calibri"/>
      </rPr>
      <t>SW4(config-archive-log-cfg)#hidekeys</t>
    </r>
    <r>
      <rPr>
        <sz val="11"/>
        <color rgb="FF000000"/>
        <rFont val="Calibri"/>
      </rPr>
      <t xml:space="preserve">
</t>
    </r>
    <r>
      <rPr>
        <sz val="11"/>
        <color rgb="FF000000"/>
        <rFont val="Calibri"/>
      </rPr>
      <t>SW4(config-archive-log-cfg)#end</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</si>
  <si>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Information System Security Officers (ISSO). Such a process greatly reduces the risk that accounts will be surreptitiously created and provides logging that can be used for forensic purposes.</t>
    </r>
  </si>
  <si>
    <r>
      <rPr>
        <sz val="11"/>
        <color rgb="FF000000"/>
        <rFont val="Calibri"/>
      </rPr>
      <t>Review the switch configuration to determine if it automatically audits account enabling. The configuration should look similar to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Note: Configuration changes can be viewed using the show archive log config all command.</t>
    </r>
    <r>
      <rPr>
        <sz val="11"/>
        <color rgb="FF000000"/>
        <rFont val="Calibri"/>
      </rPr>
      <t xml:space="preserve">
</t>
    </r>
    <r>
      <rPr>
        <sz val="11"/>
        <color rgb="FF000000"/>
        <rFont val="Calibri"/>
      </rPr>
      <t>If account enabling is not automatically audited, this is a finding.</t>
    </r>
  </si>
  <si>
    <t>V-220547</t>
  </si>
  <si>
    <r>
      <rPr>
        <sz val="11"/>
        <rFont val="Calibri"/>
      </rPr>
      <t>The Cisco switch must be configured to allocate audit record storage capacity in accordance with organization-defined audit record storage requirements.</t>
    </r>
  </si>
  <si>
    <r>
      <rPr>
        <sz val="11"/>
        <color rgb="FF000000"/>
        <rFont val="Calibri"/>
      </rPr>
      <t>Configure the buffer size for logging as shown in the example below:</t>
    </r>
    <r>
      <rPr>
        <sz val="11"/>
        <color rgb="FF000000"/>
        <rFont val="Calibri"/>
      </rPr>
      <t xml:space="preserve">
</t>
    </r>
    <r>
      <rPr>
        <sz val="11"/>
        <color rgb="FF000000"/>
        <rFont val="Calibri"/>
      </rPr>
      <t>SW2(config)#logging buffered xxxxxxxx informational</t>
    </r>
  </si>
  <si>
    <r>
      <rPr>
        <sz val="11"/>
        <color rgb="FF000000"/>
        <rFont val="Calibri"/>
      </rPr>
      <t xml:space="preserve">In order 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</si>
  <si>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Verify that the Cisco switch is configured with a logging buffer size. The configuration should look like the example below:</t>
    </r>
    <r>
      <rPr>
        <sz val="11"/>
        <color rgb="FF000000"/>
        <rFont val="Calibri"/>
      </rPr>
      <t xml:space="preserve">
</t>
    </r>
    <r>
      <rPr>
        <sz val="11"/>
        <color rgb="FF000000"/>
        <rFont val="Calibri"/>
      </rPr>
      <t>logging buffered xxxxxxxx informational</t>
    </r>
    <r>
      <rPr>
        <sz val="11"/>
        <color rgb="FF000000"/>
        <rFont val="Calibri"/>
      </rPr>
      <t xml:space="preserve">
</t>
    </r>
    <r>
      <rPr>
        <sz val="11"/>
        <color rgb="FF000000"/>
        <rFont val="Calibri"/>
      </rPr>
      <t>If a logging buffer size is not configured, this is a finding.</t>
    </r>
    <r>
      <rPr>
        <sz val="11"/>
        <color rgb="FF000000"/>
        <rFont val="Calibri"/>
      </rPr>
      <t xml:space="preserve">
</t>
    </r>
    <r>
      <rPr>
        <sz val="11"/>
        <color rgb="FF000000"/>
        <rFont val="Calibri"/>
      </rPr>
      <t>If the Cisco switch is not configured to allocate audit record storage capacity in accordance with organization-defined audit record storage requirements, this is a finding.</t>
    </r>
  </si>
  <si>
    <t>V-220548</t>
  </si>
  <si>
    <r>
      <rPr>
        <sz val="11"/>
        <rFont val="Calibri"/>
      </rPr>
      <t>The Cisco switch must be configured to generate an alert for all audit failure events.</t>
    </r>
  </si>
  <si>
    <r>
      <rPr>
        <sz val="11"/>
        <color rgb="FF000000"/>
        <rFont val="Calibri"/>
      </rPr>
      <t>Configure the Cisco switch to send critical to emergency log messages to the syslog server as shown in the example below:</t>
    </r>
    <r>
      <rPr>
        <sz val="11"/>
        <color rgb="FF000000"/>
        <rFont val="Calibri"/>
      </rPr>
      <t xml:space="preserve">
</t>
    </r>
    <r>
      <rPr>
        <sz val="11"/>
        <color rgb="FF000000"/>
        <rFont val="Calibri"/>
      </rPr>
      <t>SW4(config)#logging trap critical</t>
    </r>
    <r>
      <rPr>
        <sz val="11"/>
        <color rgb="FF000000"/>
        <rFont val="Calibri"/>
      </rPr>
      <t xml:space="preserve">
</t>
    </r>
    <r>
      <rPr>
        <sz val="11"/>
        <color rgb="FF000000"/>
        <rFont val="Calibri"/>
      </rPr>
      <t>Note: The parameter "critical" can replaced with a lesser severity level (i.e., error, warning, notice, informational).</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</si>
  <si>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</si>
  <si>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logging trap critical</t>
    </r>
    <r>
      <rPr>
        <sz val="11"/>
        <color rgb="FF000000"/>
        <rFont val="Calibri"/>
      </rPr>
      <t xml:space="preserve">
</t>
    </r>
    <r>
      <rPr>
        <sz val="11"/>
        <color rgb="FF000000"/>
        <rFont val="Calibri"/>
      </rPr>
      <t>Note: The parameter "critical" can replaced with a lesser severity level (i.e. error, warning, notice, informational). Informational is the default severity level; hence, if the severity level is configured to informational, the logging trap command will not be shown in the configuration.</t>
    </r>
    <r>
      <rPr>
        <sz val="11"/>
        <color rgb="FF000000"/>
        <rFont val="Calibri"/>
      </rPr>
      <t xml:space="preserve">
</t>
    </r>
    <r>
      <rPr>
        <sz val="11"/>
        <color rgb="FF000000"/>
        <rFont val="Calibri"/>
      </rPr>
      <t>If the Cisco switch is not configured to generate an alert for all audit failure events, this is a finding.</t>
    </r>
  </si>
  <si>
    <t>V-220549</t>
  </si>
  <si>
    <r>
      <rPr>
        <sz val="11"/>
        <rFont val="Calibri"/>
      </rPr>
      <t>The Cisco switch must be configured to synchronize its clock with the primary and secondary time sources using redundant authoritative time sources.</t>
    </r>
  </si>
  <si>
    <r>
      <rPr>
        <sz val="11"/>
        <color rgb="FF000000"/>
        <rFont val="Calibri"/>
      </rPr>
      <t>Configure the Cisco switch to synchronize its clock with redundant authoritative time sources as shown in the example below:</t>
    </r>
    <r>
      <rPr>
        <sz val="11"/>
        <color rgb="FF000000"/>
        <rFont val="Calibri"/>
      </rPr>
      <t xml:space="preserve">
</t>
    </r>
    <r>
      <rPr>
        <sz val="11"/>
        <color rgb="FF000000"/>
        <rFont val="Calibri"/>
      </rPr>
      <t>SW2(config)#ntp server x.x.x.x</t>
    </r>
    <r>
      <rPr>
        <sz val="11"/>
        <color rgb="FF000000"/>
        <rFont val="Calibri"/>
      </rPr>
      <t xml:space="preserve">
</t>
    </r>
    <r>
      <rPr>
        <sz val="11"/>
        <color rgb="FF000000"/>
        <rFont val="Calibri"/>
      </rPr>
      <t>SW2(config)#ntp server y.y.y.y</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</si>
  <si>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</si>
  <si>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Review the Cisco switch configuration to verify that it is compliant with this requirement as shown in the configuration example below:</t>
    </r>
    <r>
      <rPr>
        <sz val="11"/>
        <color rgb="FF000000"/>
        <rFont val="Calibri"/>
      </rPr>
      <t xml:space="preserve">
</t>
    </r>
    <r>
      <rPr>
        <sz val="11"/>
        <color rgb="FF000000"/>
        <rFont val="Calibri"/>
      </rPr>
      <t>ntp server x.x.x.x</t>
    </r>
    <r>
      <rPr>
        <sz val="11"/>
        <color rgb="FF000000"/>
        <rFont val="Calibri"/>
      </rPr>
      <t xml:space="preserve">
</t>
    </r>
    <r>
      <rPr>
        <sz val="11"/>
        <color rgb="FF000000"/>
        <rFont val="Calibri"/>
      </rPr>
      <t>ntp server y.y.y.y</t>
    </r>
    <r>
      <rPr>
        <sz val="11"/>
        <color rgb="FF000000"/>
        <rFont val="Calibri"/>
      </rPr>
      <t xml:space="preserve">
</t>
    </r>
    <r>
      <rPr>
        <sz val="11"/>
        <color rgb="FF000000"/>
        <rFont val="Calibri"/>
      </rPr>
      <t>If the Cisco switch is not configured to synchronize its clock with redundant authoritative time sources, this is a finding.</t>
    </r>
  </si>
  <si>
    <t>V-220552</t>
  </si>
  <si>
    <r>
      <rPr>
        <sz val="11"/>
        <rFont val="Calibri"/>
      </rPr>
      <t>The Cisco switch must be configured to authenticate SNMP messages using a FIPS-validated Keyed-Hash Message Authentication Code (HMAC).</t>
    </r>
  </si>
  <si>
    <r>
      <rPr>
        <sz val="11"/>
        <color rgb="FF000000"/>
        <rFont val="Calibri"/>
      </rPr>
      <t>Configure the Cisco switch to authenticate SNMP messages as shown in the example below:</t>
    </r>
    <r>
      <rPr>
        <sz val="11"/>
        <color rgb="FF000000"/>
        <rFont val="Calibri"/>
      </rPr>
      <t xml:space="preserve">
</t>
    </r>
    <r>
      <rPr>
        <sz val="11"/>
        <color rgb="FF000000"/>
        <rFont val="Calibri"/>
      </rPr>
      <t>SW4(config)#snmp-server group V3GROUP v3 auth read V3READ write V3WRITE</t>
    </r>
    <r>
      <rPr>
        <sz val="11"/>
        <color rgb="FF000000"/>
        <rFont val="Calibri"/>
      </rPr>
      <t xml:space="preserve">
</t>
    </r>
    <r>
      <rPr>
        <sz val="11"/>
        <color rgb="FF000000"/>
        <rFont val="Calibri"/>
      </rPr>
      <t>SW4(config)#snmp-server user V3USER V3GROUP v3 auth sha xxxxxxx</t>
    </r>
    <r>
      <rPr>
        <sz val="11"/>
        <color rgb="FF000000"/>
        <rFont val="Calibri"/>
      </rPr>
      <t xml:space="preserve">
</t>
    </r>
    <r>
      <rPr>
        <sz val="11"/>
        <color rgb="FF000000"/>
        <rFont val="Calibri"/>
      </rPr>
      <t>SW4(config)#snmp-server host x.x.x.x version 3 auth V3USER</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</si>
  <si>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</si>
  <si>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 xml:space="preserve">snmp-server group V3GROUP v3 auth read V3READ write V3WRITE </t>
    </r>
    <r>
      <rPr>
        <sz val="11"/>
        <color rgb="FF000000"/>
        <rFont val="Calibri"/>
      </rPr>
      <t xml:space="preserve">
</t>
    </r>
    <r>
      <rPr>
        <sz val="11"/>
        <color rgb="FF000000"/>
        <rFont val="Calibri"/>
      </rPr>
      <t>snmp-server host x.x.x.x version 3 auth V3USER</t>
    </r>
    <r>
      <rPr>
        <sz val="11"/>
        <color rgb="FF000000"/>
        <rFont val="Calibri"/>
      </rPr>
      <t xml:space="preserve">
</t>
    </r>
    <r>
      <rPr>
        <sz val="11"/>
        <color rgb="FF000000"/>
        <rFont val="Calibri"/>
      </rPr>
      <t>Authentication used by the SNMP users can be viewed via the show snmp user command as shown in the example below:</t>
    </r>
    <r>
      <rPr>
        <sz val="11"/>
        <color rgb="FF000000"/>
        <rFont val="Calibri"/>
      </rPr>
      <t xml:space="preserve">
</t>
    </r>
    <r>
      <rPr>
        <sz val="11"/>
        <color rgb="FF000000"/>
        <rFont val="Calibri"/>
      </rPr>
      <t>R4#show snmp user</t>
    </r>
    <r>
      <rPr>
        <sz val="11"/>
        <color rgb="FF000000"/>
        <rFont val="Calibri"/>
      </rPr>
      <t xml:space="preserve">
</t>
    </r>
    <r>
      <rPr>
        <sz val="11"/>
        <color rgb="FF000000"/>
        <rFont val="Calibri"/>
      </rPr>
      <t>User name: V3USER</t>
    </r>
    <r>
      <rPr>
        <sz val="11"/>
        <color rgb="FF000000"/>
        <rFont val="Calibri"/>
      </rPr>
      <t xml:space="preserve">
</t>
    </r>
    <r>
      <rPr>
        <sz val="11"/>
        <color rgb="FF000000"/>
        <rFont val="Calibri"/>
      </rPr>
      <t>Engine ID: 800000090300C2042B540000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None</t>
    </r>
    <r>
      <rPr>
        <sz val="11"/>
        <color rgb="FF000000"/>
        <rFont val="Calibri"/>
      </rPr>
      <t xml:space="preserve">
</t>
    </r>
    <r>
      <rPr>
        <sz val="11"/>
        <color rgb="FF000000"/>
        <rFont val="Calibri"/>
      </rPr>
      <t>Group-name: V3GROUP</t>
    </r>
    <r>
      <rPr>
        <sz val="11"/>
        <color rgb="FF000000"/>
        <rFont val="Calibri"/>
      </rPr>
      <t xml:space="preserve">
</t>
    </r>
    <r>
      <rPr>
        <sz val="11"/>
        <color rgb="FF000000"/>
        <rFont val="Calibri"/>
      </rPr>
      <t>If the Cisco switch is not configured to authenticate SNMP messages using a FIPS-validated HMAC, this is a finding.</t>
    </r>
  </si>
  <si>
    <t>V-220553</t>
  </si>
  <si>
    <r>
      <rPr>
        <sz val="11"/>
        <rFont val="Calibri"/>
      </rPr>
      <t>The Cisco switch must be configured to encrypt SNMP messages using a FIPS 140-2 approved algorithm.</t>
    </r>
  </si>
  <si>
    <r>
      <rPr>
        <sz val="11"/>
        <color rgb="FF000000"/>
        <rFont val="Calibri"/>
      </rPr>
      <t>Configure the Cisco switch to encrypt SNMP messages using a FIPS 140-2 approved algorithm as shown in the example below:</t>
    </r>
    <r>
      <rPr>
        <sz val="11"/>
        <color rgb="FF000000"/>
        <rFont val="Calibri"/>
      </rPr>
      <t xml:space="preserve">
</t>
    </r>
    <r>
      <rPr>
        <sz val="11"/>
        <color rgb="FF000000"/>
        <rFont val="Calibri"/>
      </rPr>
      <t>SW4(config)#snmp-server group V3GROUP v3 priv read V3READ write V3WRITE</t>
    </r>
    <r>
      <rPr>
        <sz val="11"/>
        <color rgb="FF000000"/>
        <rFont val="Calibri"/>
      </rPr>
      <t xml:space="preserve">
</t>
    </r>
    <r>
      <rPr>
        <sz val="11"/>
        <color rgb="FF000000"/>
        <rFont val="Calibri"/>
      </rPr>
      <t>SW4(config)#snmp-server user V3USER V3GROUP v3 auth sha xxxxxx priv aes 256 xxxxxx</t>
    </r>
  </si>
  <si>
    <r>
      <rPr>
        <sz val="11"/>
        <color rgb="FF000000"/>
        <rFont val="Calibri"/>
      </rPr>
      <t>Without the strong encryption that is provided by the SNMP Version 3 User-based Security Model (USM), an unauthorized user can gain access to network management information that can be used to create a network outage.</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</si>
  <si>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snmp-server group V3GROUP v3 priv read V3READ write V3WRITE</t>
    </r>
    <r>
      <rPr>
        <sz val="11"/>
        <color rgb="FF000000"/>
        <rFont val="Calibri"/>
      </rPr>
      <t xml:space="preserve">
</t>
    </r>
    <r>
      <rPr>
        <sz val="11"/>
        <color rgb="FF000000"/>
        <rFont val="Calibri"/>
      </rPr>
      <t>snmp-server view V3READ iso included</t>
    </r>
    <r>
      <rPr>
        <sz val="11"/>
        <color rgb="FF000000"/>
        <rFont val="Calibri"/>
      </rPr>
      <t xml:space="preserve">
</t>
    </r>
    <r>
      <rPr>
        <sz val="11"/>
        <color rgb="FF000000"/>
        <rFont val="Calibri"/>
      </rPr>
      <t>snmp-server view V3WRITE iso included</t>
    </r>
    <r>
      <rPr>
        <sz val="11"/>
        <color rgb="FF000000"/>
        <rFont val="Calibri"/>
      </rPr>
      <t xml:space="preserve">
</t>
    </r>
    <r>
      <rPr>
        <sz val="11"/>
        <color rgb="FF000000"/>
        <rFont val="Calibri"/>
      </rPr>
      <t>snmp-server host x.x.x.x version 3 auth V3USER</t>
    </r>
    <r>
      <rPr>
        <sz val="11"/>
        <color rgb="FF000000"/>
        <rFont val="Calibri"/>
      </rPr>
      <t xml:space="preserve">
</t>
    </r>
    <r>
      <rPr>
        <sz val="11"/>
        <color rgb="FF000000"/>
        <rFont val="Calibri"/>
      </rPr>
      <t>Encryption used by the SNMP users can be viewed via the show snmp user command as shown in the example below:</t>
    </r>
    <r>
      <rPr>
        <sz val="11"/>
        <color rgb="FF000000"/>
        <rFont val="Calibri"/>
      </rPr>
      <t xml:space="preserve">
</t>
    </r>
    <r>
      <rPr>
        <sz val="11"/>
        <color rgb="FF000000"/>
        <rFont val="Calibri"/>
      </rPr>
      <t>R4#show snmp user</t>
    </r>
    <r>
      <rPr>
        <sz val="11"/>
        <color rgb="FF000000"/>
        <rFont val="Calibri"/>
      </rPr>
      <t xml:space="preserve">
</t>
    </r>
    <r>
      <rPr>
        <sz val="11"/>
        <color rgb="FF000000"/>
        <rFont val="Calibri"/>
      </rPr>
      <t>User name: V3USER</t>
    </r>
    <r>
      <rPr>
        <sz val="11"/>
        <color rgb="FF000000"/>
        <rFont val="Calibri"/>
      </rPr>
      <t xml:space="preserve">
</t>
    </r>
    <r>
      <rPr>
        <sz val="11"/>
        <color rgb="FF000000"/>
        <rFont val="Calibri"/>
      </rPr>
      <t>Engine ID: 800000090300C2042B540000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V3GROUP</t>
    </r>
    <r>
      <rPr>
        <sz val="11"/>
        <color rgb="FF000000"/>
        <rFont val="Calibri"/>
      </rPr>
      <t xml:space="preserve">
</t>
    </r>
    <r>
      <rPr>
        <sz val="11"/>
        <color rgb="FF000000"/>
        <rFont val="Calibri"/>
      </rPr>
      <t>If the Cisco switch is not configured to encrypt SNMP messages using a FIPS 140-2 approved algorithm, this is a finding.</t>
    </r>
  </si>
  <si>
    <t>V-220554</t>
  </si>
  <si>
    <r>
      <rPr>
        <sz val="11"/>
        <rFont val="Calibri"/>
      </rPr>
      <t>The Cisco switch must be configured to authenticate Network Time Protocol (NTP) sources using authentication that is cryptographically based.</t>
    </r>
  </si>
  <si>
    <r>
      <rPr>
        <sz val="11"/>
        <color rgb="FF000000"/>
        <rFont val="Calibri"/>
      </rPr>
      <t>Configure the Cisco switch to authenticate NTP sources using authentication that is cryptographically based as shown in the example below:</t>
    </r>
    <r>
      <rPr>
        <sz val="11"/>
        <color rgb="FF000000"/>
        <rFont val="Calibri"/>
      </rPr>
      <t xml:space="preserve">
</t>
    </r>
    <r>
      <rPr>
        <sz val="11"/>
        <color rgb="FF000000"/>
        <rFont val="Calibri"/>
      </rPr>
      <t>SW2(config)#ntp authenticate</t>
    </r>
    <r>
      <rPr>
        <sz val="11"/>
        <color rgb="FF000000"/>
        <rFont val="Calibri"/>
      </rPr>
      <t xml:space="preserve">
</t>
    </r>
    <r>
      <rPr>
        <sz val="11"/>
        <color rgb="FF000000"/>
        <rFont val="Calibri"/>
      </rPr>
      <t>SW2(config)#ntp authentication-key 1 hmac-sha2-256 xxxxxx</t>
    </r>
    <r>
      <rPr>
        <sz val="11"/>
        <color rgb="FF000000"/>
        <rFont val="Calibri"/>
      </rPr>
      <t xml:space="preserve">
</t>
    </r>
    <r>
      <rPr>
        <sz val="11"/>
        <color rgb="FF000000"/>
        <rFont val="Calibri"/>
      </rPr>
      <t>SW2(config)#ntp trusted-key 1</t>
    </r>
    <r>
      <rPr>
        <sz val="11"/>
        <color rgb="FF000000"/>
        <rFont val="Calibri"/>
      </rPr>
      <t xml:space="preserve">
</t>
    </r>
    <r>
      <rPr>
        <sz val="11"/>
        <color rgb="FF000000"/>
        <rFont val="Calibri"/>
      </rPr>
      <t>SW2(config)#ntp server x.x.x.x key 1</t>
    </r>
    <r>
      <rPr>
        <sz val="11"/>
        <color rgb="FF000000"/>
        <rFont val="Calibri"/>
      </rPr>
      <t xml:space="preserve">
</t>
    </r>
    <r>
      <rPr>
        <sz val="11"/>
        <color rgb="FF000000"/>
        <rFont val="Calibri"/>
      </rPr>
      <t>SW2(config)#ntp server y.y.y.y key 1</t>
    </r>
  </si>
  <si>
    <r>
      <rPr>
        <sz val="11"/>
        <color rgb="FF000000"/>
        <rFont val="Calibri"/>
      </rPr>
      <t>If Network Time Protocol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</si>
  <si>
    <r>
      <rPr>
        <sz val="11"/>
        <color rgb="FF000000"/>
        <rFont val="Calibri"/>
      </rPr>
      <t>Review the Cisco switch configuration to verify that it is compliant with this requirement as shown in the configuration example below:</t>
    </r>
    <r>
      <rPr>
        <sz val="11"/>
        <color rgb="FF000000"/>
        <rFont val="Calibri"/>
      </rPr>
      <t xml:space="preserve">
</t>
    </r>
    <r>
      <rPr>
        <sz val="11"/>
        <color rgb="FF000000"/>
        <rFont val="Calibri"/>
      </rPr>
      <t>ntp authentication-key 1 hmac-sha2-256 xxxxxx</t>
    </r>
    <r>
      <rPr>
        <sz val="11"/>
        <color rgb="FF000000"/>
        <rFont val="Calibri"/>
      </rPr>
      <t xml:space="preserve">
</t>
    </r>
    <r>
      <rPr>
        <sz val="11"/>
        <color rgb="FF000000"/>
        <rFont val="Calibri"/>
      </rPr>
      <t>ntp authenticate</t>
    </r>
    <r>
      <rPr>
        <sz val="11"/>
        <color rgb="FF000000"/>
        <rFont val="Calibri"/>
      </rPr>
      <t xml:space="preserve">
</t>
    </r>
    <r>
      <rPr>
        <sz val="11"/>
        <color rgb="FF000000"/>
        <rFont val="Calibri"/>
      </rPr>
      <t>ntp trusted-key 1</t>
    </r>
    <r>
      <rPr>
        <sz val="11"/>
        <color rgb="FF000000"/>
        <rFont val="Calibri"/>
      </rPr>
      <t xml:space="preserve">
</t>
    </r>
    <r>
      <rPr>
        <sz val="11"/>
        <color rgb="FF000000"/>
        <rFont val="Calibri"/>
      </rPr>
      <t>ntp server x.x.x.x key 1</t>
    </r>
    <r>
      <rPr>
        <sz val="11"/>
        <color rgb="FF000000"/>
        <rFont val="Calibri"/>
      </rPr>
      <t xml:space="preserve">
</t>
    </r>
    <r>
      <rPr>
        <sz val="11"/>
        <color rgb="FF000000"/>
        <rFont val="Calibri"/>
      </rPr>
      <t>ntp server y.y.y.y key 1</t>
    </r>
    <r>
      <rPr>
        <sz val="11"/>
        <color rgb="FF000000"/>
        <rFont val="Calibri"/>
      </rPr>
      <t xml:space="preserve">
</t>
    </r>
    <r>
      <rPr>
        <sz val="11"/>
        <color rgb="FF000000"/>
        <rFont val="Calibri"/>
      </rPr>
      <t>If the Cisco switch is not configured to authenticate NTP sources using authentication that is cryptographically based, this is a finding.</t>
    </r>
  </si>
  <si>
    <t>V-220555</t>
  </si>
  <si>
    <r>
      <rPr>
        <sz val="11"/>
        <rFont val="Calibri"/>
      </rPr>
      <t>The Cisco switch must be configured to use FIPS-validated Keyed-Hash Message Authentication Code (HMAC) to protect the integrity of remote maintenance sessions.</t>
    </r>
  </si>
  <si>
    <r>
      <rPr>
        <sz val="11"/>
        <color rgb="FF000000"/>
        <rFont val="Calibri"/>
      </rPr>
      <t>Configure SSH to use FIPS-validated HMAC for remote maintenance sessions as shown in the following example:</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SW1(config)#ip ssh version 2</t>
    </r>
    <r>
      <rPr>
        <sz val="11"/>
        <color rgb="FF000000"/>
        <rFont val="Calibri"/>
      </rPr>
      <t xml:space="preserve">
</t>
    </r>
    <r>
      <rPr>
        <sz val="11"/>
        <color rgb="FF000000"/>
        <rFont val="Calibri"/>
      </rPr>
      <t>SW1(config)#iip ssh server algorithm mac hmac-sha2-512 hmac-sha2-256</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</si>
  <si>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Separate requirements for configuring applications and protocols used by each application (e.g., SNMPv3, SSHv2, NTP, HTTPS, and other protocols and applications that require server/client authentication) are required to implement this requirement. Where SSH is used, the SSHv2 protocol suite is required because it includes Layer 7 protocols such as SCP and SFTP, which can be used for secure file transfers.</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</si>
  <si>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NOTE: Although allowed by SP800-131Ar2 for some applications, SHA-1 is considered a compromised hashing standard and is being phased out of use by industry and Government standards. Unless required for legacy use, DoD systems should not be configured to use SHA-1 for integrity of remote access sessions.</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ip ssh version 2</t>
    </r>
    <r>
      <rPr>
        <sz val="11"/>
        <color rgb="FF000000"/>
        <rFont val="Calibri"/>
      </rPr>
      <t xml:space="preserve">
</t>
    </r>
    <r>
      <rPr>
        <sz val="11"/>
        <color rgb="FF000000"/>
        <rFont val="Calibri"/>
      </rPr>
      <t>ip ssh server algorithm mac hmac-sha2-512 hmac-sha2-256</t>
    </r>
    <r>
      <rPr>
        <sz val="11"/>
        <color rgb="FF000000"/>
        <rFont val="Calibri"/>
      </rPr>
      <t xml:space="preserve">
</t>
    </r>
    <r>
      <rPr>
        <sz val="11"/>
        <color rgb="FF000000"/>
        <rFont val="Calibri"/>
      </rPr>
      <t>If the Cisco switch is not configured to use FIPS-validated HMAC to protect the integrity of remote maintenance sessions, this is a finding.</t>
    </r>
  </si>
  <si>
    <t>V-220556</t>
  </si>
  <si>
    <r>
      <rPr>
        <sz val="11"/>
        <rFont val="Calibri"/>
      </rPr>
      <t>The Cisco switch must be configured to implement cryptographic mechanisms to protect the confidentiality of remote maintenance sessions.</t>
    </r>
  </si>
  <si>
    <r>
      <rPr>
        <sz val="11"/>
        <color rgb="FF000000"/>
        <rFont val="Calibri"/>
      </rPr>
      <t>Configure the Cisco switch to implement cryptographic mechanisms to protect the confidentiality of remote maintenance sessions using a FIPS 140-2 approved algorithm as shown in the example below:</t>
    </r>
    <r>
      <rPr>
        <sz val="11"/>
        <color rgb="FF000000"/>
        <rFont val="Calibri"/>
      </rPr>
      <t xml:space="preserve">
</t>
    </r>
    <r>
      <rPr>
        <sz val="11"/>
        <color rgb="FF000000"/>
        <rFont val="Calibri"/>
      </rPr>
      <t>SW1(config)#iip ssh server algorithm encryption aes256-ctr aes192-ctr aes128-ctr</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</si>
  <si>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</si>
  <si>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Review the Cisco switch configuration to verify that it is compliant with this requirement.</t>
    </r>
    <r>
      <rPr>
        <sz val="11"/>
        <color rgb="FF000000"/>
        <rFont val="Calibri"/>
      </rPr>
      <t xml:space="preserve">
</t>
    </r>
    <r>
      <rPr>
        <sz val="11"/>
        <color rgb="FF000000"/>
        <rFont val="Calibri"/>
      </rPr>
      <t>ip ssh version 2</t>
    </r>
    <r>
      <rPr>
        <sz val="11"/>
        <color rgb="FF000000"/>
        <rFont val="Calibri"/>
      </rPr>
      <t xml:space="preserve">
</t>
    </r>
    <r>
      <rPr>
        <sz val="11"/>
        <color rgb="FF000000"/>
        <rFont val="Calibri"/>
      </rPr>
      <t xml:space="preserve">ip ssh server algorithm encryption aes256-ctr aes192-ctr aes128-ctr </t>
    </r>
    <r>
      <rPr>
        <sz val="11"/>
        <color rgb="FF000000"/>
        <rFont val="Calibri"/>
      </rPr>
      <t xml:space="preserve">
</t>
    </r>
    <r>
      <rPr>
        <sz val="11"/>
        <color rgb="FF000000"/>
        <rFont val="Calibri"/>
      </rPr>
      <t>If the switch is not configured to implement cryptographic mechanisms to protect the confidentiality of remote maintenance sessions using a FIPS 140-2 approved algorithm, this is a finding.</t>
    </r>
  </si>
  <si>
    <t>V-220559</t>
  </si>
  <si>
    <r>
      <rPr>
        <sz val="11"/>
        <rFont val="Calibri"/>
      </rPr>
      <t>The Cisco switch must be configured to generate log records when administrator privileges are deleted.</t>
    </r>
  </si>
  <si>
    <r>
      <rPr>
        <sz val="11"/>
        <color rgb="FF000000"/>
        <rFont val="Calibri"/>
      </rPr>
      <t>Configure the Cisco switch to generate log records when administrator privileges are deleted as shown in the example below:</t>
    </r>
    <r>
      <rPr>
        <sz val="11"/>
        <color rgb="FF000000"/>
        <rFont val="Calibri"/>
      </rPr>
      <t xml:space="preserve">
</t>
    </r>
    <r>
      <rPr>
        <sz val="11"/>
        <color rgb="FF000000"/>
        <rFont val="Calibri"/>
      </rPr>
      <t>SW4(config)#archive</t>
    </r>
    <r>
      <rPr>
        <sz val="11"/>
        <color rgb="FF000000"/>
        <rFont val="Calibri"/>
      </rPr>
      <t xml:space="preserve">
</t>
    </r>
    <r>
      <rPr>
        <sz val="11"/>
        <color rgb="FF000000"/>
        <rFont val="Calibri"/>
      </rPr>
      <t>SW4(config-archive)#log config</t>
    </r>
    <r>
      <rPr>
        <sz val="11"/>
        <color rgb="FF000000"/>
        <rFont val="Calibri"/>
      </rPr>
      <t xml:space="preserve">
</t>
    </r>
    <r>
      <rPr>
        <sz val="11"/>
        <color rgb="FF000000"/>
        <rFont val="Calibri"/>
      </rPr>
      <t>SW4(config-archive-log-cfg)#logging enable</t>
    </r>
    <r>
      <rPr>
        <sz val="11"/>
        <color rgb="FF000000"/>
        <rFont val="Calibri"/>
      </rPr>
      <t xml:space="preserve">
</t>
    </r>
    <r>
      <rPr>
        <sz val="11"/>
        <color rgb="FF000000"/>
        <rFont val="Calibri"/>
      </rPr>
      <t>SW4(config-archive-log-cfg)#logging size 1000</t>
    </r>
    <r>
      <rPr>
        <sz val="11"/>
        <color rgb="FF000000"/>
        <rFont val="Calibri"/>
      </rPr>
      <t xml:space="preserve">
</t>
    </r>
    <r>
      <rPr>
        <sz val="11"/>
        <color rgb="FF000000"/>
        <rFont val="Calibri"/>
      </rPr>
      <t>SW4(config-archive-log-cfg)#notify syslog contenttype plaintext</t>
    </r>
    <r>
      <rPr>
        <sz val="11"/>
        <color rgb="FF000000"/>
        <rFont val="Calibri"/>
      </rPr>
      <t xml:space="preserve">
</t>
    </r>
    <r>
      <rPr>
        <sz val="11"/>
        <color rgb="FF000000"/>
        <rFont val="Calibri"/>
      </rPr>
      <t>SW4(config-archive-log-cfg)#hidekeys</t>
    </r>
    <r>
      <rPr>
        <sz val="11"/>
        <color rgb="FF000000"/>
        <rFont val="Calibri"/>
      </rPr>
      <t xml:space="preserve">
</t>
    </r>
    <r>
      <rPr>
        <sz val="11"/>
        <color rgb="FF000000"/>
        <rFont val="Calibri"/>
      </rPr>
      <t>SW4(config-archive-log-cfg)#end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</si>
  <si>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</si>
  <si>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If the Cisco switch is not configured to generate log records when administrator privileges are deleted, this is a finding.</t>
    </r>
  </si>
  <si>
    <t>V-220560</t>
  </si>
  <si>
    <r>
      <rPr>
        <sz val="11"/>
        <rFont val="Calibri"/>
      </rPr>
      <t>The Cisco switch must be configured to generate audit records when successful/unsuccessful logon attempts occur.</t>
    </r>
  </si>
  <si>
    <r>
      <rPr>
        <sz val="11"/>
        <color rgb="FF000000"/>
        <rFont val="Calibri"/>
      </rPr>
      <t>Configure the Cisco switch to generate audit records when successful/unsuccessful logon attempts occur as shown in the example below:</t>
    </r>
    <r>
      <rPr>
        <sz val="11"/>
        <color rgb="FF000000"/>
        <rFont val="Calibri"/>
      </rPr>
      <t xml:space="preserve">
</t>
    </r>
    <r>
      <rPr>
        <sz val="11"/>
        <color rgb="FF000000"/>
        <rFont val="Calibri"/>
      </rPr>
      <t>R5(config)#login on-failure log</t>
    </r>
    <r>
      <rPr>
        <sz val="11"/>
        <color rgb="FF000000"/>
        <rFont val="Calibri"/>
      </rPr>
      <t xml:space="preserve">
</t>
    </r>
    <r>
      <rPr>
        <sz val="11"/>
        <color rgb="FF000000"/>
        <rFont val="Calibri"/>
      </rPr>
      <t>R5(config)#login on-success log</t>
    </r>
  </si>
  <si>
    <r>
      <rPr>
        <sz val="11"/>
        <color rgb="FF000000"/>
        <rFont val="Calibri"/>
      </rPr>
      <t>Review the Cisco switch configuration to verify that it is compliant with this requirement as shown in the examples below:</t>
    </r>
    <r>
      <rPr>
        <sz val="11"/>
        <color rgb="FF000000"/>
        <rFont val="Calibri"/>
      </rPr>
      <t xml:space="preserve">
</t>
    </r>
    <r>
      <rPr>
        <sz val="11"/>
        <color rgb="FF000000"/>
        <rFont val="Calibri"/>
      </rPr>
      <t>login on-failure log</t>
    </r>
    <r>
      <rPr>
        <sz val="11"/>
        <color rgb="FF000000"/>
        <rFont val="Calibri"/>
      </rPr>
      <t xml:space="preserve">
</t>
    </r>
    <r>
      <rPr>
        <sz val="11"/>
        <color rgb="FF000000"/>
        <rFont val="Calibri"/>
      </rPr>
      <t>login on-success log</t>
    </r>
    <r>
      <rPr>
        <sz val="11"/>
        <color rgb="FF000000"/>
        <rFont val="Calibri"/>
      </rPr>
      <t xml:space="preserve">
</t>
    </r>
    <r>
      <rPr>
        <sz val="11"/>
        <color rgb="FF000000"/>
        <rFont val="Calibri"/>
      </rPr>
      <t>If the Cisco switch is not configured to generate audit records when successful/unsuccessful logon attempts occur, this is a finding.</t>
    </r>
  </si>
  <si>
    <t>V-220561</t>
  </si>
  <si>
    <r>
      <rPr>
        <sz val="11"/>
        <rFont val="Calibri"/>
      </rPr>
      <t>The Cisco switch must be configured to generate log records for privileged activities.</t>
    </r>
  </si>
  <si>
    <r>
      <rPr>
        <sz val="11"/>
        <color rgb="FF000000"/>
        <rFont val="Calibri"/>
      </rPr>
      <t>Configure the Cisco switch to generate log records for privileged activities as shown in the example below:</t>
    </r>
    <r>
      <rPr>
        <sz val="11"/>
        <color rgb="FF000000"/>
        <rFont val="Calibri"/>
      </rPr>
      <t xml:space="preserve">
</t>
    </r>
    <r>
      <rPr>
        <sz val="11"/>
        <color rgb="FF000000"/>
        <rFont val="Calibri"/>
      </rPr>
      <t>SW4(config)#archive</t>
    </r>
    <r>
      <rPr>
        <sz val="11"/>
        <color rgb="FF000000"/>
        <rFont val="Calibri"/>
      </rPr>
      <t xml:space="preserve">
</t>
    </r>
    <r>
      <rPr>
        <sz val="11"/>
        <color rgb="FF000000"/>
        <rFont val="Calibri"/>
      </rPr>
      <t>SW4(config-archive)#log config</t>
    </r>
    <r>
      <rPr>
        <sz val="11"/>
        <color rgb="FF000000"/>
        <rFont val="Calibri"/>
      </rPr>
      <t xml:space="preserve">
</t>
    </r>
    <r>
      <rPr>
        <sz val="11"/>
        <color rgb="FF000000"/>
        <rFont val="Calibri"/>
      </rPr>
      <t>SW4(config-archive-log-cfg)#logging enable</t>
    </r>
    <r>
      <rPr>
        <sz val="11"/>
        <color rgb="FF000000"/>
        <rFont val="Calibri"/>
      </rPr>
      <t xml:space="preserve">
</t>
    </r>
    <r>
      <rPr>
        <sz val="11"/>
        <color rgb="FF000000"/>
        <rFont val="Calibri"/>
      </rPr>
      <t>SW4(config-archive-log-cfg)#logging size 1000</t>
    </r>
    <r>
      <rPr>
        <sz val="11"/>
        <color rgb="FF000000"/>
        <rFont val="Calibri"/>
      </rPr>
      <t xml:space="preserve">
</t>
    </r>
    <r>
      <rPr>
        <sz val="11"/>
        <color rgb="FF000000"/>
        <rFont val="Calibri"/>
      </rPr>
      <t>SW4(config-archive-log-cfg)#notify syslog contenttype plaintext</t>
    </r>
    <r>
      <rPr>
        <sz val="11"/>
        <color rgb="FF000000"/>
        <rFont val="Calibri"/>
      </rPr>
      <t xml:space="preserve">
</t>
    </r>
    <r>
      <rPr>
        <sz val="11"/>
        <color rgb="FF000000"/>
        <rFont val="Calibri"/>
      </rPr>
      <t>SW4(config-archive-log-cfg)#hidekeys</t>
    </r>
    <r>
      <rPr>
        <sz val="11"/>
        <color rgb="FF000000"/>
        <rFont val="Calibri"/>
      </rPr>
      <t xml:space="preserve">
</t>
    </r>
    <r>
      <rPr>
        <sz val="11"/>
        <color rgb="FF000000"/>
        <rFont val="Calibri"/>
      </rPr>
      <t>SW4(config-archive-log-cfg)#end</t>
    </r>
  </si>
  <si>
    <r>
      <rPr>
        <sz val="11"/>
        <color rgb="FF000000"/>
        <rFont val="Calibri"/>
      </rPr>
      <t>Review the Cisco switch configuration to verify that it is compliant with this requirement as shown in the example configurations below:</t>
    </r>
    <r>
      <rPr>
        <sz val="11"/>
        <color rgb="FF000000"/>
        <rFont val="Calibri"/>
      </rPr>
      <t xml:space="preserve">
</t>
    </r>
    <r>
      <rPr>
        <sz val="11"/>
        <color rgb="FF000000"/>
        <rFont val="Calibri"/>
      </rPr>
      <t>archive</t>
    </r>
    <r>
      <rPr>
        <sz val="11"/>
        <color rgb="FF000000"/>
        <rFont val="Calibri"/>
      </rPr>
      <t xml:space="preserve">
</t>
    </r>
    <r>
      <rPr>
        <sz val="11"/>
        <color rgb="FF000000"/>
        <rFont val="Calibri"/>
      </rPr>
      <t xml:space="preserve"> log config</t>
    </r>
    <r>
      <rPr>
        <sz val="11"/>
        <color rgb="FF000000"/>
        <rFont val="Calibri"/>
      </rPr>
      <t xml:space="preserve">
</t>
    </r>
    <r>
      <rPr>
        <sz val="11"/>
        <color rgb="FF000000"/>
        <rFont val="Calibri"/>
      </rPr>
      <t xml:space="preserve"> logging enable</t>
    </r>
    <r>
      <rPr>
        <sz val="11"/>
        <color rgb="FF000000"/>
        <rFont val="Calibri"/>
      </rPr>
      <t xml:space="preserve">
</t>
    </r>
    <r>
      <rPr>
        <sz val="11"/>
        <color rgb="FF000000"/>
        <rFont val="Calibri"/>
      </rPr>
      <t>If the Cisco switch is not configured to generate log records for privileged activities, this is a finding.</t>
    </r>
  </si>
  <si>
    <t>V-220565</t>
  </si>
  <si>
    <r>
      <rPr>
        <sz val="11"/>
        <rFont val="Calibri"/>
      </rPr>
      <t>The Cisco switch must be configured to use at least two authentication servers for the purpose of authenticating users prior to granting administrative access.</t>
    </r>
  </si>
  <si>
    <r>
      <rPr>
        <sz val="11"/>
        <color rgb="FF000000"/>
        <rFont val="Calibri"/>
      </rPr>
      <t>Step 1: Configure the Cisco switch to use at least two authentication servers as shown in the following example:</t>
    </r>
    <r>
      <rPr>
        <sz val="11"/>
        <color rgb="FF000000"/>
        <rFont val="Calibri"/>
      </rPr>
      <t xml:space="preserve">
</t>
    </r>
    <r>
      <rPr>
        <sz val="11"/>
        <color rgb="FF000000"/>
        <rFont val="Calibri"/>
      </rPr>
      <t>R4(config)#radius server RADIUS1</t>
    </r>
    <r>
      <rPr>
        <sz val="11"/>
        <color rgb="FF000000"/>
        <rFont val="Calibri"/>
      </rPr>
      <t xml:space="preserve">
</t>
    </r>
    <r>
      <rPr>
        <sz val="11"/>
        <color rgb="FF000000"/>
        <rFont val="Calibri"/>
      </rPr>
      <t>R4(config-radius-server)#address ipv4 x.x.x.x auth-port 1812 acct-port 1813</t>
    </r>
    <r>
      <rPr>
        <sz val="11"/>
        <color rgb="FF000000"/>
        <rFont val="Calibri"/>
      </rPr>
      <t xml:space="preserve">
</t>
    </r>
    <r>
      <rPr>
        <sz val="11"/>
        <color rgb="FF000000"/>
        <rFont val="Calibri"/>
      </rPr>
      <t>R4(config-radius-server)#key xxxxxxx</t>
    </r>
    <r>
      <rPr>
        <sz val="11"/>
        <color rgb="FF000000"/>
        <rFont val="Calibri"/>
      </rPr>
      <t xml:space="preserve">
</t>
    </r>
    <r>
      <rPr>
        <sz val="11"/>
        <color rgb="FF000000"/>
        <rFont val="Calibri"/>
      </rPr>
      <t>R4(config-radius-server)#radius server RADIUS2</t>
    </r>
    <r>
      <rPr>
        <sz val="11"/>
        <color rgb="FF000000"/>
        <rFont val="Calibri"/>
      </rPr>
      <t xml:space="preserve">
</t>
    </r>
    <r>
      <rPr>
        <sz val="11"/>
        <color rgb="FF000000"/>
        <rFont val="Calibri"/>
      </rPr>
      <t>R4(config-radius-server)#address ipv4 x.x.x.x auth-port 1812 acct-port 1813</t>
    </r>
    <r>
      <rPr>
        <sz val="11"/>
        <color rgb="FF000000"/>
        <rFont val="Calibri"/>
      </rPr>
      <t xml:space="preserve">
</t>
    </r>
    <r>
      <rPr>
        <sz val="11"/>
        <color rgb="FF000000"/>
        <rFont val="Calibri"/>
      </rPr>
      <t>R4(config-radius-server)#key xxxxxxx</t>
    </r>
    <r>
      <rPr>
        <sz val="11"/>
        <color rgb="FF000000"/>
        <rFont val="Calibri"/>
      </rPr>
      <t xml:space="preserve">
</t>
    </r>
    <r>
      <rPr>
        <sz val="11"/>
        <color rgb="FF000000"/>
        <rFont val="Calibri"/>
      </rPr>
      <t>Step 2: Configure the authentication order to use the authentication servers as the primary source for authentication as shown in the following example:</t>
    </r>
    <r>
      <rPr>
        <sz val="11"/>
        <color rgb="FF000000"/>
        <rFont val="Calibri"/>
      </rPr>
      <t xml:space="preserve">
</t>
    </r>
    <r>
      <rPr>
        <sz val="11"/>
        <color rgb="FF000000"/>
        <rFont val="Calibri"/>
      </rPr>
      <t>R4(config)#aaa group server radius RADIUS_GROUP</t>
    </r>
    <r>
      <rPr>
        <sz val="11"/>
        <color rgb="FF000000"/>
        <rFont val="Calibri"/>
      </rPr>
      <t xml:space="preserve">
</t>
    </r>
    <r>
      <rPr>
        <sz val="11"/>
        <color rgb="FF000000"/>
        <rFont val="Calibri"/>
      </rPr>
      <t>R4(config)#server name RADIUS1</t>
    </r>
    <r>
      <rPr>
        <sz val="11"/>
        <color rgb="FF000000"/>
        <rFont val="Calibri"/>
      </rPr>
      <t xml:space="preserve">
</t>
    </r>
    <r>
      <rPr>
        <sz val="11"/>
        <color rgb="FF000000"/>
        <rFont val="Calibri"/>
      </rPr>
      <t>R4(config)#server name RADIUS2</t>
    </r>
    <r>
      <rPr>
        <sz val="11"/>
        <color rgb="FF000000"/>
        <rFont val="Calibri"/>
      </rPr>
      <t xml:space="preserve">
</t>
    </r>
    <r>
      <rPr>
        <sz val="11"/>
        <color rgb="FF000000"/>
        <rFont val="Calibri"/>
      </rPr>
      <t>R4(config)#aaa authentication login CONSOLE group RADIUS_GROUP local</t>
    </r>
    <r>
      <rPr>
        <sz val="11"/>
        <color rgb="FF000000"/>
        <rFont val="Calibri"/>
      </rPr>
      <t xml:space="preserve">
</t>
    </r>
    <r>
      <rPr>
        <sz val="11"/>
        <color rgb="FF000000"/>
        <rFont val="Calibri"/>
      </rPr>
      <t>R4(config)#aaa authentication login LOGIN_AUTHENTICATION group RADIUS_GROUP local</t>
    </r>
    <r>
      <rPr>
        <sz val="11"/>
        <color rgb="FF000000"/>
        <rFont val="Calibri"/>
      </rPr>
      <t xml:space="preserve">
</t>
    </r>
    <r>
      <rPr>
        <sz val="11"/>
        <color rgb="FF000000"/>
        <rFont val="Calibri"/>
      </rPr>
      <t>Step 3: Configure all network connections associated with a device management to use the authentication servers for the purpose of login authentication.</t>
    </r>
    <r>
      <rPr>
        <sz val="11"/>
        <color rgb="FF000000"/>
        <rFont val="Calibri"/>
      </rPr>
      <t xml:space="preserve">
</t>
    </r>
    <r>
      <rPr>
        <sz val="11"/>
        <color rgb="FF000000"/>
        <rFont val="Calibri"/>
      </rPr>
      <t>R4(config)#line vty 0 1</t>
    </r>
    <r>
      <rPr>
        <sz val="11"/>
        <color rgb="FF000000"/>
        <rFont val="Calibri"/>
      </rPr>
      <t xml:space="preserve">
</t>
    </r>
    <r>
      <rPr>
        <sz val="11"/>
        <color rgb="FF000000"/>
        <rFont val="Calibri"/>
      </rPr>
      <t>R4(config-line)#login authentication LOGIN_AUTHENTICATION</t>
    </r>
    <r>
      <rPr>
        <sz val="11"/>
        <color rgb="FF000000"/>
        <rFont val="Calibri"/>
      </rPr>
      <t xml:space="preserve">
</t>
    </r>
    <r>
      <rPr>
        <sz val="11"/>
        <color rgb="FF000000"/>
        <rFont val="Calibri"/>
      </rPr>
      <t>R4(config-line)#exit</t>
    </r>
    <r>
      <rPr>
        <sz val="11"/>
        <color rgb="FF000000"/>
        <rFont val="Calibri"/>
      </rPr>
      <t xml:space="preserve">
</t>
    </r>
    <r>
      <rPr>
        <sz val="11"/>
        <color rgb="FF000000"/>
        <rFont val="Calibri"/>
      </rPr>
      <t>R4(config)#line con 0</t>
    </r>
    <r>
      <rPr>
        <sz val="11"/>
        <color rgb="FF000000"/>
        <rFont val="Calibri"/>
      </rPr>
      <t xml:space="preserve">
</t>
    </r>
    <r>
      <rPr>
        <sz val="11"/>
        <color rgb="FF000000"/>
        <rFont val="Calibri"/>
      </rPr>
      <t>R4(config-line)#login authentication CONSOLE</t>
    </r>
    <r>
      <rPr>
        <sz val="11"/>
        <color rgb="FF000000"/>
        <rFont val="Calibri"/>
      </rPr>
      <t xml:space="preserve">
</t>
    </r>
    <r>
      <rPr>
        <sz val="11"/>
        <color rgb="FF000000"/>
        <rFont val="Calibri"/>
      </rPr>
      <t xml:space="preserve">R4(config-line)#exit </t>
    </r>
    <r>
      <rPr>
        <sz val="11"/>
        <color rgb="FF000000"/>
        <rFont val="Calibri"/>
      </rPr>
      <t xml:space="preserve">
</t>
    </r>
    <r>
      <rPr>
        <sz val="11"/>
        <color rgb="FF000000"/>
        <rFont val="Calibri"/>
      </rPr>
      <t>R4(config)#ip http authentication aaa login-authentication LOGIN_AUTHENTICATION</t>
    </r>
  </si>
  <si>
    <r>
      <rPr>
        <sz val="11"/>
        <color rgb="FF000000"/>
        <rFont val="Calibri"/>
      </rPr>
      <t>Centralized management of user accounts and authentication increases the administrative access to the switch. This control is a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</si>
  <si>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Review the Cisco switch configuration to verify the device is configured to use at least two authentication servers as the primary source for authentication as shown in the following example:</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aaa group server radius RADIUS_GROUP</t>
    </r>
    <r>
      <rPr>
        <sz val="11"/>
        <color rgb="FF000000"/>
        <rFont val="Calibri"/>
      </rPr>
      <t xml:space="preserve">
</t>
    </r>
    <r>
      <rPr>
        <sz val="11"/>
        <color rgb="FF000000"/>
        <rFont val="Calibri"/>
      </rPr>
      <t xml:space="preserve"> server name RADIUS1</t>
    </r>
    <r>
      <rPr>
        <sz val="11"/>
        <color rgb="FF000000"/>
        <rFont val="Calibri"/>
      </rPr>
      <t xml:space="preserve">
</t>
    </r>
    <r>
      <rPr>
        <sz val="11"/>
        <color rgb="FF000000"/>
        <rFont val="Calibri"/>
      </rPr>
      <t xml:space="preserve"> server name RADIUS2</t>
    </r>
    <r>
      <rPr>
        <sz val="11"/>
        <color rgb="FF000000"/>
        <rFont val="Calibri"/>
      </rPr>
      <t xml:space="preserve">
</t>
    </r>
    <r>
      <rPr>
        <sz val="11"/>
        <color rgb="FF000000"/>
        <rFont val="Calibri"/>
      </rPr>
      <t>!</t>
    </r>
    <r>
      <rPr>
        <sz val="11"/>
        <color rgb="FF000000"/>
        <rFont val="Calibri"/>
      </rPr>
      <t xml:space="preserve">
</t>
    </r>
    <r>
      <rPr>
        <sz val="11"/>
        <color rgb="FF000000"/>
        <rFont val="Calibri"/>
      </rPr>
      <t>aaa authentication login CONSOLE group RADIUS_GROUP local</t>
    </r>
    <r>
      <rPr>
        <sz val="11"/>
        <color rgb="FF000000"/>
        <rFont val="Calibri"/>
      </rPr>
      <t xml:space="preserve">
</t>
    </r>
    <r>
      <rPr>
        <sz val="11"/>
        <color rgb="FF000000"/>
        <rFont val="Calibri"/>
      </rPr>
      <t>aaa authentication login LOGIN_AUTHENTICATION group RADIUS_GROUP local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http authentication aaa login-authentication LOGIN_AUTHENTICATION</t>
    </r>
    <r>
      <rPr>
        <sz val="11"/>
        <color rgb="FF000000"/>
        <rFont val="Calibri"/>
      </rPr>
      <t xml:space="preserve">
</t>
    </r>
    <r>
      <rPr>
        <sz val="11"/>
        <color rgb="FF000000"/>
        <rFont val="Calibri"/>
      </rPr>
      <t>ip http secure-server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radius server RADIUS1</t>
    </r>
    <r>
      <rPr>
        <sz val="11"/>
        <color rgb="FF000000"/>
        <rFont val="Calibri"/>
      </rPr>
      <t xml:space="preserve">
</t>
    </r>
    <r>
      <rPr>
        <sz val="11"/>
        <color rgb="FF000000"/>
        <rFont val="Calibri"/>
      </rPr>
      <t xml:space="preserve"> address ipv4 x.x.x.x  auth-port 1812 acct-port 1813</t>
    </r>
    <r>
      <rPr>
        <sz val="11"/>
        <color rgb="FF000000"/>
        <rFont val="Calibri"/>
      </rPr>
      <t xml:space="preserve">
</t>
    </r>
    <r>
      <rPr>
        <sz val="11"/>
        <color rgb="FF000000"/>
        <rFont val="Calibri"/>
      </rPr>
      <t xml:space="preserve"> key xxxxxxx</t>
    </r>
    <r>
      <rPr>
        <sz val="11"/>
        <color rgb="FF000000"/>
        <rFont val="Calibri"/>
      </rPr>
      <t xml:space="preserve">
</t>
    </r>
    <r>
      <rPr>
        <sz val="11"/>
        <color rgb="FF000000"/>
        <rFont val="Calibri"/>
      </rPr>
      <t>!</t>
    </r>
    <r>
      <rPr>
        <sz val="11"/>
        <color rgb="FF000000"/>
        <rFont val="Calibri"/>
      </rPr>
      <t xml:space="preserve">
</t>
    </r>
    <r>
      <rPr>
        <sz val="11"/>
        <color rgb="FF000000"/>
        <rFont val="Calibri"/>
      </rPr>
      <t>radius server RADIUS2</t>
    </r>
    <r>
      <rPr>
        <sz val="11"/>
        <color rgb="FF000000"/>
        <rFont val="Calibri"/>
      </rPr>
      <t xml:space="preserve">
</t>
    </r>
    <r>
      <rPr>
        <sz val="11"/>
        <color rgb="FF000000"/>
        <rFont val="Calibri"/>
      </rPr>
      <t xml:space="preserve"> address ipv4 x.x.x.x  auth-port 1812 acct-port 1813</t>
    </r>
    <r>
      <rPr>
        <sz val="11"/>
        <color rgb="FF000000"/>
        <rFont val="Calibri"/>
      </rPr>
      <t xml:space="preserve">
</t>
    </r>
    <r>
      <rPr>
        <sz val="11"/>
        <color rgb="FF000000"/>
        <rFont val="Calibri"/>
      </rPr>
      <t xml:space="preserve"> key xxxxxxx</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line con 0</t>
    </r>
    <r>
      <rPr>
        <sz val="11"/>
        <color rgb="FF000000"/>
        <rFont val="Calibri"/>
      </rPr>
      <t xml:space="preserve">
</t>
    </r>
    <r>
      <rPr>
        <sz val="11"/>
        <color rgb="FF000000"/>
        <rFont val="Calibri"/>
      </rPr>
      <t xml:space="preserve"> exec-timeout 5 0</t>
    </r>
    <r>
      <rPr>
        <sz val="11"/>
        <color rgb="FF000000"/>
        <rFont val="Calibri"/>
      </rPr>
      <t xml:space="preserve">
</t>
    </r>
    <r>
      <rPr>
        <sz val="11"/>
        <color rgb="FF000000"/>
        <rFont val="Calibri"/>
      </rPr>
      <t xml:space="preserve"> login authentication CONSOLE</t>
    </r>
    <r>
      <rPr>
        <sz val="11"/>
        <color rgb="FF000000"/>
        <rFont val="Calibri"/>
      </rPr>
      <t xml:space="preserve">
</t>
    </r>
    <r>
      <rPr>
        <sz val="11"/>
        <color rgb="FF000000"/>
        <rFont val="Calibri"/>
      </rPr>
      <t>line vty 0 1</t>
    </r>
    <r>
      <rPr>
        <sz val="11"/>
        <color rgb="FF000000"/>
        <rFont val="Calibri"/>
      </rPr>
      <t xml:space="preserve">
</t>
    </r>
    <r>
      <rPr>
        <sz val="11"/>
        <color rgb="FF000000"/>
        <rFont val="Calibri"/>
      </rPr>
      <t xml:space="preserve"> exec-timeout 5 0</t>
    </r>
    <r>
      <rPr>
        <sz val="11"/>
        <color rgb="FF000000"/>
        <rFont val="Calibri"/>
      </rPr>
      <t xml:space="preserve">
</t>
    </r>
    <r>
      <rPr>
        <sz val="11"/>
        <color rgb="FF000000"/>
        <rFont val="Calibri"/>
      </rPr>
      <t xml:space="preserve"> login authentication LOGIN_AUTHENTICATION</t>
    </r>
    <r>
      <rPr>
        <sz val="11"/>
        <color rgb="FF000000"/>
        <rFont val="Calibri"/>
      </rPr>
      <t xml:space="preserve">
</t>
    </r>
    <r>
      <rPr>
        <sz val="11"/>
        <color rgb="FF000000"/>
        <rFont val="Calibri"/>
      </rPr>
      <t>If the Cisco switch is not configured to use at least two authentication servers for the purpose of authenticating users prior to granting administrative access, this is a finding.</t>
    </r>
  </si>
  <si>
    <t>V-220566</t>
  </si>
  <si>
    <r>
      <rPr>
        <sz val="11"/>
        <rFont val="Calibri"/>
      </rPr>
      <t>The Cisco switch must be configured to support organizational requirements to conduct backups of the configuration when changes occur.</t>
    </r>
  </si>
  <si>
    <r>
      <rPr>
        <sz val="11"/>
        <color rgb="FF000000"/>
        <rFont val="Calibri"/>
      </rPr>
      <t>Configure the Cisco switch to send the configuration to an SCP server when a configuration change occurs. The recommended and most secure method is to use public/private key authentication.</t>
    </r>
    <r>
      <rPr>
        <sz val="11"/>
        <color rgb="FF000000"/>
        <rFont val="Calibri"/>
      </rPr>
      <t xml:space="preserve">
</t>
    </r>
    <r>
      <rPr>
        <sz val="11"/>
        <color rgb="FF000000"/>
        <rFont val="Calibri"/>
      </rPr>
      <t>SW4(config)# ip scp server enable</t>
    </r>
    <r>
      <rPr>
        <sz val="11"/>
        <color rgb="FF000000"/>
        <rFont val="Calibri"/>
      </rPr>
      <t xml:space="preserve">
</t>
    </r>
    <r>
      <rPr>
        <sz val="11"/>
        <color rgb="FF000000"/>
        <rFont val="Calibri"/>
      </rPr>
      <t>SW4(config)# file prompt quiet</t>
    </r>
    <r>
      <rPr>
        <sz val="11"/>
        <color rgb="FF000000"/>
        <rFont val="Calibri"/>
      </rPr>
      <t xml:space="preserve">
</t>
    </r>
    <r>
      <rPr>
        <sz val="11"/>
        <color rgb="FF000000"/>
        <rFont val="Calibri"/>
      </rPr>
      <t>SW4(config)# event manager applet BACKUP_CONFIG</t>
    </r>
    <r>
      <rPr>
        <sz val="11"/>
        <color rgb="FF000000"/>
        <rFont val="Calibri"/>
      </rPr>
      <t xml:space="preserve">
</t>
    </r>
    <r>
      <rPr>
        <sz val="11"/>
        <color rgb="FF000000"/>
        <rFont val="Calibri"/>
      </rPr>
      <t>SW4(config-applet)# event syslog pattern "%SYS-5-CONFIG_I"</t>
    </r>
    <r>
      <rPr>
        <sz val="11"/>
        <color rgb="FF000000"/>
        <rFont val="Calibri"/>
      </rPr>
      <t xml:space="preserve">
</t>
    </r>
    <r>
      <rPr>
        <sz val="11"/>
        <color rgb="FF000000"/>
        <rFont val="Calibri"/>
      </rPr>
      <t>SW4(config-applet)# action 1 cli command "enable"</t>
    </r>
    <r>
      <rPr>
        <sz val="11"/>
        <color rgb="FF000000"/>
        <rFont val="Calibri"/>
      </rPr>
      <t xml:space="preserve">
</t>
    </r>
    <r>
      <rPr>
        <sz val="11"/>
        <color rgb="FF000000"/>
        <rFont val="Calibri"/>
      </rPr>
      <t>SW4(config-applet)# action 2 info type routername</t>
    </r>
    <r>
      <rPr>
        <sz val="11"/>
        <color rgb="FF000000"/>
        <rFont val="Calibri"/>
      </rPr>
      <t xml:space="preserve">
</t>
    </r>
    <r>
      <rPr>
        <sz val="11"/>
        <color rgb="FF000000"/>
        <rFont val="Calibri"/>
      </rPr>
      <t>SW4(config-applet)# action 3 cli command "copy running-config scp://&lt;username&gt;@&lt;x.x.x.x&gt;/&lt;path_on_server&gt;/$_info_routername-running-config"</t>
    </r>
    <r>
      <rPr>
        <sz val="11"/>
        <color rgb="FF000000"/>
        <rFont val="Calibri"/>
      </rPr>
      <t xml:space="preserve">
</t>
    </r>
    <r>
      <rPr>
        <sz val="11"/>
        <color rgb="FF000000"/>
        <rFont val="Calibri"/>
      </rPr>
      <t>SW4(config-applet)# action 4 syslog priority informational msg "Configuration backup executed for $_info_routername"</t>
    </r>
    <r>
      <rPr>
        <sz val="11"/>
        <color rgb="FF000000"/>
        <rFont val="Calibri"/>
      </rPr>
      <t xml:space="preserve">
</t>
    </r>
    <r>
      <rPr>
        <sz val="11"/>
        <color rgb="FF000000"/>
        <rFont val="Calibri"/>
      </rPr>
      <t>SW4(config-applet)# authorization bypass</t>
    </r>
    <r>
      <rPr>
        <sz val="11"/>
        <color rgb="FF000000"/>
        <rFont val="Calibri"/>
      </rPr>
      <t xml:space="preserve">
</t>
    </r>
    <r>
      <rPr>
        <sz val="11"/>
        <color rgb="FF000000"/>
        <rFont val="Calibri"/>
      </rPr>
      <t>SW4(config-applet)# end</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</si>
  <si>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</si>
  <si>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Review the Cisco switch configuration to verify that it is configured to automatically back up its running configuration to a remote server when a change is made. The example configuration below will send the configuration to a SCP server when a configuration change occurs.</t>
    </r>
    <r>
      <rPr>
        <sz val="11"/>
        <color rgb="FF000000"/>
        <rFont val="Calibri"/>
      </rPr>
      <t xml:space="preserve">
</t>
    </r>
    <r>
      <rPr>
        <sz val="11"/>
        <color rgb="FF000000"/>
        <rFont val="Calibri"/>
      </rPr>
      <t>Verify that an Embedded Event Manager (EEM) applet is configured to trigger on the syslog message "%SYS-5-CONFIG_I".</t>
    </r>
    <r>
      <rPr>
        <sz val="11"/>
        <color rgb="FF000000"/>
        <rFont val="Calibri"/>
      </rPr>
      <t xml:space="preserve">
</t>
    </r>
    <r>
      <rPr>
        <sz val="11"/>
        <color rgb="FF000000"/>
        <rFont val="Calibri"/>
      </rPr>
      <t>Verify the EEM applet contains an action to copy the running configuration to a secure server (e.g., SCP).</t>
    </r>
    <r>
      <rPr>
        <sz val="11"/>
        <color rgb="FF000000"/>
        <rFont val="Calibri"/>
      </rPr>
      <t xml:space="preserve">
</t>
    </r>
    <r>
      <rPr>
        <sz val="11"/>
        <color rgb="FF000000"/>
        <rFont val="Calibri"/>
      </rPr>
      <t>Verify the command authorization bypass is present within the applet to ensure it executes correctly under AAA.</t>
    </r>
    <r>
      <rPr>
        <sz val="11"/>
        <color rgb="FF000000"/>
        <rFont val="Calibri"/>
      </rPr>
      <t xml:space="preserve">
</t>
    </r>
    <r>
      <rPr>
        <sz val="11"/>
        <color rgb="FF000000"/>
        <rFont val="Calibri"/>
      </rPr>
      <t>Verify the global command file prompt quiet is configured to prevent the applet from timing out.</t>
    </r>
    <r>
      <rPr>
        <sz val="11"/>
        <color rgb="FF000000"/>
        <rFont val="Calibri"/>
      </rPr>
      <t xml:space="preserve">
</t>
    </r>
    <r>
      <rPr>
        <sz val="11"/>
        <color rgb="FF000000"/>
        <rFont val="Calibri"/>
      </rPr>
      <t>Verify the authentication method used for the file transfer:</t>
    </r>
    <r>
      <rPr>
        <sz val="11"/>
        <color rgb="FF000000"/>
        <rFont val="Calibri"/>
      </rPr>
      <t xml:space="preserve">
</t>
    </r>
    <r>
      <rPr>
        <sz val="11"/>
        <color rgb="FF000000"/>
        <rFont val="Calibri"/>
      </rPr>
      <t>The command "copy running-config scp://&lt;username&gt;@&lt;x.x.x.x&gt;/&lt;path_on_server&gt;/$_info_routername-running-config".</t>
    </r>
    <r>
      <rPr>
        <sz val="11"/>
        <color rgb="FF000000"/>
        <rFont val="Calibri"/>
      </rPr>
      <t xml:space="preserve">
</t>
    </r>
    <r>
      <rPr>
        <sz val="11"/>
        <color rgb="FF000000"/>
        <rFont val="Calibri"/>
      </rPr>
      <t>Note: The absence of a password indicates the use of secure public/private key authentication.</t>
    </r>
    <r>
      <rPr>
        <sz val="11"/>
        <color rgb="FF000000"/>
        <rFont val="Calibri"/>
      </rPr>
      <t xml:space="preserve">
</t>
    </r>
    <r>
      <rPr>
        <sz val="11"/>
        <color rgb="FF000000"/>
        <rFont val="Calibri"/>
      </rPr>
      <t>If the Cisco switch is not configured to conduct automated backups of the configuration when changes occur, or if it does so using an insecure method like a cleartext password, this is a finding.</t>
    </r>
  </si>
  <si>
    <t>V-220567</t>
  </si>
  <si>
    <r>
      <rPr>
        <sz val="11"/>
        <rFont val="Calibri"/>
      </rPr>
      <t>The Cisco switch must be configured to obtain its public key certificates from an appropriate certificate policy through an approved service provider.</t>
    </r>
  </si>
  <si>
    <r>
      <rPr>
        <sz val="11"/>
        <color rgb="FF000000"/>
        <rFont val="Calibri"/>
      </rPr>
      <t>Configure the switch to obtain its public key certificates from an appropriate certificate policy through an approved service provider as show in the example below:</t>
    </r>
    <r>
      <rPr>
        <sz val="11"/>
        <color rgb="FF000000"/>
        <rFont val="Calibri"/>
      </rPr>
      <t xml:space="preserve">
</t>
    </r>
    <r>
      <rPr>
        <sz val="11"/>
        <color rgb="FF000000"/>
        <rFont val="Calibri"/>
      </rPr>
      <t>SW2(ca-trustpoint)#enrollment url http://trustpoint1.example.com</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</si>
  <si>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(CA) will suffice.</t>
    </r>
  </si>
  <si>
    <r>
      <rPr>
        <sz val="11"/>
        <color rgb="FF000000"/>
        <rFont val="Calibri"/>
      </rPr>
      <t>Note: This requirement is not applicable if the router or switch does not have any public key certificates.</t>
    </r>
    <r>
      <rPr>
        <sz val="11"/>
        <color rgb="FF000000"/>
        <rFont val="Calibri"/>
      </rPr>
      <t xml:space="preserve">
</t>
    </r>
    <r>
      <rPr>
        <sz val="11"/>
        <color rgb="FF000000"/>
        <rFont val="Calibri"/>
      </rPr>
      <t>Review the switch configuration to determine if a CA trust point has been configured. The CA trust point will contain the URL of the CA in which the switch has enrolled with. Verify this is a DOD or DOD-approved CA. This will ensure the switch has enrolled and received a certificate from a trusted CA. The CA trust point configuration would look similar to the example below:</t>
    </r>
    <r>
      <rPr>
        <sz val="11"/>
        <color rgb="FF000000"/>
        <rFont val="Calibri"/>
      </rPr>
      <t xml:space="preserve">
</t>
    </r>
    <r>
      <rPr>
        <sz val="11"/>
        <color rgb="FF000000"/>
        <rFont val="Calibri"/>
      </rPr>
      <t>crypto pki trustpoint CA_X</t>
    </r>
    <r>
      <rPr>
        <sz val="11"/>
        <color rgb="FF000000"/>
        <rFont val="Calibri"/>
      </rPr>
      <t xml:space="preserve">
</t>
    </r>
    <r>
      <rPr>
        <sz val="11"/>
        <color rgb="FF000000"/>
        <rFont val="Calibri"/>
      </rPr>
      <t xml:space="preserve"> enrollment url http://trustpoint1.example.com</t>
    </r>
    <r>
      <rPr>
        <sz val="11"/>
        <color rgb="FF000000"/>
        <rFont val="Calibri"/>
      </rPr>
      <t xml:space="preserve">
</t>
    </r>
    <r>
      <rPr>
        <sz val="11"/>
        <color rgb="FF000000"/>
        <rFont val="Calibri"/>
      </rPr>
      <t>Note: A remote end-point's certificate will always be validated by the switch by verifying the signature of the CA on the certificate using the CA's public key, which is contained in the switch's certificate it received at enrollment.</t>
    </r>
    <r>
      <rPr>
        <sz val="11"/>
        <color rgb="FF000000"/>
        <rFont val="Calibri"/>
      </rPr>
      <t xml:space="preserve">
</t>
    </r>
    <r>
      <rPr>
        <sz val="11"/>
        <color rgb="FF000000"/>
        <rFont val="Calibri"/>
      </rPr>
      <t>If the Cisco switch is not configured to obtain its public key certificates from an appropriate certificate policy through an approved service provider, this is a finding.</t>
    </r>
  </si>
  <si>
    <t>V-220568</t>
  </si>
  <si>
    <r>
      <rPr>
        <sz val="11"/>
        <rFont val="Calibri"/>
      </rPr>
      <t>The Cisco switch must be configured to send log data to at least two central log servers for the purpose of forwarding alerts to the administrators and the information system security officer (ISSO).</t>
    </r>
  </si>
  <si>
    <r>
      <rPr>
        <sz val="11"/>
        <color rgb="FF000000"/>
        <rFont val="Calibri"/>
      </rPr>
      <t>Configure the switch to send log messages to the syslog servers as shown in the example below:</t>
    </r>
    <r>
      <rPr>
        <sz val="11"/>
        <color rgb="FF000000"/>
        <rFont val="Calibri"/>
      </rPr>
      <t xml:space="preserve">
</t>
    </r>
    <r>
      <rPr>
        <sz val="11"/>
        <color rgb="FF000000"/>
        <rFont val="Calibri"/>
      </rPr>
      <t>SW4(config)#logging host x.x.x.x</t>
    </r>
    <r>
      <rPr>
        <sz val="11"/>
        <color rgb="FF000000"/>
        <rFont val="Calibri"/>
      </rPr>
      <t xml:space="preserve">
</t>
    </r>
    <r>
      <rPr>
        <sz val="11"/>
        <color rgb="FF000000"/>
        <rFont val="Calibri"/>
      </rPr>
      <t>SW4(config)#logging host x.x.x.x</t>
    </r>
  </si>
  <si>
    <r>
      <rPr>
        <sz val="11"/>
        <color rgb="FF000000"/>
        <rFont val="Calibri"/>
      </rPr>
      <t>The aggregation of log data kept on a syslog server can be used to detect attacks and trigger an alert to the appropriate security personnel. The stored log data can used to detect weaknesses in security that enable the network IA team to find and address these weaknesses before breaches can occur. Reviewing these logs, whether before or after a security breach, are important in showing whether someone is an internal employee or an outside threat.</t>
    </r>
  </si>
  <si>
    <r>
      <rPr>
        <sz val="11"/>
        <color rgb="FF000000"/>
        <rFont val="Calibri"/>
      </rPr>
      <t>Verify that the switch is configured to send logs to at least two central log servers. The configuration should look similar to the example below:</t>
    </r>
    <r>
      <rPr>
        <sz val="11"/>
        <color rgb="FF000000"/>
        <rFont val="Calibri"/>
      </rPr>
      <t xml:space="preserve">
</t>
    </r>
    <r>
      <rPr>
        <sz val="11"/>
        <color rgb="FF000000"/>
        <rFont val="Calibri"/>
      </rPr>
      <t>logging x.x.x.x</t>
    </r>
    <r>
      <rPr>
        <sz val="11"/>
        <color rgb="FF000000"/>
        <rFont val="Calibri"/>
      </rPr>
      <t xml:space="preserve">
</t>
    </r>
    <r>
      <rPr>
        <sz val="11"/>
        <color rgb="FF000000"/>
        <rFont val="Calibri"/>
      </rPr>
      <t>logging x.x.x.x</t>
    </r>
    <r>
      <rPr>
        <sz val="11"/>
        <color rgb="FF000000"/>
        <rFont val="Calibri"/>
      </rPr>
      <t xml:space="preserve">
</t>
    </r>
    <r>
      <rPr>
        <sz val="11"/>
        <color rgb="FF000000"/>
        <rFont val="Calibri"/>
      </rPr>
      <t>If the switch is not configured to send log data to the syslog servers, this is a finding.</t>
    </r>
  </si>
  <si>
    <t>V-220569</t>
  </si>
  <si>
    <r>
      <rPr>
        <sz val="11"/>
        <rFont val="Calibri"/>
      </rPr>
      <t>The Cisco switch must be running an IOS release that is currently supported by Cisco Systems.</t>
    </r>
  </si>
  <si>
    <r>
      <rPr>
        <sz val="11"/>
        <color rgb="FF000000"/>
        <rFont val="Calibri"/>
      </rPr>
      <t>Upgrade the switch to a supported release.</t>
    </r>
  </si>
  <si>
    <r>
      <rPr>
        <sz val="11"/>
        <color rgb="FF000000"/>
        <rFont val="Calibri"/>
      </rPr>
      <t>Network devices running an unsupported operating system lack current security fixes required to mitigate the risks associated with recent vulnerabilities. Running a supported release also enables operations to maintain a stable and reliable network provided by improved quality of service and security features.</t>
    </r>
  </si>
  <si>
    <r>
      <rPr>
        <sz val="11"/>
        <color rgb="FF000000"/>
        <rFont val="Calibri"/>
      </rPr>
      <t xml:space="preserve">Verify that the switch is in compliance with this requirement by having the switch administrator enter the following command: </t>
    </r>
    <r>
      <rPr>
        <sz val="11"/>
        <color rgb="FF000000"/>
        <rFont val="Calibri"/>
      </rPr>
      <t xml:space="preserve">
</t>
    </r>
    <r>
      <rPr>
        <sz val="11"/>
        <color rgb="FF000000"/>
        <rFont val="Calibri"/>
      </rPr>
      <t>show version</t>
    </r>
    <r>
      <rPr>
        <sz val="11"/>
        <color rgb="FF000000"/>
        <rFont val="Calibri"/>
      </rPr>
      <t xml:space="preserve">
</t>
    </r>
    <r>
      <rPr>
        <sz val="11"/>
        <color rgb="FF000000"/>
        <rFont val="Calibri"/>
      </rPr>
      <t>Verify that the release is still supported by Cisco. All releases supported by Cisco can be found on the following URL:</t>
    </r>
    <r>
      <rPr>
        <sz val="11"/>
        <color rgb="FF000000"/>
        <rFont val="Calibri"/>
      </rPr>
      <t xml:space="preserve">
</t>
    </r>
    <r>
      <rPr>
        <sz val="11"/>
        <color rgb="FF000000"/>
        <rFont val="Calibri"/>
      </rPr>
      <t>www.cisco.com/c/en/us/support/ios-nx-os-software</t>
    </r>
    <r>
      <rPr>
        <sz val="11"/>
        <color rgb="FF000000"/>
        <rFont val="Calibri"/>
      </rPr>
      <t xml:space="preserve">
</t>
    </r>
    <r>
      <rPr>
        <sz val="11"/>
        <color rgb="FF000000"/>
        <rFont val="Calibri"/>
      </rPr>
      <t>If the switch is not running a supported release, this is a finding.</t>
    </r>
  </si>
  <si>
    <t>V-220649</t>
  </si>
  <si>
    <r>
      <rPr>
        <sz val="11"/>
        <rFont val="Calibri"/>
      </rPr>
      <t>The Cisco switch must uniquely identify and authenticate all network-connected endpoint devices before establishing any connection.</t>
    </r>
  </si>
  <si>
    <t>L2S</t>
  </si>
  <si>
    <r>
      <rPr>
        <sz val="11"/>
        <color rgb="FF000000"/>
        <rFont val="Calibri"/>
      </rPr>
      <t>Configure 802.1 x authentications on all host-facing access switch ports. To authenticate those devices that do not support 802.1x, MAC Authentication Bypass must be configured.</t>
    </r>
    <r>
      <rPr>
        <sz val="11"/>
        <color rgb="FF000000"/>
        <rFont val="Calibri"/>
      </rPr>
      <t xml:space="preserve">
</t>
    </r>
    <r>
      <rPr>
        <sz val="11"/>
        <color rgb="FF000000"/>
        <rFont val="Calibri"/>
      </rPr>
      <t>Step 1: Configure the radius servers as shown in the example below:</t>
    </r>
    <r>
      <rPr>
        <sz val="11"/>
        <color rgb="FF000000"/>
        <rFont val="Calibri"/>
      </rPr>
      <t xml:space="preserve">
</t>
    </r>
    <r>
      <rPr>
        <sz val="11"/>
        <color rgb="FF000000"/>
        <rFont val="Calibri"/>
      </rPr>
      <t>SW1(config)#radius server RADIUS_1</t>
    </r>
    <r>
      <rPr>
        <sz val="11"/>
        <color rgb="FF000000"/>
        <rFont val="Calibri"/>
      </rPr>
      <t xml:space="preserve">
</t>
    </r>
    <r>
      <rPr>
        <sz val="11"/>
        <color rgb="FF000000"/>
        <rFont val="Calibri"/>
      </rPr>
      <t>SW1(config-radius-server)#address ipv4 10.1.22.3</t>
    </r>
    <r>
      <rPr>
        <sz val="11"/>
        <color rgb="FF000000"/>
        <rFont val="Calibri"/>
      </rPr>
      <t xml:space="preserve">
</t>
    </r>
    <r>
      <rPr>
        <sz val="11"/>
        <color rgb="FF000000"/>
        <rFont val="Calibri"/>
      </rPr>
      <t>SW1(config-radius-server)#key xxxxxx</t>
    </r>
    <r>
      <rPr>
        <sz val="11"/>
        <color rgb="FF000000"/>
        <rFont val="Calibri"/>
      </rPr>
      <t xml:space="preserve">
</t>
    </r>
    <r>
      <rPr>
        <sz val="11"/>
        <color rgb="FF000000"/>
        <rFont val="Calibri"/>
      </rPr>
      <t>SW1(config-radius-server)#exit</t>
    </r>
    <r>
      <rPr>
        <sz val="11"/>
        <color rgb="FF000000"/>
        <rFont val="Calibri"/>
      </rPr>
      <t xml:space="preserve">
</t>
    </r>
    <r>
      <rPr>
        <sz val="11"/>
        <color rgb="FF000000"/>
        <rFont val="Calibri"/>
      </rPr>
      <t>SW1(config)#radius server RADIUS_2</t>
    </r>
    <r>
      <rPr>
        <sz val="11"/>
        <color rgb="FF000000"/>
        <rFont val="Calibri"/>
      </rPr>
      <t xml:space="preserve">
</t>
    </r>
    <r>
      <rPr>
        <sz val="11"/>
        <color rgb="FF000000"/>
        <rFont val="Calibri"/>
      </rPr>
      <t>SW1(config-radius-server)#address ipv4 10.1.14.5</t>
    </r>
    <r>
      <rPr>
        <sz val="11"/>
        <color rgb="FF000000"/>
        <rFont val="Calibri"/>
      </rPr>
      <t xml:space="preserve">
</t>
    </r>
    <r>
      <rPr>
        <sz val="11"/>
        <color rgb="FF000000"/>
        <rFont val="Calibri"/>
      </rPr>
      <t>SW1(config-radius-server)#key xxxxxx</t>
    </r>
    <r>
      <rPr>
        <sz val="11"/>
        <color rgb="FF000000"/>
        <rFont val="Calibri"/>
      </rPr>
      <t xml:space="preserve">
</t>
    </r>
    <r>
      <rPr>
        <sz val="11"/>
        <color rgb="FF000000"/>
        <rFont val="Calibri"/>
      </rPr>
      <t>SW1(config-radius-server)#exit</t>
    </r>
    <r>
      <rPr>
        <sz val="11"/>
        <color rgb="FF000000"/>
        <rFont val="Calibri"/>
      </rPr>
      <t xml:space="preserve">
</t>
    </r>
    <r>
      <rPr>
        <sz val="11"/>
        <color rgb="FF000000"/>
        <rFont val="Calibri"/>
      </rPr>
      <t>Step 2: Enable 802.1x authentication on the switch.</t>
    </r>
    <r>
      <rPr>
        <sz val="11"/>
        <color rgb="FF000000"/>
        <rFont val="Calibri"/>
      </rPr>
      <t xml:space="preserve">
</t>
    </r>
    <r>
      <rPr>
        <sz val="11"/>
        <color rgb="FF000000"/>
        <rFont val="Calibri"/>
      </rPr>
      <t xml:space="preserve">SW1(config)#aaa new-model </t>
    </r>
    <r>
      <rPr>
        <sz val="11"/>
        <color rgb="FF000000"/>
        <rFont val="Calibri"/>
      </rPr>
      <t xml:space="preserve">
</t>
    </r>
    <r>
      <rPr>
        <sz val="11"/>
        <color rgb="FF000000"/>
        <rFont val="Calibri"/>
      </rPr>
      <t>SW1(config)#aaa group server radius RADIUS_SERVERS</t>
    </r>
    <r>
      <rPr>
        <sz val="11"/>
        <color rgb="FF000000"/>
        <rFont val="Calibri"/>
      </rPr>
      <t xml:space="preserve">
</t>
    </r>
    <r>
      <rPr>
        <sz val="11"/>
        <color rgb="FF000000"/>
        <rFont val="Calibri"/>
      </rPr>
      <t>SW1(config-sg-radius)#server name RADIUS_1</t>
    </r>
    <r>
      <rPr>
        <sz val="11"/>
        <color rgb="FF000000"/>
        <rFont val="Calibri"/>
      </rPr>
      <t xml:space="preserve">
</t>
    </r>
    <r>
      <rPr>
        <sz val="11"/>
        <color rgb="FF000000"/>
        <rFont val="Calibri"/>
      </rPr>
      <t>SW1(config-sg-radius)#server name RADIUS_2</t>
    </r>
    <r>
      <rPr>
        <sz val="11"/>
        <color rgb="FF000000"/>
        <rFont val="Calibri"/>
      </rPr>
      <t xml:space="preserve">
</t>
    </r>
    <r>
      <rPr>
        <sz val="11"/>
        <color rgb="FF000000"/>
        <rFont val="Calibri"/>
      </rPr>
      <t>SW1(config-sg-radius)#exit</t>
    </r>
    <r>
      <rPr>
        <sz val="11"/>
        <color rgb="FF000000"/>
        <rFont val="Calibri"/>
      </rPr>
      <t xml:space="preserve">
</t>
    </r>
    <r>
      <rPr>
        <sz val="11"/>
        <color rgb="FF000000"/>
        <rFont val="Calibri"/>
      </rPr>
      <t>SW1(config)#aaa authentication dot1x default group RADIUS_SERVERS</t>
    </r>
    <r>
      <rPr>
        <sz val="11"/>
        <color rgb="FF000000"/>
        <rFont val="Calibri"/>
      </rPr>
      <t xml:space="preserve">
</t>
    </r>
    <r>
      <rPr>
        <sz val="11"/>
        <color rgb="FF000000"/>
        <rFont val="Calibri"/>
      </rPr>
      <t>SW1(config)#dot1x system-auth-control</t>
    </r>
    <r>
      <rPr>
        <sz val="11"/>
        <color rgb="FF000000"/>
        <rFont val="Calibri"/>
      </rPr>
      <t xml:space="preserve">
</t>
    </r>
    <r>
      <rPr>
        <sz val="11"/>
        <color rgb="FF000000"/>
        <rFont val="Calibri"/>
      </rPr>
      <t>Step 3: Enable 802.1x on all host-facing interfaces as shown in the example below:</t>
    </r>
    <r>
      <rPr>
        <sz val="11"/>
        <color rgb="FF000000"/>
        <rFont val="Calibri"/>
      </rPr>
      <t xml:space="preserve">
</t>
    </r>
    <r>
      <rPr>
        <sz val="11"/>
        <color rgb="FF000000"/>
        <rFont val="Calibri"/>
      </rPr>
      <t>SW1(config)#int range g1/0 - 8</t>
    </r>
    <r>
      <rPr>
        <sz val="11"/>
        <color rgb="FF000000"/>
        <rFont val="Calibri"/>
      </rPr>
      <t xml:space="preserve">
</t>
    </r>
    <r>
      <rPr>
        <sz val="11"/>
        <color rgb="FF000000"/>
        <rFont val="Calibri"/>
      </rPr>
      <t xml:space="preserve">SW1(config-if-range)#switchport mode access </t>
    </r>
    <r>
      <rPr>
        <sz val="11"/>
        <color rgb="FF000000"/>
        <rFont val="Calibri"/>
      </rPr>
      <t xml:space="preserve">
</t>
    </r>
    <r>
      <rPr>
        <sz val="11"/>
        <color rgb="FF000000"/>
        <rFont val="Calibri"/>
      </rPr>
      <t xml:space="preserve">SW1(config-if-range)#authentication host-mode single-host </t>
    </r>
    <r>
      <rPr>
        <sz val="11"/>
        <color rgb="FF000000"/>
        <rFont val="Calibri"/>
      </rPr>
      <t xml:space="preserve">
</t>
    </r>
    <r>
      <rPr>
        <sz val="11"/>
        <color rgb="FF000000"/>
        <rFont val="Calibri"/>
      </rPr>
      <t xml:space="preserve">SW1(config-if-range)#dot1x pae authenticator </t>
    </r>
    <r>
      <rPr>
        <sz val="11"/>
        <color rgb="FF000000"/>
        <rFont val="Calibri"/>
      </rPr>
      <t xml:space="preserve">
</t>
    </r>
    <r>
      <rPr>
        <sz val="11"/>
        <color rgb="FF000000"/>
        <rFont val="Calibri"/>
      </rPr>
      <t xml:space="preserve">SW1(config-if-range)#authentication port-control auto </t>
    </r>
    <r>
      <rPr>
        <sz val="11"/>
        <color rgb="FF000000"/>
        <rFont val="Calibri"/>
      </rPr>
      <t xml:space="preserve">
</t>
    </r>
    <r>
      <rPr>
        <sz val="11"/>
        <color rgb="FF000000"/>
        <rFont val="Calibri"/>
      </rPr>
      <t xml:space="preserve">SW1(config-if-range)#end </t>
    </r>
    <r>
      <rPr>
        <sz val="11"/>
        <color rgb="FF000000"/>
        <rFont val="Calibri"/>
      </rPr>
      <t xml:space="preserve">
</t>
    </r>
    <r>
      <rPr>
        <sz val="11"/>
        <color rgb="FF000000"/>
        <rFont val="Calibri"/>
      </rPr>
      <t>Note: Single-host is the default. Host-mode multi-domain (for VoIP phone + PC) or multi-auth (multiple PCs connected to a hub) can be configured as alternatives.</t>
    </r>
  </si>
  <si>
    <r>
      <rPr>
        <sz val="11"/>
        <color rgb="FF000000"/>
        <rFont val="Calibri"/>
      </rPr>
      <t>Controlling LAN access via 802.1x authentication can assist in preventing a malicious user from connecting an unauthorized PC to a switch port to inject or receive data from the network without detection.</t>
    </r>
  </si>
  <si>
    <r>
      <rPr>
        <sz val="11"/>
        <color rgb="FF000000"/>
        <rFont val="Calibri"/>
      </rPr>
      <t>Verify if the switch configuration has 802.1x authentication implemented for all access switch ports connecting to LAN outlets (i.e., RJ-45 wall plates) or devices not located in the telecom room, wiring closets, or equipment rooms. MAC Authentication Bypass (MAB) must be configured on those switch ports connected to devices that do not support an 802.1x supplicant.</t>
    </r>
    <r>
      <rPr>
        <sz val="11"/>
        <color rgb="FF000000"/>
        <rFont val="Calibri"/>
      </rPr>
      <t xml:space="preserve">
</t>
    </r>
    <r>
      <rPr>
        <sz val="11"/>
        <color rgb="FF000000"/>
        <rFont val="Calibri"/>
      </rPr>
      <t>Step 1: Verify that 802.1x is configured on all host-facing interfaces as shown in the example below:</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switchport access vlan 12</t>
    </r>
    <r>
      <rPr>
        <sz val="11"/>
        <color rgb="FF000000"/>
        <rFont val="Calibri"/>
      </rPr>
      <t xml:space="preserve">
</t>
    </r>
    <r>
      <rPr>
        <sz val="11"/>
        <color rgb="FF000000"/>
        <rFont val="Calibri"/>
      </rPr>
      <t xml:space="preserve"> switchport mode access</t>
    </r>
    <r>
      <rPr>
        <sz val="11"/>
        <color rgb="FF000000"/>
        <rFont val="Calibri"/>
      </rPr>
      <t xml:space="preserve">
</t>
    </r>
    <r>
      <rPr>
        <sz val="11"/>
        <color rgb="FF000000"/>
        <rFont val="Calibri"/>
      </rPr>
      <t xml:space="preserve"> authentication port-control auto</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switchport access vlan 13</t>
    </r>
    <r>
      <rPr>
        <sz val="11"/>
        <color rgb="FF000000"/>
        <rFont val="Calibri"/>
      </rPr>
      <t xml:space="preserve">
</t>
    </r>
    <r>
      <rPr>
        <sz val="11"/>
        <color rgb="FF000000"/>
        <rFont val="Calibri"/>
      </rPr>
      <t xml:space="preserve"> switchport mode access</t>
    </r>
    <r>
      <rPr>
        <sz val="11"/>
        <color rgb="FF000000"/>
        <rFont val="Calibri"/>
      </rPr>
      <t xml:space="preserve">
</t>
    </r>
    <r>
      <rPr>
        <sz val="11"/>
        <color rgb="FF000000"/>
        <rFont val="Calibri"/>
      </rPr>
      <t xml:space="preserve"> authentication port-control auto</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GigabitEthernet1/2</t>
    </r>
    <r>
      <rPr>
        <sz val="11"/>
        <color rgb="FF000000"/>
        <rFont val="Calibri"/>
      </rPr>
      <t xml:space="preserve">
</t>
    </r>
    <r>
      <rPr>
        <sz val="11"/>
        <color rgb="FF000000"/>
        <rFont val="Calibri"/>
      </rPr>
      <t xml:space="preserve"> switchport access vlan 13</t>
    </r>
    <r>
      <rPr>
        <sz val="11"/>
        <color rgb="FF000000"/>
        <rFont val="Calibri"/>
      </rPr>
      <t xml:space="preserve">
</t>
    </r>
    <r>
      <rPr>
        <sz val="11"/>
        <color rgb="FF000000"/>
        <rFont val="Calibri"/>
      </rPr>
      <t xml:space="preserve"> switchport mode access</t>
    </r>
    <r>
      <rPr>
        <sz val="11"/>
        <color rgb="FF000000"/>
        <rFont val="Calibri"/>
      </rPr>
      <t xml:space="preserve">
</t>
    </r>
    <r>
      <rPr>
        <sz val="11"/>
        <color rgb="FF000000"/>
        <rFont val="Calibri"/>
      </rPr>
      <t xml:space="preserve"> authentication port-control auto</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Step 2: Verify that 802.1x authentication is configured on the switch as shown in the example below:</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group server radius RADIUS_SERVERS</t>
    </r>
    <r>
      <rPr>
        <sz val="11"/>
        <color rgb="FF000000"/>
        <rFont val="Calibri"/>
      </rPr>
      <t xml:space="preserve">
</t>
    </r>
    <r>
      <rPr>
        <sz val="11"/>
        <color rgb="FF000000"/>
        <rFont val="Calibri"/>
      </rPr>
      <t xml:space="preserve"> server name RADIUS_1</t>
    </r>
    <r>
      <rPr>
        <sz val="11"/>
        <color rgb="FF000000"/>
        <rFont val="Calibri"/>
      </rPr>
      <t xml:space="preserve">
</t>
    </r>
    <r>
      <rPr>
        <sz val="11"/>
        <color rgb="FF000000"/>
        <rFont val="Calibri"/>
      </rPr>
      <t xml:space="preserve"> server name RADIUS_2</t>
    </r>
    <r>
      <rPr>
        <sz val="11"/>
        <color rgb="FF000000"/>
        <rFont val="Calibri"/>
      </rPr>
      <t xml:space="preserve">
</t>
    </r>
    <r>
      <rPr>
        <sz val="11"/>
        <color rgb="FF000000"/>
        <rFont val="Calibri"/>
      </rPr>
      <t>!</t>
    </r>
    <r>
      <rPr>
        <sz val="11"/>
        <color rgb="FF000000"/>
        <rFont val="Calibri"/>
      </rPr>
      <t xml:space="preserve">
</t>
    </r>
    <r>
      <rPr>
        <sz val="11"/>
        <color rgb="FF000000"/>
        <rFont val="Calibri"/>
      </rPr>
      <t>aaa authentication dot1x default group RADIUS_SERVERS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dot1x system-auth-control</t>
    </r>
    <r>
      <rPr>
        <sz val="11"/>
        <color rgb="FF000000"/>
        <rFont val="Calibri"/>
      </rPr>
      <t xml:space="preserve">
</t>
    </r>
    <r>
      <rPr>
        <sz val="11"/>
        <color rgb="FF000000"/>
        <rFont val="Calibri"/>
      </rPr>
      <t>Step 3: Verify that the radius servers have been defined.</t>
    </r>
    <r>
      <rPr>
        <sz val="11"/>
        <color rgb="FF000000"/>
        <rFont val="Calibri"/>
      </rPr>
      <t xml:space="preserve">
</t>
    </r>
    <r>
      <rPr>
        <sz val="11"/>
        <color rgb="FF000000"/>
        <rFont val="Calibri"/>
      </rPr>
      <t>SW1#show radius server-group RADIUS_SERVERS</t>
    </r>
    <r>
      <rPr>
        <sz val="11"/>
        <color rgb="FF000000"/>
        <rFont val="Calibri"/>
      </rPr>
      <t xml:space="preserve">
</t>
    </r>
    <r>
      <rPr>
        <sz val="11"/>
        <color rgb="FF000000"/>
        <rFont val="Calibri"/>
      </rPr>
      <t>Note: Single-host is the default. Host-mode multi-domain (for VoIP phone + PC) or multi-auth (multiple PCs connected to a hub) can be configured as alternatives. Host-mode multi-host is not compliant with this requirement.</t>
    </r>
    <r>
      <rPr>
        <sz val="11"/>
        <color rgb="FF000000"/>
        <rFont val="Calibri"/>
      </rPr>
      <t xml:space="preserve">
</t>
    </r>
    <r>
      <rPr>
        <sz val="11"/>
        <color rgb="FF000000"/>
        <rFont val="Calibri"/>
      </rPr>
      <t>If 802.1x authentication or MAB is not configured on all access switch ports connecting to LAN outlets or devices not located in the telecom room, wiring closets, or equipment rooms, this is a finding.</t>
    </r>
  </si>
  <si>
    <t>V-220650</t>
  </si>
  <si>
    <r>
      <rPr>
        <sz val="11"/>
        <rFont val="Calibri"/>
      </rPr>
      <t>The Cisco switch must authenticate all VLAN Trunk Protocol (VTP) messages with a hash function using the most secured cryptographic algorithm available.</t>
    </r>
  </si>
  <si>
    <r>
      <rPr>
        <sz val="11"/>
        <color rgb="FF000000"/>
        <rFont val="Calibri"/>
      </rPr>
      <t>Configure the switch to authenticate all VLAN Trunk Protocol (VTP) messages with a hash function using a configured password as shown in the example below:</t>
    </r>
    <r>
      <rPr>
        <sz val="11"/>
        <color rgb="FF000000"/>
        <rFont val="Calibri"/>
      </rPr>
      <t xml:space="preserve">
</t>
    </r>
    <r>
      <rPr>
        <sz val="11"/>
        <color rgb="FF000000"/>
        <rFont val="Calibri"/>
      </rPr>
      <t>SW1(config)#vtp password xxxxxxxxx</t>
    </r>
  </si>
  <si>
    <r>
      <rPr>
        <sz val="11"/>
        <color rgb="FF000000"/>
        <rFont val="Calibri"/>
      </rPr>
      <t>VLAN Trunk Protocol (VTP) provides central management of VLAN domains, thus reducing administration in a switched network. When configuring a new VLAN on a VTP server, the VLAN is distributed through all switches in the domain. This reduces the need to configure the same VLAN everywhere. VTP pruning preserves bandwidth by preventing VLAN traffic (unknown MAC, broadcast, multicast) from being sent down trunk links when not needed, that is, there are no access switch ports in neighboring switches belonging to such VLANs. An attack can force a digest change for the VTP domain enabling a rogue device to become the VTP server, which could allow unauthorized access to previously blocked VLANs or allow the addition of unauthorized switches into the domain. Authenticating VTP messages with a cryptographic hash function can reduce the risk of the VTP domain's being compromised.</t>
    </r>
  </si>
  <si>
    <r>
      <rPr>
        <sz val="11"/>
        <color rgb="FF000000"/>
        <rFont val="Calibri"/>
      </rPr>
      <t>Review the switch configuration to verify if VTP is enabled using the show vtp status command as shown in the example below:</t>
    </r>
    <r>
      <rPr>
        <sz val="11"/>
        <color rgb="FF000000"/>
        <rFont val="Calibri"/>
      </rPr>
      <t xml:space="preserve">
</t>
    </r>
    <r>
      <rPr>
        <sz val="11"/>
        <color rgb="FF000000"/>
        <rFont val="Calibri"/>
      </rPr>
      <t>Switch#show vtp status</t>
    </r>
    <r>
      <rPr>
        <sz val="11"/>
        <color rgb="FF000000"/>
        <rFont val="Calibri"/>
      </rPr>
      <t xml:space="preserve">
</t>
    </r>
    <r>
      <rPr>
        <sz val="11"/>
        <color rgb="FF000000"/>
        <rFont val="Calibri"/>
      </rPr>
      <t>VTP Version capable : 1 to 3</t>
    </r>
    <r>
      <rPr>
        <sz val="11"/>
        <color rgb="FF000000"/>
        <rFont val="Calibri"/>
      </rPr>
      <t xml:space="preserve">
</t>
    </r>
    <r>
      <rPr>
        <sz val="11"/>
        <color rgb="FF000000"/>
        <rFont val="Calibri"/>
      </rPr>
      <t>VTP version running : 1</t>
    </r>
    <r>
      <rPr>
        <sz val="11"/>
        <color rgb="FF000000"/>
        <rFont val="Calibri"/>
      </rPr>
      <t xml:space="preserve">
</t>
    </r>
    <r>
      <rPr>
        <sz val="11"/>
        <color rgb="FF000000"/>
        <rFont val="Calibri"/>
      </rPr>
      <t xml:space="preserve">VTP Domain Name : </t>
    </r>
    <r>
      <rPr>
        <sz val="11"/>
        <color rgb="FF000000"/>
        <rFont val="Calibri"/>
      </rPr>
      <t xml:space="preserve">
</t>
    </r>
    <r>
      <rPr>
        <sz val="11"/>
        <color rgb="FF000000"/>
        <rFont val="Calibri"/>
      </rPr>
      <t>VTP Pruning Mode : Disabled</t>
    </r>
    <r>
      <rPr>
        <sz val="11"/>
        <color rgb="FF000000"/>
        <rFont val="Calibri"/>
      </rPr>
      <t xml:space="preserve">
</t>
    </r>
    <r>
      <rPr>
        <sz val="11"/>
        <color rgb="FF000000"/>
        <rFont val="Calibri"/>
      </rPr>
      <t>VTP Traps Generation : Disabled</t>
    </r>
    <r>
      <rPr>
        <sz val="11"/>
        <color rgb="FF000000"/>
        <rFont val="Calibri"/>
      </rPr>
      <t xml:space="preserve">
</t>
    </r>
    <r>
      <rPr>
        <sz val="11"/>
        <color rgb="FF000000"/>
        <rFont val="Calibri"/>
      </rPr>
      <t>Device ID : 5e00.0000.8000</t>
    </r>
    <r>
      <rPr>
        <sz val="11"/>
        <color rgb="FF000000"/>
        <rFont val="Calibri"/>
      </rPr>
      <t xml:space="preserve">
</t>
    </r>
    <r>
      <rPr>
        <sz val="11"/>
        <color rgb="FF000000"/>
        <rFont val="Calibri"/>
      </rPr>
      <t>Feature VLAN:</t>
    </r>
    <r>
      <rPr>
        <sz val="11"/>
        <color rgb="FF000000"/>
        <rFont val="Calibri"/>
      </rPr>
      <t xml:space="preserve">
</t>
    </r>
    <r>
      <rPr>
        <sz val="11"/>
        <color rgb="FF000000"/>
        <rFont val="Calibri"/>
      </rPr>
      <t>--------------</t>
    </r>
    <r>
      <rPr>
        <sz val="11"/>
        <color rgb="FF000000"/>
        <rFont val="Calibri"/>
      </rPr>
      <t xml:space="preserve">
</t>
    </r>
    <r>
      <rPr>
        <sz val="11"/>
        <color rgb="FF000000"/>
        <rFont val="Calibri"/>
      </rPr>
      <t>VTP Operating Mode : Off</t>
    </r>
    <r>
      <rPr>
        <sz val="11"/>
        <color rgb="FF000000"/>
        <rFont val="Calibri"/>
      </rPr>
      <t xml:space="preserve">
</t>
    </r>
    <r>
      <rPr>
        <sz val="11"/>
        <color rgb="FF000000"/>
        <rFont val="Calibri"/>
      </rPr>
      <t>Maximum VLANs supported locally : 1005</t>
    </r>
    <r>
      <rPr>
        <sz val="11"/>
        <color rgb="FF000000"/>
        <rFont val="Calibri"/>
      </rPr>
      <t xml:space="preserve">
</t>
    </r>
    <r>
      <rPr>
        <sz val="11"/>
        <color rgb="FF000000"/>
        <rFont val="Calibri"/>
      </rPr>
      <t>Number of existing VLANs : 5</t>
    </r>
    <r>
      <rPr>
        <sz val="11"/>
        <color rgb="FF000000"/>
        <rFont val="Calibri"/>
      </rPr>
      <t xml:space="preserve">
</t>
    </r>
    <r>
      <rPr>
        <sz val="11"/>
        <color rgb="FF000000"/>
        <rFont val="Calibri"/>
      </rPr>
      <t>Configuration Revision : 0</t>
    </r>
    <r>
      <rPr>
        <sz val="11"/>
        <color rgb="FF000000"/>
        <rFont val="Calibri"/>
      </rPr>
      <t xml:space="preserve">
</t>
    </r>
    <r>
      <rPr>
        <sz val="11"/>
        <color rgb="FF000000"/>
        <rFont val="Calibri"/>
      </rPr>
      <t xml:space="preserve">MD5 digest : 0x57 0xCD 0x40 0x65 0x63 0x59 0x47 0xBD </t>
    </r>
    <r>
      <rPr>
        <sz val="11"/>
        <color rgb="FF000000"/>
        <rFont val="Calibri"/>
      </rPr>
      <t xml:space="preserve">
</t>
    </r>
    <r>
      <rPr>
        <sz val="11"/>
        <color rgb="FF000000"/>
        <rFont val="Calibri"/>
      </rPr>
      <t xml:space="preserve"> 0x56 0x9D 0x4A 0x3E 0xA5 0x69 0x35 0xBC </t>
    </r>
    <r>
      <rPr>
        <sz val="11"/>
        <color rgb="FF000000"/>
        <rFont val="Calibri"/>
      </rPr>
      <t xml:space="preserve">
</t>
    </r>
    <r>
      <rPr>
        <sz val="11"/>
        <color rgb="FF000000"/>
        <rFont val="Calibri"/>
      </rPr>
      <t>Switch#</t>
    </r>
    <r>
      <rPr>
        <sz val="11"/>
        <color rgb="FF000000"/>
        <rFont val="Calibri"/>
      </rPr>
      <t xml:space="preserve">
</t>
    </r>
    <r>
      <rPr>
        <sz val="11"/>
        <color rgb="FF000000"/>
        <rFont val="Calibri"/>
      </rPr>
      <t>If mode is set to anything other than off, verify that a password has been configured using the show vtp password command.</t>
    </r>
    <r>
      <rPr>
        <sz val="11"/>
        <color rgb="FF000000"/>
        <rFont val="Calibri"/>
      </rPr>
      <t xml:space="preserve">
</t>
    </r>
    <r>
      <rPr>
        <sz val="11"/>
        <color rgb="FF000000"/>
        <rFont val="Calibri"/>
      </rPr>
      <t>Note: VTP authenticates all messages using an MD5 hash that consists of the VTP version + The VTP Password + VTP Domain + VTP Configuration Revision.</t>
    </r>
    <r>
      <rPr>
        <sz val="11"/>
        <color rgb="FF000000"/>
        <rFont val="Calibri"/>
      </rPr>
      <t xml:space="preserve">
</t>
    </r>
    <r>
      <rPr>
        <sz val="11"/>
        <color rgb="FF000000"/>
        <rFont val="Calibri"/>
      </rPr>
      <t>If VTP is enabled on the switch and is not authenticating VTP messages with a hash function using a configured password, this is a finding.</t>
    </r>
  </si>
  <si>
    <t>V-220651</t>
  </si>
  <si>
    <r>
      <rPr>
        <sz val="11"/>
        <rFont val="Calibri"/>
      </rPr>
      <t>The Cisco switch must manage excess bandwidth to limit the effects of packet flooding types of denial-of-service (DoS) attacks.</t>
    </r>
  </si>
  <si>
    <r>
      <rPr>
        <sz val="11"/>
        <color rgb="FF000000"/>
        <rFont val="Calibri"/>
      </rPr>
      <t>Step 1: Configure class-maps to match on DSCP values as shown in the configuration example below:</t>
    </r>
    <r>
      <rPr>
        <sz val="11"/>
        <color rgb="FF000000"/>
        <rFont val="Calibri"/>
      </rPr>
      <t xml:space="preserve">
</t>
    </r>
    <r>
      <rPr>
        <sz val="11"/>
        <color rgb="FF000000"/>
        <rFont val="Calibri"/>
      </rPr>
      <t>SW1(config-cmap)#class-map match-all C2_VOICE</t>
    </r>
    <r>
      <rPr>
        <sz val="11"/>
        <color rgb="FF000000"/>
        <rFont val="Calibri"/>
      </rPr>
      <t xml:space="preserve">
</t>
    </r>
    <r>
      <rPr>
        <sz val="11"/>
        <color rgb="FF000000"/>
        <rFont val="Calibri"/>
      </rPr>
      <t>SW1(config-cmap)# match ip dscp 47</t>
    </r>
    <r>
      <rPr>
        <sz val="11"/>
        <color rgb="FF000000"/>
        <rFont val="Calibri"/>
      </rPr>
      <t xml:space="preserve">
</t>
    </r>
    <r>
      <rPr>
        <sz val="11"/>
        <color rgb="FF000000"/>
        <rFont val="Calibri"/>
      </rPr>
      <t>SW1(config-cmap)#class-map match-all VOICE</t>
    </r>
    <r>
      <rPr>
        <sz val="11"/>
        <color rgb="FF000000"/>
        <rFont val="Calibri"/>
      </rPr>
      <t xml:space="preserve">
</t>
    </r>
    <r>
      <rPr>
        <sz val="11"/>
        <color rgb="FF000000"/>
        <rFont val="Calibri"/>
      </rPr>
      <t>SW1(config-cmap)# match ip dscp ef</t>
    </r>
    <r>
      <rPr>
        <sz val="11"/>
        <color rgb="FF000000"/>
        <rFont val="Calibri"/>
      </rPr>
      <t xml:space="preserve">
</t>
    </r>
    <r>
      <rPr>
        <sz val="11"/>
        <color rgb="FF000000"/>
        <rFont val="Calibri"/>
      </rPr>
      <t>SW1(config-cmap)#class-map match-all VIDEO</t>
    </r>
    <r>
      <rPr>
        <sz val="11"/>
        <color rgb="FF000000"/>
        <rFont val="Calibri"/>
      </rPr>
      <t xml:space="preserve">
</t>
    </r>
    <r>
      <rPr>
        <sz val="11"/>
        <color rgb="FF000000"/>
        <rFont val="Calibri"/>
      </rPr>
      <t>SW1(config-cmap)# match ip dscp af41</t>
    </r>
    <r>
      <rPr>
        <sz val="11"/>
        <color rgb="FF000000"/>
        <rFont val="Calibri"/>
      </rPr>
      <t xml:space="preserve">
</t>
    </r>
    <r>
      <rPr>
        <sz val="11"/>
        <color rgb="FF000000"/>
        <rFont val="Calibri"/>
      </rPr>
      <t>SW1(config)#class-map match-all PREFERRED_DATA</t>
    </r>
    <r>
      <rPr>
        <sz val="11"/>
        <color rgb="FF000000"/>
        <rFont val="Calibri"/>
      </rPr>
      <t xml:space="preserve">
</t>
    </r>
    <r>
      <rPr>
        <sz val="11"/>
        <color rgb="FF000000"/>
        <rFont val="Calibri"/>
      </rPr>
      <t>SW1(config-cmap)# match ip dscp af33</t>
    </r>
    <r>
      <rPr>
        <sz val="11"/>
        <color rgb="FF000000"/>
        <rFont val="Calibri"/>
      </rPr>
      <t xml:space="preserve">
</t>
    </r>
    <r>
      <rPr>
        <sz val="11"/>
        <color rgb="FF000000"/>
        <rFont val="Calibri"/>
      </rPr>
      <t>SW1(config-cmap)#exit</t>
    </r>
    <r>
      <rPr>
        <sz val="11"/>
        <color rgb="FF000000"/>
        <rFont val="Calibri"/>
      </rPr>
      <t xml:space="preserve">
</t>
    </r>
    <r>
      <rPr>
        <sz val="11"/>
        <color rgb="FF000000"/>
        <rFont val="Calibri"/>
      </rPr>
      <t>Step 2: Configure a policy map to be applied to the core-layer-facing interface that reserves the bandwidth for each traffic type as shown in the example below:</t>
    </r>
    <r>
      <rPr>
        <sz val="11"/>
        <color rgb="FF000000"/>
        <rFont val="Calibri"/>
      </rPr>
      <t xml:space="preserve">
</t>
    </r>
    <r>
      <rPr>
        <sz val="11"/>
        <color rgb="FF000000"/>
        <rFont val="Calibri"/>
      </rPr>
      <t>SW1(config)#policy-map QOS_POLICY_SWITCHPORT</t>
    </r>
    <r>
      <rPr>
        <sz val="11"/>
        <color rgb="FF000000"/>
        <rFont val="Calibri"/>
      </rPr>
      <t xml:space="preserve">
</t>
    </r>
    <r>
      <rPr>
        <sz val="11"/>
        <color rgb="FF000000"/>
        <rFont val="Calibri"/>
      </rPr>
      <t>SW1(config-pmap-c)#class C2_VOICE</t>
    </r>
    <r>
      <rPr>
        <sz val="11"/>
        <color rgb="FF000000"/>
        <rFont val="Calibri"/>
      </rPr>
      <t xml:space="preserve">
</t>
    </r>
    <r>
      <rPr>
        <sz val="11"/>
        <color rgb="FF000000"/>
        <rFont val="Calibri"/>
      </rPr>
      <t>SW1(config-pmap-c)# priority level 1 10</t>
    </r>
    <r>
      <rPr>
        <sz val="11"/>
        <color rgb="FF000000"/>
        <rFont val="Calibri"/>
      </rPr>
      <t xml:space="preserve">
</t>
    </r>
    <r>
      <rPr>
        <sz val="11"/>
        <color rgb="FF000000"/>
        <rFont val="Calibri"/>
      </rPr>
      <t>SW1(config-pmap-c)#class VOICE</t>
    </r>
    <r>
      <rPr>
        <sz val="11"/>
        <color rgb="FF000000"/>
        <rFont val="Calibri"/>
      </rPr>
      <t xml:space="preserve">
</t>
    </r>
    <r>
      <rPr>
        <sz val="11"/>
        <color rgb="FF000000"/>
        <rFont val="Calibri"/>
      </rPr>
      <t>SW1(config-pmap-c)# priority level 2 15</t>
    </r>
    <r>
      <rPr>
        <sz val="11"/>
        <color rgb="FF000000"/>
        <rFont val="Calibri"/>
      </rPr>
      <t xml:space="preserve">
</t>
    </r>
    <r>
      <rPr>
        <sz val="11"/>
        <color rgb="FF000000"/>
        <rFont val="Calibri"/>
      </rPr>
      <t>SW1(config-pmap-c)#class VIDEO</t>
    </r>
    <r>
      <rPr>
        <sz val="11"/>
        <color rgb="FF000000"/>
        <rFont val="Calibri"/>
      </rPr>
      <t xml:space="preserve">
</t>
    </r>
    <r>
      <rPr>
        <sz val="11"/>
        <color rgb="FF000000"/>
        <rFont val="Calibri"/>
      </rPr>
      <t>SW1(config-pmap-c)#bandwidth percent 25</t>
    </r>
    <r>
      <rPr>
        <sz val="11"/>
        <color rgb="FF000000"/>
        <rFont val="Calibri"/>
      </rPr>
      <t xml:space="preserve">
</t>
    </r>
    <r>
      <rPr>
        <sz val="11"/>
        <color rgb="FF000000"/>
        <rFont val="Calibri"/>
      </rPr>
      <t>SW1(config-pmap-c)#class PREFERRED_DATA</t>
    </r>
    <r>
      <rPr>
        <sz val="11"/>
        <color rgb="FF000000"/>
        <rFont val="Calibri"/>
      </rPr>
      <t xml:space="preserve">
</t>
    </r>
    <r>
      <rPr>
        <sz val="11"/>
        <color rgb="FF000000"/>
        <rFont val="Calibri"/>
      </rPr>
      <t>SW1(config-pmap-c)#bandwidth percent 25</t>
    </r>
    <r>
      <rPr>
        <sz val="11"/>
        <color rgb="FF000000"/>
        <rFont val="Calibri"/>
      </rPr>
      <t xml:space="preserve">
</t>
    </r>
    <r>
      <rPr>
        <sz val="11"/>
        <color rgb="FF000000"/>
        <rFont val="Calibri"/>
      </rPr>
      <t>SW1(config-pmap-c)#class class-default</t>
    </r>
    <r>
      <rPr>
        <sz val="11"/>
        <color rgb="FF000000"/>
        <rFont val="Calibri"/>
      </rPr>
      <t xml:space="preserve">
</t>
    </r>
    <r>
      <rPr>
        <sz val="11"/>
        <color rgb="FF000000"/>
        <rFont val="Calibri"/>
      </rPr>
      <t>SW1(config-pmap-c)#bandwidth percent 25</t>
    </r>
    <r>
      <rPr>
        <sz val="11"/>
        <color rgb="FF000000"/>
        <rFont val="Calibri"/>
      </rPr>
      <t xml:space="preserve">
</t>
    </r>
    <r>
      <rPr>
        <sz val="11"/>
        <color rgb="FF000000"/>
        <rFont val="Calibri"/>
      </rPr>
      <t>SW1(config-pmap-c)#exit</t>
    </r>
    <r>
      <rPr>
        <sz val="11"/>
        <color rgb="FF000000"/>
        <rFont val="Calibri"/>
      </rPr>
      <t xml:space="preserve">
</t>
    </r>
    <r>
      <rPr>
        <sz val="11"/>
        <color rgb="FF000000"/>
        <rFont val="Calibri"/>
      </rPr>
      <t>SW1(config-pmap)#exit</t>
    </r>
    <r>
      <rPr>
        <sz val="11"/>
        <color rgb="FF000000"/>
        <rFont val="Calibri"/>
      </rPr>
      <t xml:space="preserve">
</t>
    </r>
    <r>
      <rPr>
        <sz val="11"/>
        <color rgb="FF000000"/>
        <rFont val="Calibri"/>
      </rPr>
      <t>Step 3: Apply the output service policy to the core-layer-facing interface as shown in the configuration example below:</t>
    </r>
    <r>
      <rPr>
        <sz val="11"/>
        <color rgb="FF000000"/>
        <rFont val="Calibri"/>
      </rPr>
      <t xml:space="preserve">
</t>
    </r>
    <r>
      <rPr>
        <sz val="11"/>
        <color rgb="FF000000"/>
        <rFont val="Calibri"/>
      </rPr>
      <t>SW1(config)#int g1/1</t>
    </r>
    <r>
      <rPr>
        <sz val="11"/>
        <color rgb="FF000000"/>
        <rFont val="Calibri"/>
      </rPr>
      <t xml:space="preserve">
</t>
    </r>
    <r>
      <rPr>
        <sz val="11"/>
        <color rgb="FF000000"/>
        <rFont val="Calibri"/>
      </rPr>
      <t>SW1(config-if)#service-policy output QOS_POLICY_SWITCHPORT</t>
    </r>
    <r>
      <rPr>
        <sz val="11"/>
        <color rgb="FF000000"/>
        <rFont val="Calibri"/>
      </rPr>
      <t xml:space="preserve">
</t>
    </r>
    <r>
      <rPr>
        <sz val="11"/>
        <color rgb="FF000000"/>
        <rFont val="Calibri"/>
      </rPr>
      <t>SW1(config-if)#exit</t>
    </r>
    <r>
      <rPr>
        <sz val="11"/>
        <color rgb="FF000000"/>
        <rFont val="Calibri"/>
      </rPr>
      <t xml:space="preserve">
</t>
    </r>
    <r>
      <rPr>
        <sz val="11"/>
        <color rgb="FF000000"/>
        <rFont val="Calibri"/>
      </rPr>
      <t>SW1(config)#int g1/2</t>
    </r>
    <r>
      <rPr>
        <sz val="11"/>
        <color rgb="FF000000"/>
        <rFont val="Calibri"/>
      </rPr>
      <t xml:space="preserve">
</t>
    </r>
    <r>
      <rPr>
        <sz val="11"/>
        <color rgb="FF000000"/>
        <rFont val="Calibri"/>
      </rPr>
      <t>SW1(config-if)#service-policy output QOS_POLICY_SWITCHPORT</t>
    </r>
    <r>
      <rPr>
        <sz val="11"/>
        <color rgb="FF000000"/>
        <rFont val="Calibri"/>
      </rPr>
      <t xml:space="preserve">
</t>
    </r>
    <r>
      <rPr>
        <sz val="11"/>
        <color rgb="FF000000"/>
        <rFont val="Calibri"/>
      </rPr>
      <t>SW1(config-if)#exit</t>
    </r>
    <r>
      <rPr>
        <sz val="11"/>
        <color rgb="FF000000"/>
        <rFont val="Calibri"/>
      </rPr>
      <t xml:space="preserve">
</t>
    </r>
    <r>
      <rPr>
        <sz val="11"/>
        <color rgb="FF000000"/>
        <rFont val="Calibri"/>
      </rPr>
      <t>SW1(config)#int g1/3</t>
    </r>
    <r>
      <rPr>
        <sz val="11"/>
        <color rgb="FF000000"/>
        <rFont val="Calibri"/>
      </rPr>
      <t xml:space="preserve">
</t>
    </r>
    <r>
      <rPr>
        <sz val="11"/>
        <color rgb="FF000000"/>
        <rFont val="Calibri"/>
      </rPr>
      <t>SW1(config-if)#service-policy output QOS_POLICY_SWITCHPORT</t>
    </r>
    <r>
      <rPr>
        <sz val="11"/>
        <color rgb="FF000000"/>
        <rFont val="Calibri"/>
      </rPr>
      <t xml:space="preserve">
</t>
    </r>
    <r>
      <rPr>
        <sz val="11"/>
        <color rgb="FF000000"/>
        <rFont val="Calibri"/>
      </rPr>
      <t>SW1(config-if)#end.</t>
    </r>
  </si>
  <si>
    <r>
      <rPr>
        <sz val="11"/>
        <color rgb="FF000000"/>
        <rFont val="Calibri"/>
      </rPr>
      <t>Denial of service is a condition when a resource is not available for legitimate users. Packet flooding distributed DoS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by using readily available tools such as Low Orbit Ion Cannon or by using botnets.</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</si>
  <si>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Step 1: Verify that the class-maps are configured to match on DSCP values as shown in the configuration example below:</t>
    </r>
    <r>
      <rPr>
        <sz val="11"/>
        <color rgb="FF000000"/>
        <rFont val="Calibri"/>
      </rPr>
      <t xml:space="preserve">
</t>
    </r>
    <r>
      <rPr>
        <sz val="11"/>
        <color rgb="FF000000"/>
        <rFont val="Calibri"/>
      </rPr>
      <t>class-map match-all C2_VOICE</t>
    </r>
    <r>
      <rPr>
        <sz val="11"/>
        <color rgb="FF000000"/>
        <rFont val="Calibri"/>
      </rPr>
      <t xml:space="preserve">
</t>
    </r>
    <r>
      <rPr>
        <sz val="11"/>
        <color rgb="FF000000"/>
        <rFont val="Calibri"/>
      </rPr>
      <t xml:space="preserve"> match ip dscp 47</t>
    </r>
    <r>
      <rPr>
        <sz val="11"/>
        <color rgb="FF000000"/>
        <rFont val="Calibri"/>
      </rPr>
      <t xml:space="preserve">
</t>
    </r>
    <r>
      <rPr>
        <sz val="11"/>
        <color rgb="FF000000"/>
        <rFont val="Calibri"/>
      </rPr>
      <t>class-map match-all VOICE</t>
    </r>
    <r>
      <rPr>
        <sz val="11"/>
        <color rgb="FF000000"/>
        <rFont val="Calibri"/>
      </rPr>
      <t xml:space="preserve">
</t>
    </r>
    <r>
      <rPr>
        <sz val="11"/>
        <color rgb="FF000000"/>
        <rFont val="Calibri"/>
      </rPr>
      <t xml:space="preserve"> match ip dscp ef</t>
    </r>
    <r>
      <rPr>
        <sz val="11"/>
        <color rgb="FF000000"/>
        <rFont val="Calibri"/>
      </rPr>
      <t xml:space="preserve">
</t>
    </r>
    <r>
      <rPr>
        <sz val="11"/>
        <color rgb="FF000000"/>
        <rFont val="Calibri"/>
      </rPr>
      <t>class-map match-all VIDEO</t>
    </r>
    <r>
      <rPr>
        <sz val="11"/>
        <color rgb="FF000000"/>
        <rFont val="Calibri"/>
      </rPr>
      <t xml:space="preserve">
</t>
    </r>
    <r>
      <rPr>
        <sz val="11"/>
        <color rgb="FF000000"/>
        <rFont val="Calibri"/>
      </rPr>
      <t xml:space="preserve"> match ip dscp af41</t>
    </r>
    <r>
      <rPr>
        <sz val="11"/>
        <color rgb="FF000000"/>
        <rFont val="Calibri"/>
      </rPr>
      <t xml:space="preserve">
</t>
    </r>
    <r>
      <rPr>
        <sz val="11"/>
        <color rgb="FF000000"/>
        <rFont val="Calibri"/>
      </rPr>
      <t>class-map match-all PREFERRED_DATA</t>
    </r>
    <r>
      <rPr>
        <sz val="11"/>
        <color rgb="FF000000"/>
        <rFont val="Calibri"/>
      </rPr>
      <t xml:space="preserve">
</t>
    </r>
    <r>
      <rPr>
        <sz val="11"/>
        <color rgb="FF000000"/>
        <rFont val="Calibri"/>
      </rPr>
      <t xml:space="preserve"> match ip dscp af33</t>
    </r>
    <r>
      <rPr>
        <sz val="11"/>
        <color rgb="FF000000"/>
        <rFont val="Calibri"/>
      </rPr>
      <t xml:space="preserve">
</t>
    </r>
    <r>
      <rPr>
        <sz val="11"/>
        <color rgb="FF000000"/>
        <rFont val="Calibri"/>
      </rPr>
      <t>Step 2: Verify that the policy map reserves the bandwidth for each traffic type as shown in the following example:</t>
    </r>
    <r>
      <rPr>
        <sz val="11"/>
        <color rgb="FF000000"/>
        <rFont val="Calibri"/>
      </rPr>
      <t xml:space="preserve">
</t>
    </r>
    <r>
      <rPr>
        <sz val="11"/>
        <color rgb="FF000000"/>
        <rFont val="Calibri"/>
      </rPr>
      <t>policy-map QOS_POLICY_SWITCHPORT</t>
    </r>
    <r>
      <rPr>
        <sz val="11"/>
        <color rgb="FF000000"/>
        <rFont val="Calibri"/>
      </rPr>
      <t xml:space="preserve">
</t>
    </r>
    <r>
      <rPr>
        <sz val="11"/>
        <color rgb="FF000000"/>
        <rFont val="Calibri"/>
      </rPr>
      <t>class C2_VOICE</t>
    </r>
    <r>
      <rPr>
        <sz val="11"/>
        <color rgb="FF000000"/>
        <rFont val="Calibri"/>
      </rPr>
      <t xml:space="preserve">
</t>
    </r>
    <r>
      <rPr>
        <sz val="11"/>
        <color rgb="FF000000"/>
        <rFont val="Calibri"/>
      </rPr>
      <t xml:space="preserve"> priority level 1 10</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priority level 2 15</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class PREFERRED_DATA</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verone</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switchport trunk allowed vlan 100,110,200</t>
    </r>
    <r>
      <rPr>
        <sz val="11"/>
        <color rgb="FF000000"/>
        <rFont val="Calibri"/>
      </rPr>
      <t xml:space="preserve">
</t>
    </r>
    <r>
      <rPr>
        <sz val="11"/>
        <color rgb="FF000000"/>
        <rFont val="Calibri"/>
      </rPr>
      <t>switchport mode trunk</t>
    </r>
    <r>
      <rPr>
        <sz val="11"/>
        <color rgb="FF000000"/>
        <rFont val="Calibri"/>
      </rPr>
      <t xml:space="preserve">
</t>
    </r>
    <r>
      <rPr>
        <sz val="11"/>
        <color rgb="FF000000"/>
        <rFont val="Calibri"/>
      </rPr>
      <t xml:space="preserve"> service-policy output QOS_POLICY_SWITCHPORT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GigabitEthernet1/2</t>
    </r>
    <r>
      <rPr>
        <sz val="11"/>
        <color rgb="FF000000"/>
        <rFont val="Calibri"/>
      </rPr>
      <t xml:space="preserve">
</t>
    </r>
    <r>
      <rPr>
        <sz val="11"/>
        <color rgb="FF000000"/>
        <rFont val="Calibri"/>
      </rPr>
      <t xml:space="preserve"> switchport access vlan 100</t>
    </r>
    <r>
      <rPr>
        <sz val="11"/>
        <color rgb="FF000000"/>
        <rFont val="Calibri"/>
      </rPr>
      <t xml:space="preserve">
</t>
    </r>
    <r>
      <rPr>
        <sz val="11"/>
        <color rgb="FF000000"/>
        <rFont val="Calibri"/>
      </rPr>
      <t xml:space="preserve"> switchport mode access</t>
    </r>
    <r>
      <rPr>
        <sz val="11"/>
        <color rgb="FF000000"/>
        <rFont val="Calibri"/>
      </rPr>
      <t xml:space="preserve">
</t>
    </r>
    <r>
      <rPr>
        <sz val="11"/>
        <color rgb="FF000000"/>
        <rFont val="Calibri"/>
      </rPr>
      <t xml:space="preserve"> switchport voice vlan 200</t>
    </r>
    <r>
      <rPr>
        <sz val="11"/>
        <color rgb="FF000000"/>
        <rFont val="Calibri"/>
      </rPr>
      <t xml:space="preserve">
</t>
    </r>
    <r>
      <rPr>
        <sz val="11"/>
        <color rgb="FF000000"/>
        <rFont val="Calibri"/>
      </rPr>
      <t xml:space="preserve"> trust device cisco-phone</t>
    </r>
    <r>
      <rPr>
        <sz val="11"/>
        <color rgb="FF000000"/>
        <rFont val="Calibri"/>
      </rPr>
      <t xml:space="preserve">
</t>
    </r>
    <r>
      <rPr>
        <sz val="11"/>
        <color rgb="FF000000"/>
        <rFont val="Calibri"/>
      </rPr>
      <t xml:space="preserve"> service-policy output QOS_POLICY_SWITCHPORT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GigabitEthernet1/2</t>
    </r>
    <r>
      <rPr>
        <sz val="11"/>
        <color rgb="FF000000"/>
        <rFont val="Calibri"/>
      </rPr>
      <t xml:space="preserve">
</t>
    </r>
    <r>
      <rPr>
        <sz val="11"/>
        <color rgb="FF000000"/>
        <rFont val="Calibri"/>
      </rPr>
      <t xml:space="preserve"> switchport access vlan 110</t>
    </r>
    <r>
      <rPr>
        <sz val="11"/>
        <color rgb="FF000000"/>
        <rFont val="Calibri"/>
      </rPr>
      <t xml:space="preserve">
</t>
    </r>
    <r>
      <rPr>
        <sz val="11"/>
        <color rgb="FF000000"/>
        <rFont val="Calibri"/>
      </rPr>
      <t xml:space="preserve"> switchport mode access</t>
    </r>
    <r>
      <rPr>
        <sz val="11"/>
        <color rgb="FF000000"/>
        <rFont val="Calibri"/>
      </rPr>
      <t xml:space="preserve">
</t>
    </r>
    <r>
      <rPr>
        <sz val="11"/>
        <color rgb="FF000000"/>
        <rFont val="Calibri"/>
      </rPr>
      <t xml:space="preserve"> switchport voice vlan 200</t>
    </r>
    <r>
      <rPr>
        <sz val="11"/>
        <color rgb="FF000000"/>
        <rFont val="Calibri"/>
      </rPr>
      <t xml:space="preserve">
</t>
    </r>
    <r>
      <rPr>
        <sz val="11"/>
        <color rgb="FF000000"/>
        <rFont val="Calibri"/>
      </rPr>
      <t xml:space="preserve"> trust device cisco-phone</t>
    </r>
    <r>
      <rPr>
        <sz val="11"/>
        <color rgb="FF000000"/>
        <rFont val="Calibri"/>
      </rPr>
      <t xml:space="preserve">
</t>
    </r>
    <r>
      <rPr>
        <sz val="11"/>
        <color rgb="FF000000"/>
        <rFont val="Calibri"/>
      </rPr>
      <t xml:space="preserve"> service-policy output QOS_POLICY_SWITCHPORT</t>
    </r>
    <r>
      <rPr>
        <sz val="11"/>
        <color rgb="FF000000"/>
        <rFont val="Calibri"/>
      </rPr>
      <t xml:space="preserve">
</t>
    </r>
    <r>
      <rPr>
        <sz val="11"/>
        <color rgb="FF000000"/>
        <rFont val="Calibri"/>
      </rPr>
      <t>If quality of service (QoS) has not been enabled, this is a finding.</t>
    </r>
  </si>
  <si>
    <t>V-220655</t>
  </si>
  <si>
    <r>
      <rPr>
        <sz val="11"/>
        <rFont val="Calibri"/>
      </rPr>
      <t>The Cisco switch must have Root Guard enabled on all switch ports connecting to access layer switches.</t>
    </r>
  </si>
  <si>
    <t>CAT III (Low)</t>
  </si>
  <si>
    <r>
      <rPr>
        <sz val="11"/>
        <color rgb="FF000000"/>
        <rFont val="Calibri"/>
      </rPr>
      <t>Configure the switch to have Root Guard enabled on all ports connecting to access layer switches.</t>
    </r>
    <r>
      <rPr>
        <sz val="11"/>
        <color rgb="FF000000"/>
        <rFont val="Calibri"/>
      </rPr>
      <t xml:space="preserve">
</t>
    </r>
    <r>
      <rPr>
        <sz val="11"/>
        <color rgb="FF000000"/>
        <rFont val="Calibri"/>
      </rPr>
      <t>SW1(config)#int range g0/0 - 9</t>
    </r>
    <r>
      <rPr>
        <sz val="11"/>
        <color rgb="FF000000"/>
        <rFont val="Calibri"/>
      </rPr>
      <t xml:space="preserve">
</t>
    </r>
    <r>
      <rPr>
        <sz val="11"/>
        <color rgb="FF000000"/>
        <rFont val="Calibri"/>
      </rPr>
      <t>SW1(config-if-range)#spanning-tree guard root</t>
    </r>
  </si>
  <si>
    <r>
      <rPr>
        <sz val="11"/>
        <color rgb="FF000000"/>
        <rFont val="Calibri"/>
      </rPr>
      <t>Spanning Tree Protocol (STP) does not provide any means for the network administrator to securely enforce the topology of the switched network. Any switch can be the root bridge in a network. However, a more optimal forwarding topology places the root bridge at a specific predetermined location. With the standard STP, any bridge in the network with a lower bridge ID takes the role of the root bridge. The administrator cannot enforce the position of the root bridge but can set the root bridge priority to 0 in an effort to secure the root bridge position.</t>
    </r>
    <r>
      <rPr>
        <sz val="11"/>
        <color rgb="FF000000"/>
        <rFont val="Calibri"/>
      </rPr>
      <t xml:space="preserve">
</t>
    </r>
    <r>
      <rPr>
        <sz val="11"/>
        <color rgb="FF000000"/>
        <rFont val="Calibri"/>
      </rPr>
      <t>The root guard feature provides a way to enforce the root bridge placement in the network. If the bridge receives superior STP Bridge Protocol Data Units (BPDUs) on a root guard-enabled port, root guard moves this port to a root-inconsistent STP state and no traffic can be forwarded across this port while it is in this state. To enforce the position of the root bridge it is imperative that root guard is enabled on all ports where the root bridge should never appear.</t>
    </r>
  </si>
  <si>
    <r>
      <rPr>
        <sz val="11"/>
        <color rgb="FF000000"/>
        <rFont val="Calibri"/>
      </rPr>
      <t>Review the switch topology as well as the configuration to verify that Root Guard is enabled on all switch ports connecting to access layer switches.</t>
    </r>
    <r>
      <rPr>
        <sz val="11"/>
        <color rgb="FF000000"/>
        <rFont val="Calibri"/>
      </rPr>
      <t xml:space="preserve">
</t>
    </r>
    <r>
      <rPr>
        <sz val="11"/>
        <color rgb="FF000000"/>
        <rFont val="Calibri"/>
      </rPr>
      <t>interface GigabitEthernet0/0</t>
    </r>
    <r>
      <rPr>
        <sz val="11"/>
        <color rgb="FF000000"/>
        <rFont val="Calibri"/>
      </rPr>
      <t xml:space="preserve">
</t>
    </r>
    <r>
      <rPr>
        <sz val="11"/>
        <color rgb="FF000000"/>
        <rFont val="Calibri"/>
      </rPr>
      <t xml:space="preserve"> spanning-tree guard root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spanning-tree guard root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interface GigabitEthernet0/9 </t>
    </r>
    <r>
      <rPr>
        <sz val="11"/>
        <color rgb="FF000000"/>
        <rFont val="Calibri"/>
      </rPr>
      <t xml:space="preserve">
</t>
    </r>
    <r>
      <rPr>
        <sz val="11"/>
        <color rgb="FF000000"/>
        <rFont val="Calibri"/>
      </rPr>
      <t xml:space="preserve"> spanning-tree guard root</t>
    </r>
    <r>
      <rPr>
        <sz val="11"/>
        <color rgb="FF000000"/>
        <rFont val="Calibri"/>
      </rPr>
      <t xml:space="preserve">
</t>
    </r>
    <r>
      <rPr>
        <sz val="11"/>
        <color rgb="FF000000"/>
        <rFont val="Calibri"/>
      </rPr>
      <t>If the switch has not enabled Root Guard on all switch ports connecting to access layer switches, this is a finding.</t>
    </r>
  </si>
  <si>
    <t>V-220656</t>
  </si>
  <si>
    <r>
      <rPr>
        <sz val="11"/>
        <rFont val="Calibri"/>
      </rPr>
      <t>The Cisco switch must have BPDU Guard enabled on all user-facing or untrusted access switch ports.</t>
    </r>
  </si>
  <si>
    <r>
      <rPr>
        <sz val="11"/>
        <color rgb="FF000000"/>
        <rFont val="Calibri"/>
      </rPr>
      <t>Ensure that BPDU Guard is enabled on all user-facing or untrusted access switch ports as shown in the configuration example below:</t>
    </r>
    <r>
      <rPr>
        <sz val="11"/>
        <color rgb="FF000000"/>
        <rFont val="Calibri"/>
      </rPr>
      <t xml:space="preserve">
</t>
    </r>
    <r>
      <rPr>
        <sz val="11"/>
        <color rgb="FF000000"/>
        <rFont val="Calibri"/>
      </rPr>
      <t>SW1(config)#int range g0/0 - 9</t>
    </r>
    <r>
      <rPr>
        <sz val="11"/>
        <color rgb="FF000000"/>
        <rFont val="Calibri"/>
      </rPr>
      <t xml:space="preserve">
</t>
    </r>
    <r>
      <rPr>
        <sz val="11"/>
        <color rgb="FF000000"/>
        <rFont val="Calibri"/>
      </rPr>
      <t>SW1(config-if-range)#spanning-tree bpduguard enable</t>
    </r>
    <r>
      <rPr>
        <sz val="11"/>
        <color rgb="FF000000"/>
        <rFont val="Calibri"/>
      </rPr>
      <t xml:space="preserve">
</t>
    </r>
    <r>
      <rPr>
        <sz val="11"/>
        <color rgb="FF000000"/>
        <rFont val="Calibri"/>
      </rPr>
      <t>Note: BPDU guard can also be enabled globally on all Port Fast-enabled ports by using the spanning-tree portfast bpduguard default command.</t>
    </r>
  </si>
  <si>
    <r>
      <rPr>
        <sz val="11"/>
        <color rgb="FF000000"/>
        <rFont val="Calibri"/>
      </rPr>
      <t>If a rogue switch is introduced into the topology and transmits a Bridge Protocol Data Unit (BPDU) with a lower bridge priority than the existing root bridge, it will become the new root bridge and cause a topology change, rendering the network in a suboptimal state. The STP PortFast BPDU guard enhancement allows network designers to enforce the STP domain borders and keep the active topology predictable. The devices behind the ports that have STP PortFast enabled are not able to influence the STP topology. At the reception of BPDUs, the BPDU guard operation disables the port that has PortFast configured. The BPDU guard transitions the port into errdisable state and sends a log message.</t>
    </r>
  </si>
  <si>
    <r>
      <rPr>
        <sz val="11"/>
        <color rgb="FF000000"/>
        <rFont val="Calibri"/>
      </rPr>
      <t>Review the switch configuration to verify that BPDU Guard is enabled on all user-facing or untrusted access switch ports as shown in the configuration example below:</t>
    </r>
    <r>
      <rPr>
        <sz val="11"/>
        <color rgb="FF000000"/>
        <rFont val="Calibri"/>
      </rPr>
      <t xml:space="preserve">
</t>
    </r>
    <r>
      <rPr>
        <sz val="11"/>
        <color rgb="FF000000"/>
        <rFont val="Calibri"/>
      </rPr>
      <t>interface GigabitEthernet0/0</t>
    </r>
    <r>
      <rPr>
        <sz val="11"/>
        <color rgb="FF000000"/>
        <rFont val="Calibri"/>
      </rPr>
      <t xml:space="preserve">
</t>
    </r>
    <r>
      <rPr>
        <sz val="11"/>
        <color rgb="FF000000"/>
        <rFont val="Calibri"/>
      </rPr>
      <t xml:space="preserve"> spanning-tree bpduguard enable</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spanning-tree bpduguard enable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interface GigabitEthernet0/9 </t>
    </r>
    <r>
      <rPr>
        <sz val="11"/>
        <color rgb="FF000000"/>
        <rFont val="Calibri"/>
      </rPr>
      <t xml:space="preserve">
</t>
    </r>
    <r>
      <rPr>
        <sz val="11"/>
        <color rgb="FF000000"/>
        <rFont val="Calibri"/>
      </rPr>
      <t xml:space="preserve"> spanning-tree bpduguard enable</t>
    </r>
    <r>
      <rPr>
        <sz val="11"/>
        <color rgb="FF000000"/>
        <rFont val="Calibri"/>
      </rPr>
      <t xml:space="preserve">
</t>
    </r>
    <r>
      <rPr>
        <sz val="11"/>
        <color rgb="FF000000"/>
        <rFont val="Calibri"/>
      </rPr>
      <t>If the switch has not enabled BPDU Guard, this is a finding.</t>
    </r>
  </si>
  <si>
    <t>V-220657</t>
  </si>
  <si>
    <r>
      <rPr>
        <sz val="11"/>
        <rFont val="Calibri"/>
      </rPr>
      <t>The Cisco switch must have STP Loop Guard enabled.</t>
    </r>
  </si>
  <si>
    <r>
      <rPr>
        <sz val="11"/>
        <color rgb="FF000000"/>
        <rFont val="Calibri"/>
      </rPr>
      <t>Configure the switch to have STP Loop Guard enabled via the spanning-tree loopguard default global command.</t>
    </r>
  </si>
  <si>
    <r>
      <rPr>
        <sz val="11"/>
        <color rgb="FF000000"/>
        <rFont val="Calibri"/>
      </rPr>
      <t>The Spanning Tree Protocol (STP) loop guard feature provides additional protection against STP loops. An STP loop is created when an STP blocking port in a redundant topology erroneously transitions to the forwarding state. In its operation, STP relies on continuous reception and transmission of BPDUs based on the port role. The designated port transmits BPDUs, and the non-designated port receives BPDUs. When one of the ports in a physically redundant topology no longer receives BPDUs, the STP conceives that the topology is loop free. Eventually, the blocking port from the alternate or backup port becomes a designated port and moves to a forwarding state. This situation creates a loop. The loop guard feature makes additional checks. If BPDUs are not received on a non-designated port and loop guard is enabled, that port is moved into the STP loop-inconsistent blocking state.</t>
    </r>
  </si>
  <si>
    <r>
      <rPr>
        <sz val="11"/>
        <color rgb="FF000000"/>
        <rFont val="Calibri"/>
      </rPr>
      <t>Review the switch configuration to verify that STP Loop Guard is enabled as shown in the configuration example below:</t>
    </r>
    <r>
      <rPr>
        <sz val="11"/>
        <color rgb="FF000000"/>
        <rFont val="Calibri"/>
      </rPr>
      <t xml:space="preserve">
</t>
    </r>
    <r>
      <rPr>
        <sz val="11"/>
        <color rgb="FF000000"/>
        <rFont val="Calibri"/>
      </rPr>
      <t>hostname SW2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spanning-tree mode pvst</t>
    </r>
    <r>
      <rPr>
        <sz val="11"/>
        <color rgb="FF000000"/>
        <rFont val="Calibri"/>
      </rPr>
      <t xml:space="preserve">
</t>
    </r>
    <r>
      <rPr>
        <sz val="11"/>
        <color rgb="FF000000"/>
        <rFont val="Calibri"/>
      </rPr>
      <t>spanning-tree loopguard default</t>
    </r>
    <r>
      <rPr>
        <sz val="11"/>
        <color rgb="FF000000"/>
        <rFont val="Calibri"/>
      </rPr>
      <t xml:space="preserve">
</t>
    </r>
    <r>
      <rPr>
        <sz val="11"/>
        <color rgb="FF000000"/>
        <rFont val="Calibri"/>
      </rPr>
      <t>If STP Loop Guard is not enabled, this is a finding.</t>
    </r>
  </si>
  <si>
    <t>V-220658</t>
  </si>
  <si>
    <r>
      <rPr>
        <sz val="11"/>
        <rFont val="Calibri"/>
      </rPr>
      <t>The Cisco switch must have Unknown Unicast Flood Blocking (UUFB) enabled.</t>
    </r>
  </si>
  <si>
    <r>
      <rPr>
        <sz val="11"/>
        <color rgb="FF000000"/>
        <rFont val="Calibri"/>
      </rPr>
      <t>Configure the switch to have Unknown Unicast Flood Blocking (UUFB) enabled as shown in the configuration example below:</t>
    </r>
    <r>
      <rPr>
        <sz val="11"/>
        <color rgb="FF000000"/>
        <rFont val="Calibri"/>
      </rPr>
      <t xml:space="preserve">
</t>
    </r>
    <r>
      <rPr>
        <sz val="11"/>
        <color rgb="FF000000"/>
        <rFont val="Calibri"/>
      </rPr>
      <t>SW1(config)#int range g0/0 - 9</t>
    </r>
    <r>
      <rPr>
        <sz val="11"/>
        <color rgb="FF000000"/>
        <rFont val="Calibri"/>
      </rPr>
      <t xml:space="preserve">
</t>
    </r>
    <r>
      <rPr>
        <sz val="11"/>
        <color rgb="FF000000"/>
        <rFont val="Calibri"/>
      </rPr>
      <t>SW1(config-if-range)#switchport block unicast</t>
    </r>
  </si>
  <si>
    <r>
      <rPr>
        <sz val="11"/>
        <color rgb="FF000000"/>
        <rFont val="Calibri"/>
      </rPr>
      <t>Access layer switches use the Content Addressable Memory (CAM) table to direct traffic to specific ports based on the VLAN number and the destination MAC address of the frame. When a router has an Address Resolution Protocol (ARP) entry for a destination host and forwards it to the access layer switch and there is no entry corresponding to the frame's destination MAC address in the incoming VLAN, the frame will be sent to all forwarding ports within the respective VLAN, which causes flooding. Large amounts of flooded traffic can saturate low-bandwidth links, causing network performance issues or complete connectivity outage to the connected devices. Unknown unicast flooding has been a nagging problem in networks that have asymmetric routing and default timers. To mitigate the risk of a connectivity outage, the Unknown Unicast Flood Blocking (UUFB) feature must be implemented on all access layer switches. The UUFB feature will block unknown unicast traffic flooding and only permit egress traffic with MAC addresses that are known to exit on the port.</t>
    </r>
  </si>
  <si>
    <r>
      <rPr>
        <sz val="11"/>
        <color rgb="FF000000"/>
        <rFont val="Calibri"/>
      </rPr>
      <t>Review the switch configuration to verify that UUFB is enabled on all access switch ports as shown in the configuration example below:</t>
    </r>
    <r>
      <rPr>
        <sz val="11"/>
        <color rgb="FF000000"/>
        <rFont val="Calibri"/>
      </rPr>
      <t xml:space="preserve">
</t>
    </r>
    <r>
      <rPr>
        <sz val="11"/>
        <color rgb="FF000000"/>
        <rFont val="Calibri"/>
      </rPr>
      <t>interface GigabitEthernet0/0</t>
    </r>
    <r>
      <rPr>
        <sz val="11"/>
        <color rgb="FF000000"/>
        <rFont val="Calibri"/>
      </rPr>
      <t xml:space="preserve">
</t>
    </r>
    <r>
      <rPr>
        <sz val="11"/>
        <color rgb="FF000000"/>
        <rFont val="Calibri"/>
      </rPr>
      <t xml:space="preserve"> switchport block unicast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switchport block unicast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interface GigabitEthernet0/9 </t>
    </r>
    <r>
      <rPr>
        <sz val="11"/>
        <color rgb="FF000000"/>
        <rFont val="Calibri"/>
      </rPr>
      <t xml:space="preserve">
</t>
    </r>
    <r>
      <rPr>
        <sz val="11"/>
        <color rgb="FF000000"/>
        <rFont val="Calibri"/>
      </rPr>
      <t xml:space="preserve"> switchport block unicast</t>
    </r>
    <r>
      <rPr>
        <sz val="11"/>
        <color rgb="FF000000"/>
        <rFont val="Calibri"/>
      </rPr>
      <t xml:space="preserve">
</t>
    </r>
    <r>
      <rPr>
        <sz val="11"/>
        <color rgb="FF000000"/>
        <rFont val="Calibri"/>
      </rPr>
      <t>If any access switch ports do not have UUFB enabled, this is a finding.</t>
    </r>
  </si>
  <si>
    <t>V-220659</t>
  </si>
  <si>
    <r>
      <rPr>
        <sz val="11"/>
        <rFont val="Calibri"/>
      </rPr>
      <t>The Cisco switch must have DHCP snooping for all user VLANs to validate DHCP messages from untrusted sources.</t>
    </r>
  </si>
  <si>
    <r>
      <rPr>
        <sz val="11"/>
        <color rgb="FF000000"/>
        <rFont val="Calibri"/>
      </rPr>
      <t xml:space="preserve">Configure the switch to have DHCP snooping for all user VLANs to validate DHCP messages from untrusted sources as shown in the example below: </t>
    </r>
    <r>
      <rPr>
        <sz val="11"/>
        <color rgb="FF000000"/>
        <rFont val="Calibri"/>
      </rPr>
      <t xml:space="preserve">
</t>
    </r>
    <r>
      <rPr>
        <sz val="11"/>
        <color rgb="FF000000"/>
        <rFont val="Calibri"/>
      </rPr>
      <t>SW2(config)#ip dhcp snooping</t>
    </r>
    <r>
      <rPr>
        <sz val="11"/>
        <color rgb="FF000000"/>
        <rFont val="Calibri"/>
      </rPr>
      <t xml:space="preserve">
</t>
    </r>
    <r>
      <rPr>
        <sz val="11"/>
        <color rgb="FF000000"/>
        <rFont val="Calibri"/>
      </rPr>
      <t>SW2(config)#ip dhcp snooping vlan 2,4-8,11</t>
    </r>
  </si>
  <si>
    <r>
      <rPr>
        <sz val="11"/>
        <color rgb="FF000000"/>
        <rFont val="Calibri"/>
      </rPr>
      <t>In an enterprise network, devices under administrative control are trusted sources. These devices include the switches, routers, and servers in the network. Host ports and unknown DHCP servers are considered untrusted sources. An unknown DHCP server on the network on an untrusted port is called a spurious DHCP server, any device (PC, Wireless Access Point) that is loaded with DHCP server enabled. The DHCP snooping feature determines whether traffic sources are trusted or untrusted. The potential exists for a spurious DHCP server to respond to DHCPDISCOVER messages before the real server has time to respond. DHCP snooping allows switches on the network to trust the port a DHCP server is connected to and not trust the other ports.</t>
    </r>
    <r>
      <rPr>
        <sz val="11"/>
        <color rgb="FF000000"/>
        <rFont val="Calibri"/>
      </rPr>
      <t xml:space="preserve">
</t>
    </r>
    <r>
      <rPr>
        <sz val="11"/>
        <color rgb="FF000000"/>
        <rFont val="Calibri"/>
      </rPr>
      <t>The DHCP snooping feature validates DHCP messages received from untrusted sources and filters out invalid messages as well as rate-limits DHCP traffic from trusted and untrusted sources. DHCP snooping feature builds and maintains a binding database, which contains information about untrusted hosts with leased IP addresses, and it utilizes the database to validate subsequent requests from untrusted hosts. Other security features, such as IP Source Guard and Dynamic Address Resolution Protocol (ARP) Inspection (DAI), also use information stored in the DHCP snooping binding database. Hence, it is imperative that the DHCP snooping feature is enabled on all VLANs.</t>
    </r>
  </si>
  <si>
    <r>
      <rPr>
        <sz val="11"/>
        <color rgb="FF000000"/>
        <rFont val="Calibri"/>
      </rPr>
      <t>Review the switch configuration and verify that DHCP snooping is enabled on all user VLANs as shown in the example below:</t>
    </r>
    <r>
      <rPr>
        <sz val="11"/>
        <color rgb="FF000000"/>
        <rFont val="Calibri"/>
      </rPr>
      <t xml:space="preserve">
</t>
    </r>
    <r>
      <rPr>
        <sz val="11"/>
        <color rgb="FF000000"/>
        <rFont val="Calibri"/>
      </rPr>
      <t>hostname SW2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dhcp snooping vlan 2,4-8,11</t>
    </r>
    <r>
      <rPr>
        <sz val="11"/>
        <color rgb="FF000000"/>
        <rFont val="Calibri"/>
      </rPr>
      <t xml:space="preserve">
</t>
    </r>
    <r>
      <rPr>
        <sz val="11"/>
        <color rgb="FF000000"/>
        <rFont val="Calibri"/>
      </rPr>
      <t>ip dhcp snooping</t>
    </r>
    <r>
      <rPr>
        <sz val="11"/>
        <color rgb="FF000000"/>
        <rFont val="Calibri"/>
      </rPr>
      <t xml:space="preserve">
</t>
    </r>
    <r>
      <rPr>
        <sz val="11"/>
        <color rgb="FF000000"/>
        <rFont val="Calibri"/>
      </rPr>
      <t>Note: Switchports assigned to a user VLAN would have drops in the area where the user community would reside; hence, the "untrusted" term is used. Server and printer VLANs would not be applicable.</t>
    </r>
    <r>
      <rPr>
        <sz val="11"/>
        <color rgb="FF000000"/>
        <rFont val="Calibri"/>
      </rPr>
      <t xml:space="preserve">
</t>
    </r>
    <r>
      <rPr>
        <sz val="11"/>
        <color rgb="FF000000"/>
        <rFont val="Calibri"/>
      </rPr>
      <t>If the switch does not have DHCP snooping enabled for all user VLANs to validate DHCP messages from untrusted sources, this is a finding.</t>
    </r>
  </si>
  <si>
    <t>V-220660</t>
  </si>
  <si>
    <r>
      <rPr>
        <sz val="11"/>
        <rFont val="Calibri"/>
      </rPr>
      <t>The Cisco switch must have IP Source Guard enabled on all user-facing or untrusted access switch ports.</t>
    </r>
  </si>
  <si>
    <r>
      <rPr>
        <sz val="11"/>
        <color rgb="FF000000"/>
        <rFont val="Calibri"/>
      </rPr>
      <t>Configure the switch to have IP Source Guard enabled on all user-facing or untrusted access switch ports.</t>
    </r>
    <r>
      <rPr>
        <sz val="11"/>
        <color rgb="FF000000"/>
        <rFont val="Calibri"/>
      </rPr>
      <t xml:space="preserve">
</t>
    </r>
    <r>
      <rPr>
        <sz val="11"/>
        <color rgb="FF000000"/>
        <rFont val="Calibri"/>
      </rPr>
      <t>SW2(config)#int range g0/0 - 9</t>
    </r>
    <r>
      <rPr>
        <sz val="11"/>
        <color rgb="FF000000"/>
        <rFont val="Calibri"/>
      </rPr>
      <t xml:space="preserve">
</t>
    </r>
    <r>
      <rPr>
        <sz val="11"/>
        <color rgb="FF000000"/>
        <rFont val="Calibri"/>
      </rPr>
      <t>SW2(config-if-range)#ip verify source</t>
    </r>
  </si>
  <si>
    <r>
      <rPr>
        <sz val="11"/>
        <color rgb="FF000000"/>
        <rFont val="Calibri"/>
      </rPr>
      <t>IP Source Guard provides source IP address filtering on a Layer 2 port to prevent a malicious host from impersonating a legitimate host by assuming the legitimate host's IP address. The feature uses dynamic DHCP snooping and static IP source binding to match IP addresses to hosts on untrusted Layer 2 access ports. Initially, all IP traffic on the protected port is blocked except for DHCP packets. After a client receives an IP address from the DHCP server, or after static IP source binding is configured by the administrator, all traffic with that IP source address is permitted from that client. Traffic from other hosts is denied. This filtering limits a host's ability to attack the network by claiming a neighbor host's IP address.</t>
    </r>
  </si>
  <si>
    <r>
      <rPr>
        <sz val="11"/>
        <color rgb="FF000000"/>
        <rFont val="Calibri"/>
      </rPr>
      <t>Review the switch configuration to verify that IP Source Guard is enabled on all user-facing or untrusted access switch ports as shown in the example below:</t>
    </r>
    <r>
      <rPr>
        <sz val="11"/>
        <color rgb="FF000000"/>
        <rFont val="Calibri"/>
      </rPr>
      <t xml:space="preserve">
</t>
    </r>
    <r>
      <rPr>
        <sz val="11"/>
        <color rgb="FF000000"/>
        <rFont val="Calibri"/>
      </rPr>
      <t>interface GigabitEthernet0/0</t>
    </r>
    <r>
      <rPr>
        <sz val="11"/>
        <color rgb="FF000000"/>
        <rFont val="Calibri"/>
      </rPr>
      <t xml:space="preserve">
</t>
    </r>
    <r>
      <rPr>
        <sz val="11"/>
        <color rgb="FF000000"/>
        <rFont val="Calibri"/>
      </rPr>
      <t xml:space="preserve"> ip verify source</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verify source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interface GigabitEthernet0/9 </t>
    </r>
    <r>
      <rPr>
        <sz val="11"/>
        <color rgb="FF000000"/>
        <rFont val="Calibri"/>
      </rPr>
      <t xml:space="preserve">
</t>
    </r>
    <r>
      <rPr>
        <sz val="11"/>
        <color rgb="FF000000"/>
        <rFont val="Calibri"/>
      </rPr>
      <t xml:space="preserve"> ip verify source</t>
    </r>
    <r>
      <rPr>
        <sz val="11"/>
        <color rgb="FF000000"/>
        <rFont val="Calibri"/>
      </rPr>
      <t xml:space="preserve">
</t>
    </r>
    <r>
      <rPr>
        <sz val="11"/>
        <color rgb="FF000000"/>
        <rFont val="Calibri"/>
      </rPr>
      <t>Note: The IP Source Guard feature depends on the entries in the DHCP snooping database or static IP-MAC-VLAN configuration commands to verify IP-to-MAC address bindings.</t>
    </r>
    <r>
      <rPr>
        <sz val="11"/>
        <color rgb="FF000000"/>
        <rFont val="Calibri"/>
      </rPr>
      <t xml:space="preserve">
</t>
    </r>
    <r>
      <rPr>
        <sz val="11"/>
        <color rgb="FF000000"/>
        <rFont val="Calibri"/>
      </rPr>
      <t>If the switch does not have IP Source Guard enabled on all untrusted access switch ports, this is a finding.</t>
    </r>
  </si>
  <si>
    <t>V-220661</t>
  </si>
  <si>
    <r>
      <rPr>
        <sz val="11"/>
        <rFont val="Calibri"/>
      </rPr>
      <t>The Cisco switch must have Dynamic Address Resolution Protocol (ARP) Inspection (DAI) enabled on all user VLANs.</t>
    </r>
  </si>
  <si>
    <r>
      <rPr>
        <sz val="11"/>
        <color rgb="FF000000"/>
        <rFont val="Calibri"/>
      </rPr>
      <t>Configure the switch to have Dynamic Address Resolution Protocol (ARP) Inspection (DAI) enabled on all user VLANs as shown in the example below:</t>
    </r>
    <r>
      <rPr>
        <sz val="11"/>
        <color rgb="FF000000"/>
        <rFont val="Calibri"/>
      </rPr>
      <t xml:space="preserve">
</t>
    </r>
    <r>
      <rPr>
        <sz val="11"/>
        <color rgb="FF000000"/>
        <rFont val="Calibri"/>
      </rPr>
      <t>SW2(config)#ip arp inspection vlan 2,4-8,11</t>
    </r>
  </si>
  <si>
    <r>
      <rPr>
        <sz val="11"/>
        <color rgb="FF000000"/>
        <rFont val="Calibri"/>
      </rPr>
      <t>DAI intercepts Address Resolution Protocol (ARP) requests and verifies that each of these packets has a valid IP-to-MAC address binding before updating the local ARP cache and before forwarding the packet to the appropriate destination. Invalid ARP packets are dropped and logged. DAI determines the validity of an ARP packet based on valid IP-to-MAC address bindings stored in the DHCP snooping binding database. If the ARP packet is received on a trusted interface, the switch forwards the packet without any checks. On untrusted interfaces, the switch forwards the packet only if it is valid.</t>
    </r>
  </si>
  <si>
    <r>
      <rPr>
        <sz val="11"/>
        <color rgb="FF000000"/>
        <rFont val="Calibri"/>
      </rPr>
      <t xml:space="preserve">Review the switch configuration to verify that Dynamic Address Resolution Protocol (ARP) Inspection (DAI) feature is enabled on all user VLANs. </t>
    </r>
    <r>
      <rPr>
        <sz val="11"/>
        <color rgb="FF000000"/>
        <rFont val="Calibri"/>
      </rPr>
      <t xml:space="preserve">
</t>
    </r>
    <r>
      <rPr>
        <sz val="11"/>
        <color rgb="FF000000"/>
        <rFont val="Calibri"/>
      </rPr>
      <t>hostname SW2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arp inspection vlan 2,4-8,11</t>
    </r>
    <r>
      <rPr>
        <sz val="11"/>
        <color rgb="FF000000"/>
        <rFont val="Calibri"/>
      </rPr>
      <t xml:space="preserve">
</t>
    </r>
    <r>
      <rPr>
        <sz val="11"/>
        <color rgb="FF000000"/>
        <rFont val="Calibri"/>
      </rPr>
      <t>Note: DAI depends on the entries in the DHCP snooping binding database to verify IP-to-MAC address bindings in incoming ARP requests and ARP responses.</t>
    </r>
    <r>
      <rPr>
        <sz val="11"/>
        <color rgb="FF000000"/>
        <rFont val="Calibri"/>
      </rPr>
      <t xml:space="preserve">
</t>
    </r>
    <r>
      <rPr>
        <sz val="11"/>
        <color rgb="FF000000"/>
        <rFont val="Calibri"/>
      </rPr>
      <t>If DAI is not enabled on all user VLANs, this is a finding.</t>
    </r>
  </si>
  <si>
    <t>V-220662</t>
  </si>
  <si>
    <r>
      <rPr>
        <sz val="11"/>
        <rFont val="Calibri"/>
      </rPr>
      <t>The Cisco switch must have Storm Control configured on all host-facing switchports.</t>
    </r>
  </si>
  <si>
    <r>
      <rPr>
        <sz val="11"/>
        <color rgb="FF000000"/>
        <rFont val="Calibri"/>
      </rPr>
      <t>Configure storm control for each host-facing interface as shown in the example below:</t>
    </r>
    <r>
      <rPr>
        <sz val="11"/>
        <color rgb="FF000000"/>
        <rFont val="Calibri"/>
      </rPr>
      <t xml:space="preserve">
</t>
    </r>
    <r>
      <rPr>
        <sz val="11"/>
        <color rgb="FF000000"/>
        <rFont val="Calibri"/>
      </rPr>
      <t xml:space="preserve">SW1(config)#int range g0/2 - 8 </t>
    </r>
    <r>
      <rPr>
        <sz val="11"/>
        <color rgb="FF000000"/>
        <rFont val="Calibri"/>
      </rPr>
      <t xml:space="preserve">
</t>
    </r>
    <r>
      <rPr>
        <sz val="11"/>
        <color rgb="FF000000"/>
        <rFont val="Calibri"/>
      </rPr>
      <t xml:space="preserve">SW1(config-if-range)#storm-control unicast bps 62000000 </t>
    </r>
    <r>
      <rPr>
        <sz val="11"/>
        <color rgb="FF000000"/>
        <rFont val="Calibri"/>
      </rPr>
      <t xml:space="preserve">
</t>
    </r>
    <r>
      <rPr>
        <sz val="11"/>
        <color rgb="FF000000"/>
        <rFont val="Calibri"/>
      </rPr>
      <t xml:space="preserve">SW1(config-if-range)#storm-control broadcast level bps 20000000 </t>
    </r>
    <r>
      <rPr>
        <sz val="11"/>
        <color rgb="FF000000"/>
        <rFont val="Calibri"/>
      </rPr>
      <t xml:space="preserve">
</t>
    </r>
    <r>
      <rPr>
        <sz val="11"/>
        <color rgb="FF000000"/>
        <rFont val="Calibri"/>
      </rPr>
      <t>Note: The acceptable range is 10000000 -1000000000 for a gigabit Ethernet interface, and 100000000-10000000000 for a ten gigabit interface. Storm control is not supported on most FastEthernet interfaces.</t>
    </r>
  </si>
  <si>
    <r>
      <rPr>
        <sz val="11"/>
        <color rgb="FF000000"/>
        <rFont val="Calibri"/>
      </rPr>
      <t>A traffic storm occurs when packets flood a LAN, creating excessive traffic and degrading network performance. Traffic storm control prevents network disruption by suppressing ingress traffic when the number of packets reaches a configured threshold levels. Traffic storm control monitors ingress traffic levels on a port and drops traffic when the number of packets reaches the configured threshold level during any one-second interval.</t>
    </r>
  </si>
  <si>
    <r>
      <rPr>
        <sz val="11"/>
        <color rgb="FF000000"/>
        <rFont val="Calibri"/>
      </rPr>
      <t>Review the switch configuration to verify that storm control is enabled on all host-facing interfaces as shown in the example below:</t>
    </r>
    <r>
      <rPr>
        <sz val="11"/>
        <color rgb="FF000000"/>
        <rFont val="Calibri"/>
      </rPr>
      <t xml:space="preserve">
</t>
    </r>
    <r>
      <rPr>
        <sz val="11"/>
        <color rgb="FF000000"/>
        <rFont val="Calibri"/>
      </rPr>
      <t>interface GigabitEthernet0/3</t>
    </r>
    <r>
      <rPr>
        <sz val="11"/>
        <color rgb="FF000000"/>
        <rFont val="Calibri"/>
      </rPr>
      <t xml:space="preserve">
</t>
    </r>
    <r>
      <rPr>
        <sz val="11"/>
        <color rgb="FF000000"/>
        <rFont val="Calibri"/>
      </rPr>
      <t>switchport access vlan 12</t>
    </r>
    <r>
      <rPr>
        <sz val="11"/>
        <color rgb="FF000000"/>
        <rFont val="Calibri"/>
      </rPr>
      <t xml:space="preserve">
</t>
    </r>
    <r>
      <rPr>
        <sz val="11"/>
        <color rgb="FF000000"/>
        <rFont val="Calibri"/>
      </rPr>
      <t>storm-control unicast level bps 62000000</t>
    </r>
    <r>
      <rPr>
        <sz val="11"/>
        <color rgb="FF000000"/>
        <rFont val="Calibri"/>
      </rPr>
      <t xml:space="preserve">
</t>
    </r>
    <r>
      <rPr>
        <sz val="11"/>
        <color rgb="FF000000"/>
        <rFont val="Calibri"/>
      </rPr>
      <t>storm-control broadcast level bps 20000000</t>
    </r>
    <r>
      <rPr>
        <sz val="11"/>
        <color rgb="FF000000"/>
        <rFont val="Calibri"/>
      </rPr>
      <t xml:space="preserve">
</t>
    </r>
    <r>
      <rPr>
        <sz val="11"/>
        <color rgb="FF000000"/>
        <rFont val="Calibri"/>
      </rPr>
      <t>Note: Bandwidth percentage thresholds (via level parameter) can be used in lieu of PPS rate.</t>
    </r>
    <r>
      <rPr>
        <sz val="11"/>
        <color rgb="FF000000"/>
        <rFont val="Calibri"/>
      </rPr>
      <t xml:space="preserve">
</t>
    </r>
    <r>
      <rPr>
        <sz val="11"/>
        <color rgb="FF000000"/>
        <rFont val="Calibri"/>
      </rPr>
      <t>If storm control is not enabled at a minimum for broadcast traffic, this is a finding.</t>
    </r>
  </si>
  <si>
    <t>V-220663</t>
  </si>
  <si>
    <r>
      <rPr>
        <sz val="11"/>
        <rFont val="Calibri"/>
      </rPr>
      <t>The Cisco switch must have IGMP or MLD Snooping configured on all VLANs.</t>
    </r>
  </si>
  <si>
    <r>
      <rPr>
        <sz val="11"/>
        <color rgb="FF000000"/>
        <rFont val="Calibri"/>
      </rPr>
      <t>Configure IGMP or MLD snooping for IPv4 and IPv6 multicast traffic respectively globally.</t>
    </r>
    <r>
      <rPr>
        <sz val="11"/>
        <color rgb="FF000000"/>
        <rFont val="Calibri"/>
      </rPr>
      <t xml:space="preserve">
</t>
    </r>
    <r>
      <rPr>
        <sz val="11"/>
        <color rgb="FF000000"/>
        <rFont val="Calibri"/>
      </rPr>
      <t>SW1(config)#ip igmp snooping</t>
    </r>
  </si>
  <si>
    <r>
      <rPr>
        <sz val="11"/>
        <color rgb="FF000000"/>
        <rFont val="Calibri"/>
      </rPr>
      <t>IGMP and MLD snooping provides a way to constrain multicast traffic at Layer 2. By monitoring the IGMP or MLD membership reports sent by hosts within a VLAN, the snooping application can set up Layer 2 multicast forwarding tables to deliver specific multicast traffic only to interfaces connected to hosts interested in receiving the traffic, thereby significantly reducing the volume of multicast traffic that would otherwise flood the VLAN.</t>
    </r>
  </si>
  <si>
    <r>
      <rPr>
        <sz val="11"/>
        <color rgb="FF000000"/>
        <rFont val="Calibri"/>
      </rPr>
      <t>Review the switch configuration to verify that IGMP or MLD snooping has been configured for IPv4 and IPv6 multicast traffic respectively. Below is an example of the steps to verify that IGMP snooping is enabled for each VLAN.</t>
    </r>
    <r>
      <rPr>
        <sz val="11"/>
        <color rgb="FF000000"/>
        <rFont val="Calibri"/>
      </rPr>
      <t xml:space="preserve">
</t>
    </r>
    <r>
      <rPr>
        <sz val="11"/>
        <color rgb="FF000000"/>
        <rFont val="Calibri"/>
      </rPr>
      <t xml:space="preserve">Step 1: Verify that IGMP or MLD snooping is enabled globally. By default, IGMP snooping is enabled globally; hence, the following command should not be in the switch configuration: </t>
    </r>
    <r>
      <rPr>
        <sz val="11"/>
        <color rgb="FF000000"/>
        <rFont val="Calibri"/>
      </rPr>
      <t xml:space="preserve">
</t>
    </r>
    <r>
      <rPr>
        <sz val="11"/>
        <color rgb="FF000000"/>
        <rFont val="Calibri"/>
      </rPr>
      <t>no ip igmp snooping</t>
    </r>
    <r>
      <rPr>
        <sz val="11"/>
        <color rgb="FF000000"/>
        <rFont val="Calibri"/>
      </rPr>
      <t xml:space="preserve">
</t>
    </r>
    <r>
      <rPr>
        <sz val="11"/>
        <color rgb="FF000000"/>
        <rFont val="Calibri"/>
      </rPr>
      <t>Step 2: Verify that IGMP snooping is not disabled for any VLAN as shown in the example below:</t>
    </r>
    <r>
      <rPr>
        <sz val="11"/>
        <color rgb="FF000000"/>
        <rFont val="Calibri"/>
      </rPr>
      <t xml:space="preserve">
</t>
    </r>
    <r>
      <rPr>
        <sz val="11"/>
        <color rgb="FF000000"/>
        <rFont val="Calibri"/>
      </rPr>
      <t>no ip igmp snooping vlan 11</t>
    </r>
    <r>
      <rPr>
        <sz val="11"/>
        <color rgb="FF000000"/>
        <rFont val="Calibri"/>
      </rPr>
      <t xml:space="preserve">
</t>
    </r>
    <r>
      <rPr>
        <sz val="11"/>
        <color rgb="FF000000"/>
        <rFont val="Calibri"/>
      </rPr>
      <t xml:space="preserve">Note: When globally enabled, it is also enabled by default on all VLANs, but can be disabled on a per-VLAN basis. If global snooping is disabled, VLAN snooping cannot be enabled. </t>
    </r>
    <r>
      <rPr>
        <sz val="11"/>
        <color rgb="FF000000"/>
        <rFont val="Calibri"/>
      </rPr>
      <t xml:space="preserve">
</t>
    </r>
    <r>
      <rPr>
        <sz val="11"/>
        <color rgb="FF000000"/>
        <rFont val="Calibri"/>
      </rPr>
      <t>If the switch is not configured to implement IGMP or MLD snooping for each VLAN, this is a finding.</t>
    </r>
  </si>
  <si>
    <t>V-220664</t>
  </si>
  <si>
    <r>
      <rPr>
        <sz val="11"/>
        <rFont val="Calibri"/>
      </rPr>
      <t>The Cisco switch must implement Rapid STP where VLANs span multiple switches with redundant links.</t>
    </r>
  </si>
  <si>
    <r>
      <rPr>
        <sz val="11"/>
        <color rgb="FF000000"/>
        <rFont val="Calibri"/>
      </rPr>
      <t>Configure Rapid STP or MSTP to be implemented at the access and distribution layers where VLANs span multiple switches as shown in the examples below:</t>
    </r>
    <r>
      <rPr>
        <sz val="11"/>
        <color rgb="FF000000"/>
        <rFont val="Calibri"/>
      </rPr>
      <t xml:space="preserve">
</t>
    </r>
    <r>
      <rPr>
        <sz val="11"/>
        <color rgb="FF000000"/>
        <rFont val="Calibri"/>
      </rPr>
      <t>SW2(config)#spanning-tree mode rapid-pvst</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SW1(config)#spanning-tree mode mst</t>
    </r>
  </si>
  <si>
    <r>
      <rPr>
        <sz val="11"/>
        <color rgb="FF000000"/>
        <rFont val="Calibri"/>
      </rPr>
      <t>Spanning Tree Protocol (STP) is implemented on bridges and switches to prevent layer 2 loops when a broadcast domain spans multiple bridges and switches and when redundant links are provisioned to provide high availability in case of link failures. Convergence time can be significantly reduced using Rapid STP (802.1w) instead of STP (802.1d), resulting in improved availability. Rapid STP should be deployed by implementing either Rapid Per-VLAN-Spanning-Tree (Rapid-PVST) or Multiple Spanning-Tree Protocol (MSTP), the latter scales much better when there are many VLANs.</t>
    </r>
  </si>
  <si>
    <r>
      <rPr>
        <sz val="11"/>
        <color rgb="FF000000"/>
        <rFont val="Calibri"/>
      </rPr>
      <t xml:space="preserve">In cases where VLANs do not span multiple switches, it is a best practice to not implement STP. Avoiding the use of STP will provide the most deterministic and highly available network topology. If STP is required, then review the switch configuration to verify that Rapid STP has been implemented. </t>
    </r>
    <r>
      <rPr>
        <sz val="11"/>
        <color rgb="FF000000"/>
        <rFont val="Calibri"/>
      </rPr>
      <t xml:space="preserve">
</t>
    </r>
    <r>
      <rPr>
        <sz val="11"/>
        <color rgb="FF000000"/>
        <rFont val="Calibri"/>
      </rPr>
      <t>hostname SW2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spanning-tree mode rapid-pvst</t>
    </r>
    <r>
      <rPr>
        <sz val="11"/>
        <color rgb="FF000000"/>
        <rFont val="Calibri"/>
      </rPr>
      <t xml:space="preserve">
</t>
    </r>
    <r>
      <rPr>
        <sz val="11"/>
        <color rgb="FF000000"/>
        <rFont val="Calibri"/>
      </rPr>
      <t>Note: Multiple STP (MSTP) can be configured as an alternate mode. MSTP which uses RSTP for rapid convergence and enables multiple VLANs to be grouped into and mapped to the same spanning-tree instance; thereby reducing the number of spanning-tree instances needed to support a large number of VLANs.</t>
    </r>
    <r>
      <rPr>
        <sz val="11"/>
        <color rgb="FF000000"/>
        <rFont val="Calibri"/>
      </rPr>
      <t xml:space="preserve">
</t>
    </r>
    <r>
      <rPr>
        <sz val="11"/>
        <color rgb="FF000000"/>
        <rFont val="Calibri"/>
      </rPr>
      <t>If either RSTP or MSTP has not been implemented where STP is required, this is a finding.</t>
    </r>
  </si>
  <si>
    <t>V-220665</t>
  </si>
  <si>
    <r>
      <rPr>
        <sz val="11"/>
        <rFont val="Calibri"/>
      </rPr>
      <t>The Cisco switch must enable Unidirectional Link Detection (UDLD) to protect against one-way connections.</t>
    </r>
  </si>
  <si>
    <r>
      <rPr>
        <sz val="11"/>
        <color rgb="FF000000"/>
        <rFont val="Calibri"/>
      </rPr>
      <t>Configure the switch to enable Unidirectional Link Detection (UDLD) to protect against one-way connections.</t>
    </r>
    <r>
      <rPr>
        <sz val="11"/>
        <color rgb="FF000000"/>
        <rFont val="Calibri"/>
      </rPr>
      <t xml:space="preserve">
</t>
    </r>
    <r>
      <rPr>
        <sz val="11"/>
        <color rgb="FF000000"/>
        <rFont val="Calibri"/>
      </rPr>
      <t>SW2(config)#udld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SW2(config)#int g0/1</t>
    </r>
    <r>
      <rPr>
        <sz val="11"/>
        <color rgb="FF000000"/>
        <rFont val="Calibri"/>
      </rPr>
      <t xml:space="preserve">
</t>
    </r>
    <r>
      <rPr>
        <sz val="11"/>
        <color rgb="FF000000"/>
        <rFont val="Calibri"/>
      </rPr>
      <t>SW2(config-if)#udld port</t>
    </r>
  </si>
  <si>
    <r>
      <rPr>
        <sz val="11"/>
        <color rgb="FF000000"/>
        <rFont val="Calibri"/>
      </rPr>
      <t>In topologies where fiber optic interconnections are used, physical misconnections can occur that allow a link to appear to be up when there is a mismatched set of transmit/receive pairs. When such a physical misconfiguration occurs, protocols such as STP can cause network instability. UDLD is a layer 2 protocol that can detect these physical misconfigurations by verifying that traffic is flowing bidirectional between neighbors. Ports with UDLD enabled periodically transmit packets to neighbor devices. If the packets are not echoed back within a specific time frame, the link is flagged as unidirectional and the interface is shut down.</t>
    </r>
  </si>
  <si>
    <r>
      <rPr>
        <sz val="11"/>
        <color rgb="FF000000"/>
        <rFont val="Calibri"/>
      </rPr>
      <t>If any of the switch ports have fiber optic interconnections with neighbors, review the switch configuration to verify that UDLD is enabled globally or on a per-interface basis as shown in the examples below:</t>
    </r>
    <r>
      <rPr>
        <sz val="11"/>
        <color rgb="FF000000"/>
        <rFont val="Calibri"/>
      </rPr>
      <t xml:space="preserve">
</t>
    </r>
    <r>
      <rPr>
        <sz val="11"/>
        <color rgb="FF000000"/>
        <rFont val="Calibri"/>
      </rPr>
      <t>hostname SW2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udld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udld port</t>
    </r>
    <r>
      <rPr>
        <sz val="11"/>
        <color rgb="FF000000"/>
        <rFont val="Calibri"/>
      </rPr>
      <t xml:space="preserve">
</t>
    </r>
    <r>
      <rPr>
        <sz val="11"/>
        <color rgb="FF000000"/>
        <rFont val="Calibri"/>
      </rPr>
      <t>Note: An alternative implementation when UDLD is not supported by connected device is to deploy a single member Link Aggregation Group (LAG) via IEEE 802.3ad Link Aggregation Control Protocol (LACP).</t>
    </r>
    <r>
      <rPr>
        <sz val="11"/>
        <color rgb="FF000000"/>
        <rFont val="Calibri"/>
      </rPr>
      <t xml:space="preserve">
</t>
    </r>
    <r>
      <rPr>
        <sz val="11"/>
        <color rgb="FF000000"/>
        <rFont val="Calibri"/>
      </rPr>
      <t>If the switch has fiber optic interconnections with neighbors and UDLD is not enabled, this is a finding.</t>
    </r>
  </si>
  <si>
    <t>V-220666</t>
  </si>
  <si>
    <r>
      <rPr>
        <sz val="11"/>
        <rFont val="Calibri"/>
      </rPr>
      <t>The Cisco switch must have all trunk links enabled statically.</t>
    </r>
  </si>
  <si>
    <r>
      <rPr>
        <sz val="11"/>
        <color rgb="FF000000"/>
        <rFont val="Calibri"/>
      </rPr>
      <t>Configure the switch to enable trunk links statically as shown in the configuration below:</t>
    </r>
    <r>
      <rPr>
        <sz val="11"/>
        <color rgb="FF000000"/>
        <rFont val="Calibri"/>
      </rPr>
      <t xml:space="preserve">
</t>
    </r>
    <r>
      <rPr>
        <sz val="11"/>
        <color rgb="FF000000"/>
        <rFont val="Calibri"/>
      </rPr>
      <t xml:space="preserve">SW2(config-if)#switchport trunk encapsulation dot1q </t>
    </r>
    <r>
      <rPr>
        <sz val="11"/>
        <color rgb="FF000000"/>
        <rFont val="Calibri"/>
      </rPr>
      <t xml:space="preserve">
</t>
    </r>
    <r>
      <rPr>
        <sz val="11"/>
        <color rgb="FF000000"/>
        <rFont val="Calibri"/>
      </rPr>
      <t>SW2(config-if)#switchport mode trunk</t>
    </r>
    <r>
      <rPr>
        <sz val="11"/>
        <color rgb="FF000000"/>
        <rFont val="Calibri"/>
      </rPr>
      <t xml:space="preserve">
</t>
    </r>
    <r>
      <rPr>
        <sz val="11"/>
        <color rgb="FF000000"/>
        <rFont val="Calibri"/>
      </rPr>
      <t>SW2(config-if)#switchport nonegotiate</t>
    </r>
  </si>
  <si>
    <r>
      <rPr>
        <sz val="11"/>
        <color rgb="FF000000"/>
        <rFont val="Calibri"/>
      </rPr>
      <t>When trunk negotiation is enabled via Dynamic Trunk Protocol (DTP), considerable time can be spent negotiating trunk settings (802.1q or ISL) when a node or interface is restored. While this negotiation is happening, traffic is dropped because the link is up from a layer 2 perspective. Packet loss can be eliminated by setting the interface statically to trunk mode, thereby avoiding dynamic trunk protocol negotiation and significantly reducing any outage when restoring a failed link or switch.</t>
    </r>
  </si>
  <si>
    <r>
      <rPr>
        <sz val="11"/>
        <color rgb="FF000000"/>
        <rFont val="Calibri"/>
      </rPr>
      <t>By default, Dynamic Trunking Protocol (DTP) is enabled on all Cisco switches. Review the switch configuration to verify that trunk links will not form trunk via negotiation as shown in the example below:</t>
    </r>
    <r>
      <rPr>
        <sz val="11"/>
        <color rgb="FF000000"/>
        <rFont val="Calibri"/>
      </rPr>
      <t xml:space="preserve">
</t>
    </r>
    <r>
      <rPr>
        <sz val="11"/>
        <color rgb="FF000000"/>
        <rFont val="Calibri"/>
      </rPr>
      <t xml:space="preserve">SW2#show interfaces switchport </t>
    </r>
    <r>
      <rPr>
        <sz val="11"/>
        <color rgb="FF000000"/>
        <rFont val="Calibri"/>
      </rPr>
      <t xml:space="preserve">
</t>
    </r>
    <r>
      <rPr>
        <sz val="11"/>
        <color rgb="FF000000"/>
        <rFont val="Calibri"/>
      </rPr>
      <t>Name: Gi0/0</t>
    </r>
    <r>
      <rPr>
        <sz val="11"/>
        <color rgb="FF000000"/>
        <rFont val="Calibri"/>
      </rPr>
      <t xml:space="preserve">
</t>
    </r>
    <r>
      <rPr>
        <sz val="11"/>
        <color rgb="FF000000"/>
        <rFont val="Calibri"/>
      </rPr>
      <t>Switchport: Enabled</t>
    </r>
    <r>
      <rPr>
        <sz val="11"/>
        <color rgb="FF000000"/>
        <rFont val="Calibri"/>
      </rPr>
      <t xml:space="preserve">
</t>
    </r>
    <r>
      <rPr>
        <sz val="11"/>
        <color rgb="FF000000"/>
        <rFont val="Calibri"/>
      </rPr>
      <t>Administrative Mode: dynamic auto</t>
    </r>
    <r>
      <rPr>
        <sz val="11"/>
        <color rgb="FF000000"/>
        <rFont val="Calibri"/>
      </rPr>
      <t xml:space="preserve">
</t>
    </r>
    <r>
      <rPr>
        <sz val="11"/>
        <color rgb="FF000000"/>
        <rFont val="Calibri"/>
      </rPr>
      <t>Operational Mode: static access</t>
    </r>
    <r>
      <rPr>
        <sz val="11"/>
        <color rgb="FF000000"/>
        <rFont val="Calibri"/>
      </rPr>
      <t xml:space="preserve">
</t>
    </r>
    <r>
      <rPr>
        <sz val="11"/>
        <color rgb="FF000000"/>
        <rFont val="Calibri"/>
      </rPr>
      <t>Administrative Trunking Encapsulation: negotiate</t>
    </r>
    <r>
      <rPr>
        <sz val="11"/>
        <color rgb="FF000000"/>
        <rFont val="Calibri"/>
      </rPr>
      <t xml:space="preserve">
</t>
    </r>
    <r>
      <rPr>
        <sz val="11"/>
        <color rgb="FF000000"/>
        <rFont val="Calibri"/>
      </rPr>
      <t>Operational Trunking Encapsulation: native</t>
    </r>
    <r>
      <rPr>
        <sz val="11"/>
        <color rgb="FF000000"/>
        <rFont val="Calibri"/>
      </rPr>
      <t xml:space="preserve">
</t>
    </r>
    <r>
      <rPr>
        <sz val="11"/>
        <color rgb="FF000000"/>
        <rFont val="Calibri"/>
      </rPr>
      <t>Negotiation of Trunking: On</t>
    </r>
    <r>
      <rPr>
        <sz val="11"/>
        <color rgb="FF000000"/>
        <rFont val="Calibri"/>
      </rPr>
      <t xml:space="preserve">
</t>
    </r>
    <r>
      <rPr>
        <sz val="11"/>
        <color rgb="FF000000"/>
        <rFont val="Calibri"/>
      </rPr>
      <t>If trunk negotiation is enabled on any interface, this is a finding.</t>
    </r>
  </si>
  <si>
    <t>V-220667</t>
  </si>
  <si>
    <r>
      <rPr>
        <sz val="11"/>
        <rFont val="Calibri"/>
      </rPr>
      <t>The Cisco switch must have all disabled switch ports assigned to an unused VLAN.</t>
    </r>
  </si>
  <si>
    <r>
      <rPr>
        <sz val="11"/>
        <color rgb="FF000000"/>
        <rFont val="Calibri"/>
      </rPr>
      <t>Assign all switch ports not in use to an inactive VLAN.</t>
    </r>
    <r>
      <rPr>
        <sz val="11"/>
        <color rgb="FF000000"/>
        <rFont val="Calibri"/>
      </rPr>
      <t xml:space="preserve">
</t>
    </r>
    <r>
      <rPr>
        <sz val="11"/>
        <color rgb="FF000000"/>
        <rFont val="Calibri"/>
      </rPr>
      <t>Step 1: Assign the disabled interfaces to an inactive VLAN.</t>
    </r>
    <r>
      <rPr>
        <sz val="11"/>
        <color rgb="FF000000"/>
        <rFont val="Calibri"/>
      </rPr>
      <t xml:space="preserve">
</t>
    </r>
    <r>
      <rPr>
        <sz val="11"/>
        <color rgb="FF000000"/>
        <rFont val="Calibri"/>
      </rPr>
      <t>SW3(config)#int range g0/0 – 9</t>
    </r>
    <r>
      <rPr>
        <sz val="11"/>
        <color rgb="FF000000"/>
        <rFont val="Calibri"/>
      </rPr>
      <t xml:space="preserve">
</t>
    </r>
    <r>
      <rPr>
        <sz val="11"/>
        <color rgb="FF000000"/>
        <rFont val="Calibri"/>
      </rPr>
      <t>SW3(config-if-range)# switchport access vlan 999</t>
    </r>
    <r>
      <rPr>
        <sz val="11"/>
        <color rgb="FF000000"/>
        <rFont val="Calibri"/>
      </rPr>
      <t xml:space="preserve">
</t>
    </r>
    <r>
      <rPr>
        <sz val="11"/>
        <color rgb="FF000000"/>
        <rFont val="Calibri"/>
      </rPr>
      <t>Step 2: Configure trunk links to not allow traffic from the inactive VLAN.</t>
    </r>
    <r>
      <rPr>
        <sz val="11"/>
        <color rgb="FF000000"/>
        <rFont val="Calibri"/>
      </rPr>
      <t xml:space="preserve">
</t>
    </r>
    <r>
      <rPr>
        <sz val="11"/>
        <color rgb="FF000000"/>
        <rFont val="Calibri"/>
      </rPr>
      <t>SW3(config)#int g1/1</t>
    </r>
    <r>
      <rPr>
        <sz val="11"/>
        <color rgb="FF000000"/>
        <rFont val="Calibri"/>
      </rPr>
      <t xml:space="preserve">
</t>
    </r>
    <r>
      <rPr>
        <sz val="11"/>
        <color rgb="FF000000"/>
        <rFont val="Calibri"/>
      </rPr>
      <t>SW3(config-if)#switchport trunk allowed vlan except 999</t>
    </r>
  </si>
  <si>
    <r>
      <rPr>
        <sz val="11"/>
        <color rgb="FF000000"/>
        <rFont val="Calibri"/>
      </rPr>
      <t>It is possible that a disabled port that is assigned to a user or management VLAN becomes enabled by accident or by an attacker and as a result gains access to that VLAN as a member.</t>
    </r>
  </si>
  <si>
    <r>
      <rPr>
        <sz val="11"/>
        <color rgb="FF000000"/>
        <rFont val="Calibri"/>
      </rPr>
      <t xml:space="preserve">Step 1: Review the switch configurations and examine all access switch ports. Each access switch port not in use should have membership to an inactive VLAN. </t>
    </r>
    <r>
      <rPr>
        <sz val="11"/>
        <color rgb="FF000000"/>
        <rFont val="Calibri"/>
      </rPr>
      <t xml:space="preserve">
</t>
    </r>
    <r>
      <rPr>
        <sz val="11"/>
        <color rgb="FF000000"/>
        <rFont val="Calibri"/>
      </rPr>
      <t>interface GigabitEthernet0/0</t>
    </r>
    <r>
      <rPr>
        <sz val="11"/>
        <color rgb="FF000000"/>
        <rFont val="Calibri"/>
      </rPr>
      <t xml:space="preserve">
</t>
    </r>
    <r>
      <rPr>
        <sz val="11"/>
        <color rgb="FF000000"/>
        <rFont val="Calibri"/>
      </rPr>
      <t xml:space="preserve"> switchport access vlan 999</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switchport access vlan 999</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GigabitEthernet0/9</t>
    </r>
    <r>
      <rPr>
        <sz val="11"/>
        <color rgb="FF000000"/>
        <rFont val="Calibri"/>
      </rPr>
      <t xml:space="preserve">
</t>
    </r>
    <r>
      <rPr>
        <sz val="11"/>
        <color rgb="FF000000"/>
        <rFont val="Calibri"/>
      </rPr>
      <t xml:space="preserve"> switchport access vlan 999</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Step 2: Verify that traffic from the inactive VLAN is not allowed on any trunk links as shown in the example below:</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switchport trunk allowed vlan 1-998,1000-4094</t>
    </r>
    <r>
      <rPr>
        <sz val="11"/>
        <color rgb="FF000000"/>
        <rFont val="Calibri"/>
      </rPr>
      <t xml:space="preserve">
</t>
    </r>
    <r>
      <rPr>
        <sz val="11"/>
        <color rgb="FF000000"/>
        <rFont val="Calibri"/>
      </rPr>
      <t xml:space="preserve"> switchport trunk encapsulation dot1q</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Note: Switch ports configured for 802.1x are exempt from this requirement.</t>
    </r>
    <r>
      <rPr>
        <sz val="11"/>
        <color rgb="FF000000"/>
        <rFont val="Calibri"/>
      </rPr>
      <t xml:space="preserve">
</t>
    </r>
    <r>
      <rPr>
        <sz val="11"/>
        <color rgb="FF000000"/>
        <rFont val="Calibri"/>
      </rPr>
      <t>If there are any access switch ports not in use and not in an inactive VLAN, this is a finding.</t>
    </r>
  </si>
  <si>
    <t>V-220668</t>
  </si>
  <si>
    <r>
      <rPr>
        <sz val="11"/>
        <rFont val="Calibri"/>
      </rPr>
      <t>The Cisco switch must not have the default VLAN assigned to any host-facing switch ports.</t>
    </r>
  </si>
  <si>
    <r>
      <rPr>
        <sz val="11"/>
        <color rgb="FF000000"/>
        <rFont val="Calibri"/>
      </rPr>
      <t>Remove the assignment of the default VLAN from all access switch ports.</t>
    </r>
  </si>
  <si>
    <r>
      <rPr>
        <sz val="11"/>
        <color rgb="FF000000"/>
        <rFont val="Calibri"/>
      </rPr>
      <t>In a VLAN-based network, switches use the default VLAN (i.e., VLAN 1) for in-band management and to communicate with other networking devices using Spanning-Tree Protocol (STP), Dynamic Trunking Protocol (DTP), VLAN Trunking Protocol (VTP), and Port Aggregation Protocol (PAgP)—all untagged traffic. As a consequence, the default VLAN may unwisely span the entire network if not appropriately pruned. If its scope is large enough, the risk of compromise can increase significantly.</t>
    </r>
  </si>
  <si>
    <r>
      <rPr>
        <sz val="11"/>
        <color rgb="FF000000"/>
        <rFont val="Calibri"/>
      </rPr>
      <t>Review the switch configurations and verify that no access switch ports have been assigned membership to the default VLAN (i.e., VLAN 1). VLAN assignments can be verified via the show vlan command.</t>
    </r>
    <r>
      <rPr>
        <sz val="11"/>
        <color rgb="FF000000"/>
        <rFont val="Calibri"/>
      </rPr>
      <t xml:space="preserve">
</t>
    </r>
    <r>
      <rPr>
        <sz val="11"/>
        <color rgb="FF000000"/>
        <rFont val="Calibri"/>
      </rPr>
      <t>SW1#show vlan</t>
    </r>
    <r>
      <rPr>
        <sz val="11"/>
        <color rgb="FF000000"/>
        <rFont val="Calibri"/>
      </rPr>
      <t xml:space="preserve">
</t>
    </r>
    <r>
      <rPr>
        <sz val="11"/>
        <color rgb="FF000000"/>
        <rFont val="Calibri"/>
      </rPr>
      <t>VLAN Name Status Ports</t>
    </r>
    <r>
      <rPr>
        <sz val="11"/>
        <color rgb="FF000000"/>
        <rFont val="Calibri"/>
      </rPr>
      <t xml:space="preserve">
</t>
    </r>
    <r>
      <rPr>
        <sz val="11"/>
        <color rgb="FF000000"/>
        <rFont val="Calibri"/>
      </rPr>
      <t>---- -------------------------------- --------- -------------------------------</t>
    </r>
    <r>
      <rPr>
        <sz val="11"/>
        <color rgb="FF000000"/>
        <rFont val="Calibri"/>
      </rPr>
      <t xml:space="preserve">
</t>
    </r>
    <r>
      <rPr>
        <sz val="11"/>
        <color rgb="FF000000"/>
        <rFont val="Calibri"/>
      </rPr>
      <t xml:space="preserve">1 default active </t>
    </r>
    <r>
      <rPr>
        <sz val="11"/>
        <color rgb="FF000000"/>
        <rFont val="Calibri"/>
      </rPr>
      <t xml:space="preserve">
</t>
    </r>
    <r>
      <rPr>
        <sz val="11"/>
        <color rgb="FF000000"/>
        <rFont val="Calibri"/>
      </rPr>
      <t>10 User VLAN active Gi0/3, Gi1/0, Gi1/1, Gi1/2</t>
    </r>
    <r>
      <rPr>
        <sz val="11"/>
        <color rgb="FF000000"/>
        <rFont val="Calibri"/>
      </rPr>
      <t xml:space="preserve">
</t>
    </r>
    <r>
      <rPr>
        <sz val="11"/>
        <color rgb="FF000000"/>
        <rFont val="Calibri"/>
      </rPr>
      <t xml:space="preserve"> Gi1/3, Gi2/1</t>
    </r>
    <r>
      <rPr>
        <sz val="11"/>
        <color rgb="FF000000"/>
        <rFont val="Calibri"/>
      </rPr>
      <t xml:space="preserve">
</t>
    </r>
    <r>
      <rPr>
        <sz val="11"/>
        <color rgb="FF000000"/>
        <rFont val="Calibri"/>
      </rPr>
      <t>20 Management VLAN active Gi0/2</t>
    </r>
    <r>
      <rPr>
        <sz val="11"/>
        <color rgb="FF000000"/>
        <rFont val="Calibri"/>
      </rPr>
      <t xml:space="preserve">
</t>
    </r>
    <r>
      <rPr>
        <sz val="11"/>
        <color rgb="FF000000"/>
        <rFont val="Calibri"/>
      </rPr>
      <t>999 VLAN0999 active Gi2/0</t>
    </r>
    <r>
      <rPr>
        <sz val="11"/>
        <color rgb="FF000000"/>
        <rFont val="Calibri"/>
      </rPr>
      <t xml:space="preserve">
</t>
    </r>
    <r>
      <rPr>
        <sz val="11"/>
        <color rgb="FF000000"/>
        <rFont val="Calibri"/>
      </rPr>
      <t>If there are access switch ports assigned to the default VLAN, this is a finding.</t>
    </r>
  </si>
  <si>
    <t>V-220669</t>
  </si>
  <si>
    <r>
      <rPr>
        <sz val="11"/>
        <rFont val="Calibri"/>
      </rPr>
      <t>The Cisco switch must have the default VLAN pruned from all trunk ports that do not require it.</t>
    </r>
  </si>
  <si>
    <r>
      <rPr>
        <sz val="11"/>
        <color rgb="FF000000"/>
        <rFont val="Calibri"/>
      </rPr>
      <t>Prune VLAN 1 from any trunk links as necessary.</t>
    </r>
    <r>
      <rPr>
        <sz val="11"/>
        <color rgb="FF000000"/>
        <rFont val="Calibri"/>
      </rPr>
      <t xml:space="preserve">
</t>
    </r>
    <r>
      <rPr>
        <sz val="11"/>
        <color rgb="FF000000"/>
        <rFont val="Calibri"/>
      </rPr>
      <t>SW1(config)#int g0/2</t>
    </r>
    <r>
      <rPr>
        <sz val="11"/>
        <color rgb="FF000000"/>
        <rFont val="Calibri"/>
      </rPr>
      <t xml:space="preserve">
</t>
    </r>
    <r>
      <rPr>
        <sz val="11"/>
        <color rgb="FF000000"/>
        <rFont val="Calibri"/>
      </rPr>
      <t>SW1(config-if)#switchport trunk allowed vlan except 1</t>
    </r>
    <r>
      <rPr>
        <sz val="11"/>
        <color rgb="FF000000"/>
        <rFont val="Calibri"/>
      </rPr>
      <t xml:space="preserve">
</t>
    </r>
    <r>
      <rPr>
        <sz val="11"/>
        <color rgb="FF000000"/>
        <rFont val="Calibri"/>
      </rPr>
      <t>Verify VLAN 1 is not allowed on the trunk link.</t>
    </r>
    <r>
      <rPr>
        <sz val="11"/>
        <color rgb="FF000000"/>
        <rFont val="Calibri"/>
      </rPr>
      <t xml:space="preserve">
</t>
    </r>
    <r>
      <rPr>
        <sz val="11"/>
        <color rgb="FF000000"/>
        <rFont val="Calibri"/>
      </rPr>
      <t>SW1#show interfaces trunk</t>
    </r>
    <r>
      <rPr>
        <sz val="11"/>
        <color rgb="FF000000"/>
        <rFont val="Calibri"/>
      </rPr>
      <t xml:space="preserve">
</t>
    </r>
    <r>
      <rPr>
        <sz val="11"/>
        <color rgb="FF000000"/>
        <rFont val="Calibri"/>
      </rPr>
      <t>Port Mode Encapsulation Status Native vlan</t>
    </r>
    <r>
      <rPr>
        <sz val="11"/>
        <color rgb="FF000000"/>
        <rFont val="Calibri"/>
      </rPr>
      <t xml:space="preserve">
</t>
    </r>
    <r>
      <rPr>
        <sz val="11"/>
        <color rgb="FF000000"/>
        <rFont val="Calibri"/>
      </rPr>
      <t>Gi0/1 on 802.1q trunking 1</t>
    </r>
    <r>
      <rPr>
        <sz val="11"/>
        <color rgb="FF000000"/>
        <rFont val="Calibri"/>
      </rPr>
      <t xml:space="preserve">
</t>
    </r>
    <r>
      <rPr>
        <sz val="11"/>
        <color rgb="FF000000"/>
        <rFont val="Calibri"/>
      </rPr>
      <t>Gi0/2 on 802.1q trunking 1</t>
    </r>
    <r>
      <rPr>
        <sz val="11"/>
        <color rgb="FF000000"/>
        <rFont val="Calibri"/>
      </rPr>
      <t xml:space="preserve">
</t>
    </r>
    <r>
      <rPr>
        <sz val="11"/>
        <color rgb="FF000000"/>
        <rFont val="Calibri"/>
      </rPr>
      <t>Port Vlans allowed on trunk</t>
    </r>
    <r>
      <rPr>
        <sz val="11"/>
        <color rgb="FF000000"/>
        <rFont val="Calibri"/>
      </rPr>
      <t xml:space="preserve">
</t>
    </r>
    <r>
      <rPr>
        <sz val="11"/>
        <color rgb="FF000000"/>
        <rFont val="Calibri"/>
      </rPr>
      <t>Gi0/1 1-998,1000-4094</t>
    </r>
    <r>
      <rPr>
        <sz val="11"/>
        <color rgb="FF000000"/>
        <rFont val="Calibri"/>
      </rPr>
      <t xml:space="preserve">
</t>
    </r>
    <r>
      <rPr>
        <sz val="11"/>
        <color rgb="FF000000"/>
        <rFont val="Calibri"/>
      </rPr>
      <t>Gi0/2 2-4094</t>
    </r>
  </si>
  <si>
    <r>
      <rPr>
        <sz val="11"/>
        <color rgb="FF000000"/>
        <rFont val="Calibri"/>
      </rPr>
      <t>The default VLAN (i.e., VLAN 1) is a special VLAN used for control plane traffic such as Spanning-Tree Protocol (STP), Dynamic Trunking Protocol (DTP), VLAN Trunking Protocol (VTP), and Port Aggregation Protocol (PAgP). VLAN 1 is enabled on all trunks and ports by default. With larger campus networks, care needs to be taken about the diameter of the STP domain for the default VLAN. Instability in one part of the network could affect the default VLAN, thereby influencing control-plane stability and therefore STP stability for all other VLANs.</t>
    </r>
  </si>
  <si>
    <r>
      <rPr>
        <sz val="11"/>
        <color rgb="FF000000"/>
        <rFont val="Calibri"/>
      </rPr>
      <t>Review the switch configuration and verify that the default VLAN is pruned from trunk links that do not require it.</t>
    </r>
    <r>
      <rPr>
        <sz val="11"/>
        <color rgb="FF000000"/>
        <rFont val="Calibri"/>
      </rPr>
      <t xml:space="preserve">
</t>
    </r>
    <r>
      <rPr>
        <sz val="11"/>
        <color rgb="FF000000"/>
        <rFont val="Calibri"/>
      </rPr>
      <t>SW1#show interfaces trunk</t>
    </r>
    <r>
      <rPr>
        <sz val="11"/>
        <color rgb="FF000000"/>
        <rFont val="Calibri"/>
      </rPr>
      <t xml:space="preserve">
</t>
    </r>
    <r>
      <rPr>
        <sz val="11"/>
        <color rgb="FF000000"/>
        <rFont val="Calibri"/>
      </rPr>
      <t>Port Mode Encapsulation Status Native vlan</t>
    </r>
    <r>
      <rPr>
        <sz val="11"/>
        <color rgb="FF000000"/>
        <rFont val="Calibri"/>
      </rPr>
      <t xml:space="preserve">
</t>
    </r>
    <r>
      <rPr>
        <sz val="11"/>
        <color rgb="FF000000"/>
        <rFont val="Calibri"/>
      </rPr>
      <t>Gi0/1 on 802.1q trunking 1</t>
    </r>
    <r>
      <rPr>
        <sz val="11"/>
        <color rgb="FF000000"/>
        <rFont val="Calibri"/>
      </rPr>
      <t xml:space="preserve">
</t>
    </r>
    <r>
      <rPr>
        <sz val="11"/>
        <color rgb="FF000000"/>
        <rFont val="Calibri"/>
      </rPr>
      <t>Gi0/2 on 802.1q trunking 1</t>
    </r>
    <r>
      <rPr>
        <sz val="11"/>
        <color rgb="FF000000"/>
        <rFont val="Calibri"/>
      </rPr>
      <t xml:space="preserve">
</t>
    </r>
    <r>
      <rPr>
        <sz val="11"/>
        <color rgb="FF000000"/>
        <rFont val="Calibri"/>
      </rPr>
      <t>Port Vlans allowed on trunk</t>
    </r>
    <r>
      <rPr>
        <sz val="11"/>
        <color rgb="FF000000"/>
        <rFont val="Calibri"/>
      </rPr>
      <t xml:space="preserve">
</t>
    </r>
    <r>
      <rPr>
        <sz val="11"/>
        <color rgb="FF000000"/>
        <rFont val="Calibri"/>
      </rPr>
      <t>Gi0/1 1-998,1000-4094</t>
    </r>
    <r>
      <rPr>
        <sz val="11"/>
        <color rgb="FF000000"/>
        <rFont val="Calibri"/>
      </rPr>
      <t xml:space="preserve">
</t>
    </r>
    <r>
      <rPr>
        <sz val="11"/>
        <color rgb="FF000000"/>
        <rFont val="Calibri"/>
      </rPr>
      <t>Gi0/2 1-4094</t>
    </r>
    <r>
      <rPr>
        <sz val="11"/>
        <color rgb="FF000000"/>
        <rFont val="Calibri"/>
      </rPr>
      <t xml:space="preserve">
</t>
    </r>
    <r>
      <rPr>
        <sz val="11"/>
        <color rgb="FF000000"/>
        <rFont val="Calibri"/>
      </rPr>
      <t>If the default VLAN is not pruned from trunk links that should not be transporting frames for the VLAN, this is a finding.</t>
    </r>
  </si>
  <si>
    <t>V-220670</t>
  </si>
  <si>
    <r>
      <rPr>
        <sz val="11"/>
        <rFont val="Calibri"/>
      </rPr>
      <t>The Cisco switch must not use the default VLAN for management traffic.</t>
    </r>
  </si>
  <si>
    <r>
      <rPr>
        <sz val="11"/>
        <color rgb="FF000000"/>
        <rFont val="Calibri"/>
      </rPr>
      <t>Configure the switch for management access to use a VLAN other than the default VLAN.</t>
    </r>
    <r>
      <rPr>
        <sz val="11"/>
        <color rgb="FF000000"/>
        <rFont val="Calibri"/>
      </rPr>
      <t xml:space="preserve">
</t>
    </r>
    <r>
      <rPr>
        <sz val="11"/>
        <color rgb="FF000000"/>
        <rFont val="Calibri"/>
      </rPr>
      <t>SW1(config)#int vlan 22</t>
    </r>
    <r>
      <rPr>
        <sz val="11"/>
        <color rgb="FF000000"/>
        <rFont val="Calibri"/>
      </rPr>
      <t xml:space="preserve">
</t>
    </r>
    <r>
      <rPr>
        <sz val="11"/>
        <color rgb="FF000000"/>
        <rFont val="Calibri"/>
      </rPr>
      <t>SW1(config-if)#ip add 10.1.22.3 255.255.255.0</t>
    </r>
    <r>
      <rPr>
        <sz val="11"/>
        <color rgb="FF000000"/>
        <rFont val="Calibri"/>
      </rPr>
      <t xml:space="preserve">
</t>
    </r>
    <r>
      <rPr>
        <sz val="11"/>
        <color rgb="FF000000"/>
        <rFont val="Calibri"/>
      </rPr>
      <t>SW1(config-if)#no shut</t>
    </r>
  </si>
  <si>
    <r>
      <rPr>
        <sz val="11"/>
        <color rgb="FF000000"/>
        <rFont val="Calibri"/>
      </rPr>
      <t>Switches use the default VLAN (i.e., VLAN 1) for in-band management and to communicate with directly connected switches using Spanning-Tree Protocol (STP), Dynamic Trunking Protocol (DTP), VLAN Trunking Protocol (VTP), and Port Aggregation Protocol (PAgP)—all untagged traffic. As a consequence, the default VLAN may unwisely span the entire network if not appropriately pruned. If its scope is large enough, the risk of compromise can increase significantly.</t>
    </r>
  </si>
  <si>
    <r>
      <rPr>
        <sz val="11"/>
        <color rgb="FF000000"/>
        <rFont val="Calibri"/>
      </rPr>
      <t>Review the switch configuration and verify that the default VLAN is not used to access the switch for management.</t>
    </r>
    <r>
      <rPr>
        <sz val="11"/>
        <color rgb="FF000000"/>
        <rFont val="Calibri"/>
      </rPr>
      <t xml:space="preserve">
</t>
    </r>
    <r>
      <rPr>
        <sz val="11"/>
        <color rgb="FF000000"/>
        <rFont val="Calibri"/>
      </rPr>
      <t>interface Vlan22</t>
    </r>
    <r>
      <rPr>
        <sz val="11"/>
        <color rgb="FF000000"/>
        <rFont val="Calibri"/>
      </rPr>
      <t xml:space="preserve">
</t>
    </r>
    <r>
      <rPr>
        <sz val="11"/>
        <color rgb="FF000000"/>
        <rFont val="Calibri"/>
      </rPr>
      <t xml:space="preserve"> description Management VLAN</t>
    </r>
    <r>
      <rPr>
        <sz val="11"/>
        <color rgb="FF000000"/>
        <rFont val="Calibri"/>
      </rPr>
      <t xml:space="preserve">
</t>
    </r>
    <r>
      <rPr>
        <sz val="11"/>
        <color rgb="FF000000"/>
        <rFont val="Calibri"/>
      </rPr>
      <t xml:space="preserve"> ip address 10.1.22.3 255.255.255.0</t>
    </r>
    <r>
      <rPr>
        <sz val="11"/>
        <color rgb="FF000000"/>
        <rFont val="Calibri"/>
      </rPr>
      <t xml:space="preserve">
</t>
    </r>
    <r>
      <rPr>
        <sz val="11"/>
        <color rgb="FF000000"/>
        <rFont val="Calibri"/>
      </rPr>
      <t>If the default VLAN is being used for management access to the switch, this is a finding.</t>
    </r>
  </si>
  <si>
    <t>V-220671</t>
  </si>
  <si>
    <r>
      <rPr>
        <sz val="11"/>
        <rFont val="Calibri"/>
      </rPr>
      <t>The Cisco switch must have all user-facing or untrusted ports configured as access switch ports.</t>
    </r>
  </si>
  <si>
    <r>
      <rPr>
        <sz val="11"/>
        <color rgb="FF000000"/>
        <rFont val="Calibri"/>
      </rPr>
      <t>Disable trunking on all user-facing or untrusted switch ports.</t>
    </r>
    <r>
      <rPr>
        <sz val="11"/>
        <color rgb="FF000000"/>
        <rFont val="Calibri"/>
      </rPr>
      <t xml:space="preserve">
</t>
    </r>
    <r>
      <rPr>
        <sz val="11"/>
        <color rgb="FF000000"/>
        <rFont val="Calibri"/>
      </rPr>
      <t>SW1(config)#int g0/6</t>
    </r>
    <r>
      <rPr>
        <sz val="11"/>
        <color rgb="FF000000"/>
        <rFont val="Calibri"/>
      </rPr>
      <t xml:space="preserve">
</t>
    </r>
    <r>
      <rPr>
        <sz val="11"/>
        <color rgb="FF000000"/>
        <rFont val="Calibri"/>
      </rPr>
      <t>SW1(config-if)#switchport mode access</t>
    </r>
    <r>
      <rPr>
        <sz val="11"/>
        <color rgb="FF000000"/>
        <rFont val="Calibri"/>
      </rPr>
      <t xml:space="preserve">
</t>
    </r>
    <r>
      <rPr>
        <sz val="11"/>
        <color rgb="FF000000"/>
        <rFont val="Calibri"/>
      </rPr>
      <t>SW1(config-if)#end</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</si>
  <si>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</si>
  <si>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Review the switch configurations and examine all user-facing or untrusted switchports. The example below depicts both access and trunk ports.</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switchport trunk encapsulation dot1q</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 negotiation auto</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switchport access vlan 11</t>
    </r>
    <r>
      <rPr>
        <sz val="11"/>
        <color rgb="FF000000"/>
        <rFont val="Calibri"/>
      </rPr>
      <t xml:space="preserve">
</t>
    </r>
    <r>
      <rPr>
        <sz val="11"/>
        <color rgb="FF000000"/>
        <rFont val="Calibri"/>
      </rPr>
      <t xml:space="preserve"> negotiation auto</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GigabitEthernet0/3</t>
    </r>
    <r>
      <rPr>
        <sz val="11"/>
        <color rgb="FF000000"/>
        <rFont val="Calibri"/>
      </rPr>
      <t xml:space="preserve">
</t>
    </r>
    <r>
      <rPr>
        <sz val="11"/>
        <color rgb="FF000000"/>
        <rFont val="Calibri"/>
      </rPr>
      <t xml:space="preserve"> switchport access vlan 12</t>
    </r>
    <r>
      <rPr>
        <sz val="11"/>
        <color rgb="FF000000"/>
        <rFont val="Calibri"/>
      </rPr>
      <t xml:space="preserve">
</t>
    </r>
    <r>
      <rPr>
        <sz val="11"/>
        <color rgb="FF000000"/>
        <rFont val="Calibri"/>
      </rPr>
      <t xml:space="preserve"> negotiation auto</t>
    </r>
    <r>
      <rPr>
        <sz val="11"/>
        <color rgb="FF000000"/>
        <rFont val="Calibri"/>
      </rPr>
      <t xml:space="preserve">
</t>
    </r>
    <r>
      <rPr>
        <sz val="11"/>
        <color rgb="FF000000"/>
        <rFont val="Calibri"/>
      </rPr>
      <t>If any of the user-facing switch ports are configured as a trunk, this is a finding.</t>
    </r>
  </si>
  <si>
    <t>V-220672</t>
  </si>
  <si>
    <r>
      <rPr>
        <sz val="11"/>
        <rFont val="Calibri"/>
      </rPr>
      <t>The Cisco switch must have the native VLAN assigned to an ID other than the default VLAN for all 802.1q trunk links.</t>
    </r>
  </si>
  <si>
    <r>
      <rPr>
        <sz val="11"/>
        <color rgb="FF000000"/>
        <rFont val="Calibri"/>
      </rPr>
      <t xml:space="preserve">To ensure the integrity of the trunk link and prevent unauthorized access, the ID of the native VLAN of the trunk port must be changed from the default VLAN (i.e., VLAN 1) to its own unique VLAN ID. </t>
    </r>
    <r>
      <rPr>
        <sz val="11"/>
        <color rgb="FF000000"/>
        <rFont val="Calibri"/>
      </rPr>
      <t xml:space="preserve">
</t>
    </r>
    <r>
      <rPr>
        <sz val="11"/>
        <color rgb="FF000000"/>
        <rFont val="Calibri"/>
      </rPr>
      <t>SW1(config)#int g0/1</t>
    </r>
    <r>
      <rPr>
        <sz val="11"/>
        <color rgb="FF000000"/>
        <rFont val="Calibri"/>
      </rPr>
      <t xml:space="preserve">
</t>
    </r>
    <r>
      <rPr>
        <sz val="11"/>
        <color rgb="FF000000"/>
        <rFont val="Calibri"/>
      </rPr>
      <t>SW1(config-if)#switchport trunk native vlan 44</t>
    </r>
    <r>
      <rPr>
        <sz val="11"/>
        <color rgb="FF000000"/>
        <rFont val="Calibri"/>
      </rPr>
      <t xml:space="preserve">
</t>
    </r>
    <r>
      <rPr>
        <sz val="11"/>
        <color rgb="FF000000"/>
        <rFont val="Calibri"/>
      </rPr>
      <t>Note: The native VLAN ID must be the same on both ends of the trunk link; otherwise, traffic could accidentally leak between broadcast domains.</t>
    </r>
  </si>
  <si>
    <r>
      <rPr>
        <sz val="11"/>
        <color rgb="FF000000"/>
        <rFont val="Calibri"/>
      </rPr>
      <t>VLAN hopping can be initiated by an attacker who has access to a switch port belonging to the same VLAN as the native VLAN of the trunk link connecting to another switch that the victim is connected to. If the attacker knows the victim’s MAC address, it can forge a frame with two 802.1q tags and a layer 2 header with the destination address of the victim. Since the frame will ingress the switch from a port belonging to its native VLAN, the trunk port connecting to the victim’s switch will simply remove the outer tag because native VLAN traffic is to be untagged. The switch will forward the frame on to the trunk link unaware of the inner tag with a VLAN ID of which the victim’s switch port is a member.</t>
    </r>
  </si>
  <si>
    <r>
      <rPr>
        <sz val="11"/>
        <color rgb="FF000000"/>
        <rFont val="Calibri"/>
      </rPr>
      <t>Review the switch configurations and examine all trunk links. Verify the native VLAN has been configured to a VLAN ID other than the ID of the default VLAN (i.e. VLAN 1) as shown in the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switchport trunk encapsulation dot1q</t>
    </r>
    <r>
      <rPr>
        <sz val="11"/>
        <color rgb="FF000000"/>
        <rFont val="Calibri"/>
      </rPr>
      <t xml:space="preserve">
</t>
    </r>
    <r>
      <rPr>
        <sz val="11"/>
        <color rgb="FF000000"/>
        <rFont val="Calibri"/>
      </rPr>
      <t xml:space="preserve"> switchport trunk native vlan 44</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 negotiation auto</t>
    </r>
    <r>
      <rPr>
        <sz val="11"/>
        <color rgb="FF000000"/>
        <rFont val="Calibri"/>
      </rPr>
      <t xml:space="preserve">
</t>
    </r>
    <r>
      <rPr>
        <sz val="11"/>
        <color rgb="FF000000"/>
        <rFont val="Calibri"/>
      </rPr>
      <t>Note: An alternative to configuring a dedicated native VLAN is to ensure that all native VLAN traffic is tagged. This will mitigate the risk of VLAN hopping since there will always be an outer tag for native traffic as it traverses an 802.1q trunk link.</t>
    </r>
    <r>
      <rPr>
        <sz val="11"/>
        <color rgb="FF000000"/>
        <rFont val="Calibri"/>
      </rPr>
      <t xml:space="preserve">
</t>
    </r>
    <r>
      <rPr>
        <sz val="11"/>
        <color rgb="FF000000"/>
        <rFont val="Calibri"/>
      </rPr>
      <t>If the native VLAN has the same VLAN ID as the default VLAN, this is a finding.</t>
    </r>
  </si>
  <si>
    <t>V-220673</t>
  </si>
  <si>
    <r>
      <rPr>
        <sz val="11"/>
        <rFont val="Calibri"/>
      </rPr>
      <t>The Cisco switch must not have any switchports assigned to the native VLAN.</t>
    </r>
  </si>
  <si>
    <r>
      <rPr>
        <sz val="11"/>
        <color rgb="FF000000"/>
        <rFont val="Calibri"/>
      </rPr>
      <t>Configure all access switch ports to a VLAN other than the native VLAN.</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</si>
  <si>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</si>
  <si>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Review the switch configurations and examine all access switch ports. Verify that they do not belong to the native VLAN as shown in the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switchport trunk encapsulation dot1q</t>
    </r>
    <r>
      <rPr>
        <sz val="11"/>
        <color rgb="FF000000"/>
        <rFont val="Calibri"/>
      </rPr>
      <t xml:space="preserve">
</t>
    </r>
    <r>
      <rPr>
        <sz val="11"/>
        <color rgb="FF000000"/>
        <rFont val="Calibri"/>
      </rPr>
      <t xml:space="preserve"> switchport trunk native vlan 44</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 negotiation auto</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switchport access vlan 11</t>
    </r>
    <r>
      <rPr>
        <sz val="11"/>
        <color rgb="FF000000"/>
        <rFont val="Calibri"/>
      </rPr>
      <t xml:space="preserve">
</t>
    </r>
    <r>
      <rPr>
        <sz val="11"/>
        <color rgb="FF000000"/>
        <rFont val="Calibri"/>
      </rPr>
      <t xml:space="preserve"> negotiation auto</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GigabitEthernet0/3</t>
    </r>
    <r>
      <rPr>
        <sz val="11"/>
        <color rgb="FF000000"/>
        <rFont val="Calibri"/>
      </rPr>
      <t xml:space="preserve">
</t>
    </r>
    <r>
      <rPr>
        <sz val="11"/>
        <color rgb="FF000000"/>
        <rFont val="Calibri"/>
      </rPr>
      <t xml:space="preserve"> switchport access vlan 12</t>
    </r>
    <r>
      <rPr>
        <sz val="11"/>
        <color rgb="FF000000"/>
        <rFont val="Calibri"/>
      </rPr>
      <t xml:space="preserve">
</t>
    </r>
    <r>
      <rPr>
        <sz val="11"/>
        <color rgb="FF000000"/>
        <rFont val="Calibri"/>
      </rPr>
      <t xml:space="preserve"> negotiation auto</t>
    </r>
    <r>
      <rPr>
        <sz val="11"/>
        <color rgb="FF000000"/>
        <rFont val="Calibri"/>
      </rPr>
      <t xml:space="preserve">
</t>
    </r>
    <r>
      <rPr>
        <sz val="11"/>
        <color rgb="FF000000"/>
        <rFont val="Calibri"/>
      </rPr>
      <t>!</t>
    </r>
    <r>
      <rPr>
        <sz val="11"/>
        <color rgb="FF000000"/>
        <rFont val="Calibri"/>
      </rPr>
      <t xml:space="preserve">
</t>
    </r>
    <r>
      <rPr>
        <sz val="11"/>
        <color rgb="FF000000"/>
        <rFont val="Calibri"/>
      </rPr>
      <t>If any access switch ports have been assigned to the same VLAN ID as the native VLAN, this is a finding.</t>
    </r>
  </si>
  <si>
    <t>V-220986</t>
  </si>
  <si>
    <r>
      <rPr>
        <sz val="11"/>
        <rFont val="Calibri"/>
      </rPr>
      <t>The Cisco switch must be configured to enforce approved authorizations for controlling the flow of information within the network based on organization-defined information flow control policies.</t>
    </r>
  </si>
  <si>
    <t>RTR</t>
  </si>
  <si>
    <r>
      <rPr>
        <sz val="11"/>
        <color rgb="FF000000"/>
        <rFont val="Calibri"/>
      </rPr>
      <t>Configure ACLs to allow or deny traffic for specific source and destination addresses as well as ports and protocols between various subnets as required. The commands used below were used to create the configuration as shown in the check content.</t>
    </r>
    <r>
      <rPr>
        <sz val="11"/>
        <color rgb="FF000000"/>
        <rFont val="Calibri"/>
      </rPr>
      <t xml:space="preserve">
</t>
    </r>
    <r>
      <rPr>
        <sz val="11"/>
        <color rgb="FF000000"/>
        <rFont val="Calibri"/>
      </rPr>
      <t>SW1(config)#ip access-list extended FILTER_SERVER_TRAFFIC</t>
    </r>
    <r>
      <rPr>
        <sz val="11"/>
        <color rgb="FF000000"/>
        <rFont val="Calibri"/>
      </rPr>
      <t xml:space="preserve">
</t>
    </r>
    <r>
      <rPr>
        <sz val="11"/>
        <color rgb="FF000000"/>
        <rFont val="Calibri"/>
      </rPr>
      <t>SW1(config-ext-nacl)#permit tcp any 10.1.12.0 0.0.0.255 eq 515 631 9100</t>
    </r>
    <r>
      <rPr>
        <sz val="11"/>
        <color rgb="FF000000"/>
        <rFont val="Calibri"/>
      </rPr>
      <t xml:space="preserve">
</t>
    </r>
    <r>
      <rPr>
        <sz val="11"/>
        <color rgb="FF000000"/>
        <rFont val="Calibri"/>
      </rPr>
      <t>SW1(config-ext-nacl)#permit tcp any 10.1.13.0 0.0.0.255 eq 1433 1434 4022</t>
    </r>
    <r>
      <rPr>
        <sz val="11"/>
        <color rgb="FF000000"/>
        <rFont val="Calibri"/>
      </rPr>
      <t xml:space="preserve">
</t>
    </r>
    <r>
      <rPr>
        <sz val="11"/>
        <color rgb="FF000000"/>
        <rFont val="Calibri"/>
      </rPr>
      <t>SW1(config-ext-nacl)#permit icmp any any</t>
    </r>
    <r>
      <rPr>
        <sz val="11"/>
        <color rgb="FF000000"/>
        <rFont val="Calibri"/>
      </rPr>
      <t xml:space="preserve">
</t>
    </r>
    <r>
      <rPr>
        <sz val="11"/>
        <color rgb="FF000000"/>
        <rFont val="Calibri"/>
      </rPr>
      <t>SW1(config-ext-nacl)#permit ospf any any</t>
    </r>
    <r>
      <rPr>
        <sz val="11"/>
        <color rgb="FF000000"/>
        <rFont val="Calibri"/>
      </rPr>
      <t xml:space="preserve">
</t>
    </r>
    <r>
      <rPr>
        <sz val="11"/>
        <color rgb="FF000000"/>
        <rFont val="Calibri"/>
      </rPr>
      <t>SW1(config-ext-nacl)#deny ip any any</t>
    </r>
    <r>
      <rPr>
        <sz val="11"/>
        <color rgb="FF000000"/>
        <rFont val="Calibri"/>
      </rPr>
      <t xml:space="preserve">
</t>
    </r>
    <r>
      <rPr>
        <sz val="11"/>
        <color rgb="FF000000"/>
        <rFont val="Calibri"/>
      </rPr>
      <t>SW1(config-ext-nacl)#exit</t>
    </r>
    <r>
      <rPr>
        <sz val="11"/>
        <color rgb="FF000000"/>
        <rFont val="Calibri"/>
      </rPr>
      <t xml:space="preserve">
</t>
    </r>
    <r>
      <rPr>
        <sz val="11"/>
        <color rgb="FF000000"/>
        <rFont val="Calibri"/>
      </rPr>
      <t>SW1(config)#interface g0/1</t>
    </r>
    <r>
      <rPr>
        <sz val="11"/>
        <color rgb="FF000000"/>
        <rFont val="Calibri"/>
      </rPr>
      <t xml:space="preserve">
</t>
    </r>
    <r>
      <rPr>
        <sz val="11"/>
        <color rgb="FF000000"/>
        <rFont val="Calibri"/>
      </rPr>
      <t>SW1(config-if)#ip access-group FILTER_SERVER_TRAFFIC in</t>
    </r>
    <r>
      <rPr>
        <sz val="11"/>
        <color rgb="FF000000"/>
        <rFont val="Calibri"/>
      </rPr>
      <t xml:space="preserve">
</t>
    </r>
    <r>
      <rPr>
        <sz val="11"/>
        <color rgb="FF000000"/>
        <rFont val="Calibri"/>
      </rPr>
      <t>SW1(config-if)#end</t>
    </r>
    <r>
      <rPr>
        <sz val="11"/>
        <color rgb="FF000000"/>
        <rFont val="Calibri"/>
      </rPr>
      <t xml:space="preserve">
</t>
    </r>
    <r>
      <rPr>
        <sz val="11"/>
        <color rgb="FF000000"/>
        <rFont val="Calibri"/>
      </rPr>
      <t>Alternate: Inter-VLAN routing</t>
    </r>
    <r>
      <rPr>
        <sz val="11"/>
        <color rgb="FF000000"/>
        <rFont val="Calibri"/>
      </rPr>
      <t xml:space="preserve">
</t>
    </r>
    <r>
      <rPr>
        <sz val="11"/>
        <color rgb="FF000000"/>
        <rFont val="Calibri"/>
      </rPr>
      <t>SW1(config)#ip access-list extended FILTER_PRINTER_VLAN</t>
    </r>
    <r>
      <rPr>
        <sz val="11"/>
        <color rgb="FF000000"/>
        <rFont val="Calibri"/>
      </rPr>
      <t xml:space="preserve">
</t>
    </r>
    <r>
      <rPr>
        <sz val="11"/>
        <color rgb="FF000000"/>
        <rFont val="Calibri"/>
      </rPr>
      <t>SW1(config-ext-nacl)#permit tcp any any eq lpd 631 9100</t>
    </r>
    <r>
      <rPr>
        <sz val="11"/>
        <color rgb="FF000000"/>
        <rFont val="Calibri"/>
      </rPr>
      <t xml:space="preserve">
</t>
    </r>
    <r>
      <rPr>
        <sz val="11"/>
        <color rgb="FF000000"/>
        <rFont val="Calibri"/>
      </rPr>
      <t>SW1(config-ext-nacl)#permit icmp any any</t>
    </r>
    <r>
      <rPr>
        <sz val="11"/>
        <color rgb="FF000000"/>
        <rFont val="Calibri"/>
      </rPr>
      <t xml:space="preserve">
</t>
    </r>
    <r>
      <rPr>
        <sz val="11"/>
        <color rgb="FF000000"/>
        <rFont val="Calibri"/>
      </rPr>
      <t>SW1(config-ext-nacl)#deny ip any any</t>
    </r>
    <r>
      <rPr>
        <sz val="11"/>
        <color rgb="FF000000"/>
        <rFont val="Calibri"/>
      </rPr>
      <t xml:space="preserve">
</t>
    </r>
    <r>
      <rPr>
        <sz val="11"/>
        <color rgb="FF000000"/>
        <rFont val="Calibri"/>
      </rPr>
      <t>SW1(config-ext-nacl)#exit</t>
    </r>
    <r>
      <rPr>
        <sz val="11"/>
        <color rgb="FF000000"/>
        <rFont val="Calibri"/>
      </rPr>
      <t xml:space="preserve">
</t>
    </r>
    <r>
      <rPr>
        <sz val="11"/>
        <color rgb="FF000000"/>
        <rFont val="Calibri"/>
      </rPr>
      <t>SW1(config)#ip access-list extended FILTER_SQL_VLAN</t>
    </r>
    <r>
      <rPr>
        <sz val="11"/>
        <color rgb="FF000000"/>
        <rFont val="Calibri"/>
      </rPr>
      <t xml:space="preserve">
</t>
    </r>
    <r>
      <rPr>
        <sz val="11"/>
        <color rgb="FF000000"/>
        <rFont val="Calibri"/>
      </rPr>
      <t>SW1(config-ext-nacl)#permit tcp any any eq 1433 1434 4022</t>
    </r>
    <r>
      <rPr>
        <sz val="11"/>
        <color rgb="FF000000"/>
        <rFont val="Calibri"/>
      </rPr>
      <t xml:space="preserve">
</t>
    </r>
    <r>
      <rPr>
        <sz val="11"/>
        <color rgb="FF000000"/>
        <rFont val="Calibri"/>
      </rPr>
      <t>SW1(config-ext-nacl)#permit icmp any any</t>
    </r>
    <r>
      <rPr>
        <sz val="11"/>
        <color rgb="FF000000"/>
        <rFont val="Calibri"/>
      </rPr>
      <t xml:space="preserve">
</t>
    </r>
    <r>
      <rPr>
        <sz val="11"/>
        <color rgb="FF000000"/>
        <rFont val="Calibri"/>
      </rPr>
      <t>SW1(config-ext-nacl)#deny ip any any</t>
    </r>
    <r>
      <rPr>
        <sz val="11"/>
        <color rgb="FF000000"/>
        <rFont val="Calibri"/>
      </rPr>
      <t xml:space="preserve">
</t>
    </r>
    <r>
      <rPr>
        <sz val="11"/>
        <color rgb="FF000000"/>
        <rFont val="Calibri"/>
      </rPr>
      <t>SW1(config-ext-nacl)#exit</t>
    </r>
    <r>
      <rPr>
        <sz val="11"/>
        <color rgb="FF000000"/>
        <rFont val="Calibri"/>
      </rPr>
      <t xml:space="preserve">
</t>
    </r>
    <r>
      <rPr>
        <sz val="11"/>
        <color rgb="FF000000"/>
        <rFont val="Calibri"/>
      </rPr>
      <t>SW1(config)#interface vlan 12</t>
    </r>
    <r>
      <rPr>
        <sz val="11"/>
        <color rgb="FF000000"/>
        <rFont val="Calibri"/>
      </rPr>
      <t xml:space="preserve">
</t>
    </r>
    <r>
      <rPr>
        <sz val="11"/>
        <color rgb="FF000000"/>
        <rFont val="Calibri"/>
      </rPr>
      <t>SW1(config-if)#ip access-group FILTER_PRINTER_VLAN out</t>
    </r>
    <r>
      <rPr>
        <sz val="11"/>
        <color rgb="FF000000"/>
        <rFont val="Calibri"/>
      </rPr>
      <t xml:space="preserve">
</t>
    </r>
    <r>
      <rPr>
        <sz val="11"/>
        <color rgb="FF000000"/>
        <rFont val="Calibri"/>
      </rPr>
      <t>SW1(config-if)#exit</t>
    </r>
    <r>
      <rPr>
        <sz val="11"/>
        <color rgb="FF000000"/>
        <rFont val="Calibri"/>
      </rPr>
      <t xml:space="preserve">
</t>
    </r>
    <r>
      <rPr>
        <sz val="11"/>
        <color rgb="FF000000"/>
        <rFont val="Calibri"/>
      </rPr>
      <t>SW1(config)#interface vlan 13</t>
    </r>
    <r>
      <rPr>
        <sz val="11"/>
        <color rgb="FF000000"/>
        <rFont val="Calibri"/>
      </rPr>
      <t xml:space="preserve">
</t>
    </r>
    <r>
      <rPr>
        <sz val="11"/>
        <color rgb="FF000000"/>
        <rFont val="Calibri"/>
      </rPr>
      <t>SW1(config-if)#ip access-group FILTER_SQL_VLAN out</t>
    </r>
    <r>
      <rPr>
        <sz val="11"/>
        <color rgb="FF000000"/>
        <rFont val="Calibri"/>
      </rPr>
      <t xml:space="preserve">
</t>
    </r>
    <r>
      <rPr>
        <sz val="11"/>
        <color rgb="FF000000"/>
        <rFont val="Calibri"/>
      </rPr>
      <t>SW1(config-if)#end</t>
    </r>
  </si>
  <si>
    <r>
      <rPr>
        <sz val="11"/>
        <color rgb="FF000000"/>
        <rFont val="Calibri"/>
      </rPr>
      <t>Information flow control regulates where information is allowed to travel within a network and between interconnected networks. The flow of all network traffic must be monitored and controlled so it does not introduce any unacceptable risk to the network infrastructure or data. Information flow control policies and enforcement mechanisms are commonly employed by organizations to control the flow of information between designated sources and destinations (e.g., networks, individuals, and devices) within information systems.</t>
    </r>
    <r>
      <rPr>
        <sz val="11"/>
        <color rgb="FF000000"/>
        <rFont val="Calibri"/>
      </rPr>
      <t xml:space="preserve">
</t>
    </r>
    <r>
      <rPr>
        <sz val="11"/>
        <color rgb="FF000000"/>
        <rFont val="Calibri"/>
      </rPr>
      <t>Enforcement occurs, for example, in boundary protection devices (e.g., gateways, switches, guards, encrypted tunnels, and firewalls) that employ rule sets or establish configuration settings that restrict information system services, provide a packet-filtering capability based on header information, or provide a message-filtering capability based on message content (e.g., implementing key word searches or using document characteristics).</t>
    </r>
  </si>
  <si>
    <r>
      <rPr>
        <sz val="11"/>
        <color rgb="FF000000"/>
        <rFont val="Calibri"/>
      </rPr>
      <t>If Virtual Routing and Forwarding (VRF) is used to segment traffic and force traffic to traverse through next generation firewalls with ACLs, this requirement is not applicable.</t>
    </r>
    <r>
      <rPr>
        <sz val="11"/>
        <color rgb="FF000000"/>
        <rFont val="Calibri"/>
      </rPr>
      <t xml:space="preserve">
</t>
    </r>
    <r>
      <rPr>
        <sz val="11"/>
        <color rgb="FF000000"/>
        <rFont val="Calibri"/>
      </rPr>
      <t>Review the switch configuration to verify that ACLs are configured to allow or deny traffic for specific source and destination addresses as well as ports and protocols. For example, the configuration below will allow only printer traffic into subnet 10.1.12.0/24 and SQL traffic into subnet 10.1.13.0/24. ICMP is allowed for troubleshooting and OSPF is the routing protocol used within the network.</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10.2.1.1 255.255.255.252</t>
    </r>
    <r>
      <rPr>
        <sz val="11"/>
        <color rgb="FF000000"/>
        <rFont val="Calibri"/>
      </rPr>
      <t xml:space="preserve">
</t>
    </r>
    <r>
      <rPr>
        <sz val="11"/>
        <color rgb="FF000000"/>
        <rFont val="Calibri"/>
      </rPr>
      <t xml:space="preserve"> ip access-group FILTER_SERVER_TRAFFIC in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FILTER_SERVER_TRAFFIC</t>
    </r>
    <r>
      <rPr>
        <sz val="11"/>
        <color rgb="FF000000"/>
        <rFont val="Calibri"/>
      </rPr>
      <t xml:space="preserve">
</t>
    </r>
    <r>
      <rPr>
        <sz val="11"/>
        <color rgb="FF000000"/>
        <rFont val="Calibri"/>
      </rPr>
      <t xml:space="preserve"> permit tcp any 10.1.12.0 0.0.0.255 eq lpd 631 9100</t>
    </r>
    <r>
      <rPr>
        <sz val="11"/>
        <color rgb="FF000000"/>
        <rFont val="Calibri"/>
      </rPr>
      <t xml:space="preserve">
</t>
    </r>
    <r>
      <rPr>
        <sz val="11"/>
        <color rgb="FF000000"/>
        <rFont val="Calibri"/>
      </rPr>
      <t xml:space="preserve"> permit tcp any 10.1.13.0 0.0.0.255 eq 1433 1434 4022</t>
    </r>
    <r>
      <rPr>
        <sz val="11"/>
        <color rgb="FF000000"/>
        <rFont val="Calibri"/>
      </rPr>
      <t xml:space="preserve">
</t>
    </r>
    <r>
      <rPr>
        <sz val="11"/>
        <color rgb="FF000000"/>
        <rFont val="Calibri"/>
      </rPr>
      <t xml:space="preserve"> permit icmp any any</t>
    </r>
    <r>
      <rPr>
        <sz val="11"/>
        <color rgb="FF000000"/>
        <rFont val="Calibri"/>
      </rPr>
      <t xml:space="preserve">
</t>
    </r>
    <r>
      <rPr>
        <sz val="11"/>
        <color rgb="FF000000"/>
        <rFont val="Calibri"/>
      </rPr>
      <t xml:space="preserve"> permit ospf any any</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Alternate: Inter-VLAN routing</t>
    </r>
    <r>
      <rPr>
        <sz val="11"/>
        <color rgb="FF000000"/>
        <rFont val="Calibri"/>
      </rPr>
      <t xml:space="preserve">
</t>
    </r>
    <r>
      <rPr>
        <sz val="11"/>
        <color rgb="FF000000"/>
        <rFont val="Calibri"/>
      </rPr>
      <t>interface Vlan12</t>
    </r>
    <r>
      <rPr>
        <sz val="11"/>
        <color rgb="FF000000"/>
        <rFont val="Calibri"/>
      </rPr>
      <t xml:space="preserve">
</t>
    </r>
    <r>
      <rPr>
        <sz val="11"/>
        <color rgb="FF000000"/>
        <rFont val="Calibri"/>
      </rPr>
      <t xml:space="preserve"> ip address 10.1.12.1 255.255.255.0</t>
    </r>
    <r>
      <rPr>
        <sz val="11"/>
        <color rgb="FF000000"/>
        <rFont val="Calibri"/>
      </rPr>
      <t xml:space="preserve">
</t>
    </r>
    <r>
      <rPr>
        <sz val="11"/>
        <color rgb="FF000000"/>
        <rFont val="Calibri"/>
      </rPr>
      <t xml:space="preserve"> ip access-group FILTER_PRINTER_VLAN out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Vlan13</t>
    </r>
    <r>
      <rPr>
        <sz val="11"/>
        <color rgb="FF000000"/>
        <rFont val="Calibri"/>
      </rPr>
      <t xml:space="preserve">
</t>
    </r>
    <r>
      <rPr>
        <sz val="11"/>
        <color rgb="FF000000"/>
        <rFont val="Calibri"/>
      </rPr>
      <t xml:space="preserve"> ip address 10.1.13.1 255.255.255.0</t>
    </r>
    <r>
      <rPr>
        <sz val="11"/>
        <color rgb="FF000000"/>
        <rFont val="Calibri"/>
      </rPr>
      <t xml:space="preserve">
</t>
    </r>
    <r>
      <rPr>
        <sz val="11"/>
        <color rgb="FF000000"/>
        <rFont val="Calibri"/>
      </rPr>
      <t xml:space="preserve"> ip access-group FILTER_SQL_VLAN out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FILTER_PRINTER_VLAN</t>
    </r>
    <r>
      <rPr>
        <sz val="11"/>
        <color rgb="FF000000"/>
        <rFont val="Calibri"/>
      </rPr>
      <t xml:space="preserve">
</t>
    </r>
    <r>
      <rPr>
        <sz val="11"/>
        <color rgb="FF000000"/>
        <rFont val="Calibri"/>
      </rPr>
      <t xml:space="preserve"> permit tcp any any eq lpd 631 9100</t>
    </r>
    <r>
      <rPr>
        <sz val="11"/>
        <color rgb="FF000000"/>
        <rFont val="Calibri"/>
      </rPr>
      <t xml:space="preserve">
</t>
    </r>
    <r>
      <rPr>
        <sz val="11"/>
        <color rgb="FF000000"/>
        <rFont val="Calibri"/>
      </rPr>
      <t xml:space="preserve"> permit icmp any any</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ip access-list extended FILTER_SQL_VLAN</t>
    </r>
    <r>
      <rPr>
        <sz val="11"/>
        <color rgb="FF000000"/>
        <rFont val="Calibri"/>
      </rPr>
      <t xml:space="preserve">
</t>
    </r>
    <r>
      <rPr>
        <sz val="11"/>
        <color rgb="FF000000"/>
        <rFont val="Calibri"/>
      </rPr>
      <t xml:space="preserve"> permit tcp any any eq 1433 1434 4022</t>
    </r>
    <r>
      <rPr>
        <sz val="11"/>
        <color rgb="FF000000"/>
        <rFont val="Calibri"/>
      </rPr>
      <t xml:space="preserve">
</t>
    </r>
    <r>
      <rPr>
        <sz val="11"/>
        <color rgb="FF000000"/>
        <rFont val="Calibri"/>
      </rPr>
      <t xml:space="preserve"> permit icmp any any</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If the switch is not configured to enforce approved authorizations for controlling the flow of information within the network based on organization-defined information flow control policies, this is a finding.</t>
    </r>
  </si>
  <si>
    <t>V-220990</t>
  </si>
  <si>
    <r>
      <rPr>
        <sz val="11"/>
        <rFont val="Calibri"/>
      </rPr>
      <t>The Cisco switch must be configured to enable routing protocol authentication using FIPS 198-1 algorithms with keys not exceeding 180 days of lifetime.</t>
    </r>
  </si>
  <si>
    <r>
      <rPr>
        <sz val="11"/>
        <color rgb="FF000000"/>
        <rFont val="Calibri"/>
      </rPr>
      <t>Configure routing protocol authentication to use a NIST-validated FIPS 198-1 message authentication code algorithm with keys not exceeding 180 days of lifetime as shown in the examples.</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Step 1: Configure a keychain using a FIPS 198-1 algorithm with a key duration not exceeding 180 days.</t>
    </r>
    <r>
      <rPr>
        <sz val="11"/>
        <color rgb="FF000000"/>
        <rFont val="Calibri"/>
      </rPr>
      <t xml:space="preserve">
</t>
    </r>
    <r>
      <rPr>
        <sz val="11"/>
        <color rgb="FF000000"/>
        <rFont val="Calibri"/>
      </rPr>
      <t xml:space="preserve">key chain &lt;KEY-CHAIN-NAME&gt; tcp </t>
    </r>
    <r>
      <rPr>
        <sz val="11"/>
        <color rgb="FF000000"/>
        <rFont val="Calibri"/>
      </rPr>
      <t xml:space="preserve">
</t>
    </r>
    <r>
      <rPr>
        <sz val="11"/>
        <color rgb="FF000000"/>
        <rFont val="Calibri"/>
      </rPr>
      <t>key &lt;KEY-ID&gt;</t>
    </r>
    <r>
      <rPr>
        <sz val="11"/>
        <color rgb="FF000000"/>
        <rFont val="Calibri"/>
      </rPr>
      <t xml:space="preserve">
</t>
    </r>
    <r>
      <rPr>
        <sz val="11"/>
        <color rgb="FF000000"/>
        <rFont val="Calibri"/>
      </rPr>
      <t>send-id &lt;ID&gt;</t>
    </r>
    <r>
      <rPr>
        <sz val="11"/>
        <color rgb="FF000000"/>
        <rFont val="Calibri"/>
      </rPr>
      <t xml:space="preserve">
</t>
    </r>
    <r>
      <rPr>
        <sz val="11"/>
        <color rgb="FF000000"/>
        <rFont val="Calibri"/>
      </rPr>
      <t>recv-id &lt;ID&gt;</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key-string &lt;KEY&gt;</t>
    </r>
    <r>
      <rPr>
        <sz val="11"/>
        <color rgb="FF000000"/>
        <rFont val="Calibri"/>
      </rPr>
      <t xml:space="preserve">
</t>
    </r>
    <r>
      <rPr>
        <sz val="11"/>
        <color rgb="FF000000"/>
        <rFont val="Calibri"/>
      </rPr>
      <t>accept-lifetime 00:00:00 Jan 1 2022 duration 180</t>
    </r>
    <r>
      <rPr>
        <sz val="11"/>
        <color rgb="FF000000"/>
        <rFont val="Calibri"/>
      </rPr>
      <t xml:space="preserve">
</t>
    </r>
    <r>
      <rPr>
        <sz val="11"/>
        <color rgb="FF000000"/>
        <rFont val="Calibri"/>
      </rPr>
      <t xml:space="preserve">send-lifetime 00:00:00 Jan 1 2022 duration 180 </t>
    </r>
    <r>
      <rPr>
        <sz val="11"/>
        <color rgb="FF000000"/>
        <rFont val="Calibri"/>
      </rPr>
      <t xml:space="preserve">
</t>
    </r>
    <r>
      <rPr>
        <sz val="11"/>
        <color rgb="FF000000"/>
        <rFont val="Calibri"/>
      </rPr>
      <t>!</t>
    </r>
    <r>
      <rPr>
        <sz val="11"/>
        <color rgb="FF000000"/>
        <rFont val="Calibri"/>
      </rPr>
      <t xml:space="preserve">
</t>
    </r>
    <r>
      <rPr>
        <sz val="11"/>
        <color rgb="FF000000"/>
        <rFont val="Calibri"/>
      </rPr>
      <t>Step 2: Configure BGP autonomous system to use the keychain for authentication.</t>
    </r>
    <r>
      <rPr>
        <sz val="11"/>
        <color rgb="FF000000"/>
        <rFont val="Calibri"/>
      </rPr>
      <t xml:space="preserve">
</t>
    </r>
    <r>
      <rPr>
        <sz val="11"/>
        <color rgb="FF000000"/>
        <rFont val="Calibri"/>
      </rPr>
      <t>router bgp &lt;ASN&gt;</t>
    </r>
    <r>
      <rPr>
        <sz val="11"/>
        <color rgb="FF000000"/>
        <rFont val="Calibri"/>
      </rPr>
      <t xml:space="preserve">
</t>
    </r>
    <r>
      <rPr>
        <sz val="11"/>
        <color rgb="FF000000"/>
        <rFont val="Calibri"/>
      </rPr>
      <t>no synchronization</t>
    </r>
    <r>
      <rPr>
        <sz val="11"/>
        <color rgb="FF000000"/>
        <rFont val="Calibri"/>
      </rPr>
      <t xml:space="preserve">
</t>
    </r>
    <r>
      <rPr>
        <sz val="11"/>
        <color rgb="FF000000"/>
        <rFont val="Calibri"/>
      </rPr>
      <t>bgp log-neighbor-changes</t>
    </r>
    <r>
      <rPr>
        <sz val="11"/>
        <color rgb="FF000000"/>
        <rFont val="Calibri"/>
      </rPr>
      <t xml:space="preserve">
</t>
    </r>
    <r>
      <rPr>
        <sz val="11"/>
        <color rgb="FF000000"/>
        <rFont val="Calibri"/>
      </rPr>
      <t>neighbor x.x.x.x remote-as &lt;ASN&gt;</t>
    </r>
    <r>
      <rPr>
        <sz val="11"/>
        <color rgb="FF000000"/>
        <rFont val="Calibri"/>
      </rPr>
      <t xml:space="preserve">
</t>
    </r>
    <r>
      <rPr>
        <sz val="11"/>
        <color rgb="FF000000"/>
        <rFont val="Calibri"/>
      </rPr>
      <t>neighbor x.x.x.x ao &lt;KEY-CHAIN-NAME&gt;</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Step 1: Configure a keychain using a FIPS 198-1 algorithm with a key duration not exceeding 180 days.</t>
    </r>
    <r>
      <rPr>
        <sz val="11"/>
        <color rgb="FF000000"/>
        <rFont val="Calibri"/>
      </rPr>
      <t xml:space="preserve">
</t>
    </r>
    <r>
      <rPr>
        <sz val="11"/>
        <color rgb="FF000000"/>
        <rFont val="Calibri"/>
      </rPr>
      <t>key chain OSPF_KEY_CHAIN</t>
    </r>
    <r>
      <rPr>
        <sz val="11"/>
        <color rgb="FF000000"/>
        <rFont val="Calibri"/>
      </rPr>
      <t xml:space="preserve">
</t>
    </r>
    <r>
      <rPr>
        <sz val="11"/>
        <color rgb="FF000000"/>
        <rFont val="Calibri"/>
      </rPr>
      <t>key 1</t>
    </r>
    <r>
      <rPr>
        <sz val="11"/>
        <color rgb="FF000000"/>
        <rFont val="Calibri"/>
      </rPr>
      <t xml:space="preserve">
</t>
    </r>
    <r>
      <rPr>
        <sz val="11"/>
        <color rgb="FF000000"/>
        <rFont val="Calibri"/>
      </rPr>
      <t>key-string xxxxxxx</t>
    </r>
    <r>
      <rPr>
        <sz val="11"/>
        <color rgb="FF000000"/>
        <rFont val="Calibri"/>
      </rPr>
      <t xml:space="preserve">
</t>
    </r>
    <r>
      <rPr>
        <sz val="11"/>
        <color rgb="FF000000"/>
        <rFont val="Calibri"/>
      </rPr>
      <t>send-lifetime 00:00:00 Jan 1 2018 23:59:59 Mar 31 2018</t>
    </r>
    <r>
      <rPr>
        <sz val="11"/>
        <color rgb="FF000000"/>
        <rFont val="Calibri"/>
      </rPr>
      <t xml:space="preserve">
</t>
    </r>
    <r>
      <rPr>
        <sz val="11"/>
        <color rgb="FF000000"/>
        <rFont val="Calibri"/>
      </rPr>
      <t>accept-lifetime 00:00:00 Jan 1 2018 01:05:00 Apr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key 2</t>
    </r>
    <r>
      <rPr>
        <sz val="11"/>
        <color rgb="FF000000"/>
        <rFont val="Calibri"/>
      </rPr>
      <t xml:space="preserve">
</t>
    </r>
    <r>
      <rPr>
        <sz val="11"/>
        <color rgb="FF000000"/>
        <rFont val="Calibri"/>
      </rPr>
      <t>key-string yyyyyyy</t>
    </r>
    <r>
      <rPr>
        <sz val="11"/>
        <color rgb="FF000000"/>
        <rFont val="Calibri"/>
      </rPr>
      <t xml:space="preserve">
</t>
    </r>
    <r>
      <rPr>
        <sz val="11"/>
        <color rgb="FF000000"/>
        <rFont val="Calibri"/>
      </rPr>
      <t>send-lifetime 00:00:00 Apr 1 2018 23:59:59 Jun 30 2018</t>
    </r>
    <r>
      <rPr>
        <sz val="11"/>
        <color rgb="FF000000"/>
        <rFont val="Calibri"/>
      </rPr>
      <t xml:space="preserve">
</t>
    </r>
    <r>
      <rPr>
        <sz val="11"/>
        <color rgb="FF000000"/>
        <rFont val="Calibri"/>
      </rPr>
      <t>accept-lifetime 23:55:00 Mar 31 2018 01:05:00 Jul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Step 2: Configure OSPF to use the keychain for authentication.</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ip address x.x.x.x 255.255.255.0</t>
    </r>
    <r>
      <rPr>
        <sz val="11"/>
        <color rgb="FF000000"/>
        <rFont val="Calibri"/>
      </rPr>
      <t xml:space="preserve">
</t>
    </r>
    <r>
      <rPr>
        <sz val="11"/>
        <color rgb="FF000000"/>
        <rFont val="Calibri"/>
      </rPr>
      <t>ip ospf authentication key-chain OSPF_KEY_CHAIN</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</si>
  <si>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using FIPS 198-1 algorithms for routing updates.</t>
    </r>
    <r>
      <rPr>
        <sz val="11"/>
        <color rgb="FF000000"/>
        <rFont val="Calibri"/>
      </rPr>
      <t xml:space="preserve">
</t>
    </r>
    <r>
      <rPr>
        <sz val="11"/>
        <color rgb="FF000000"/>
        <rFont val="Calibri"/>
      </rPr>
      <t>If the keys used for authentication are guessed, the malicious user could create havoc within the network by advertising incorrect routes and redirecting traffic. Some routing protocols allow the use of key chains for authentication. A key chain is a set of keys that is used in succession, with each having a lifetime of no more than 180 days. Changing the keys frequently reduces the risk of them eventually being guessed. If a time period occurs during which no key is activated, neighbor authentication cannot occur, and therefore routing updates will fail.</t>
    </r>
  </si>
  <si>
    <r>
      <rPr>
        <sz val="11"/>
        <color rgb="FF000000"/>
        <rFont val="Calibri"/>
      </rPr>
      <t>Review the switch configuration using the configuration examples below for BGP and OSPF.</t>
    </r>
    <r>
      <rPr>
        <sz val="11"/>
        <color rgb="FF000000"/>
        <rFont val="Calibri"/>
      </rPr>
      <t xml:space="preserve">
</t>
    </r>
    <r>
      <rPr>
        <sz val="11"/>
        <color rgb="FF000000"/>
        <rFont val="Calibri"/>
      </rPr>
      <t>EIGRP, RIP, and IS-IS only support MD5 and will incur a permanent finding for those protocols.</t>
    </r>
    <r>
      <rPr>
        <sz val="11"/>
        <color rgb="FF000000"/>
        <rFont val="Calibri"/>
      </rPr>
      <t xml:space="preserve">
</t>
    </r>
    <r>
      <rPr>
        <sz val="11"/>
        <color rgb="FF000000"/>
        <rFont val="Calibri"/>
      </rPr>
      <t>Note: The 180-day key lifetime is Not Applicable for the DODIN Backbone. The remainder of the requirement still applies.</t>
    </r>
    <r>
      <rPr>
        <sz val="11"/>
        <color rgb="FF000000"/>
        <rFont val="Calibri"/>
      </rPr>
      <t xml:space="preserve">
</t>
    </r>
    <r>
      <rPr>
        <sz val="11"/>
        <color rgb="FF000000"/>
        <rFont val="Calibri"/>
      </rPr>
      <t>Verify that neighbor router authentication is enabled for all routing protocols. If neighbor authentication is not enabled this is a finding.</t>
    </r>
    <r>
      <rPr>
        <sz val="11"/>
        <color rgb="FF000000"/>
        <rFont val="Calibri"/>
      </rPr>
      <t xml:space="preserve">
</t>
    </r>
    <r>
      <rPr>
        <sz val="11"/>
        <color rgb="FF000000"/>
        <rFont val="Calibri"/>
      </rPr>
      <t>Verify that authentication is configured to use FIPS 198-1 message authentication algorithms. If the routing protocol authentication is not configured to use FIPS 198-1 algorithms this is a finding.</t>
    </r>
    <r>
      <rPr>
        <sz val="11"/>
        <color rgb="FF000000"/>
        <rFont val="Calibri"/>
      </rPr>
      <t xml:space="preserve">
</t>
    </r>
    <r>
      <rPr>
        <sz val="11"/>
        <color rgb="FF000000"/>
        <rFont val="Calibri"/>
      </rPr>
      <t>Verify that the protocol key lifetime is configured to not exceed 180 days. If any protocol key lifetime is configured to exceed 180 days this is a finding.</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 xml:space="preserve">key chain &lt;KEY-CHAIN-NAME&gt; tcp </t>
    </r>
    <r>
      <rPr>
        <sz val="11"/>
        <color rgb="FF000000"/>
        <rFont val="Calibri"/>
      </rPr>
      <t xml:space="preserve">
</t>
    </r>
    <r>
      <rPr>
        <sz val="11"/>
        <color rgb="FF000000"/>
        <rFont val="Calibri"/>
      </rPr>
      <t>key &lt;KEY-ID&gt;</t>
    </r>
    <r>
      <rPr>
        <sz val="11"/>
        <color rgb="FF000000"/>
        <rFont val="Calibri"/>
      </rPr>
      <t xml:space="preserve">
</t>
    </r>
    <r>
      <rPr>
        <sz val="11"/>
        <color rgb="FF000000"/>
        <rFont val="Calibri"/>
      </rPr>
      <t>send-id &lt;ID&gt;</t>
    </r>
    <r>
      <rPr>
        <sz val="11"/>
        <color rgb="FF000000"/>
        <rFont val="Calibri"/>
      </rPr>
      <t xml:space="preserve">
</t>
    </r>
    <r>
      <rPr>
        <sz val="11"/>
        <color rgb="FF000000"/>
        <rFont val="Calibri"/>
      </rPr>
      <t>recv-id &lt;ID&gt;</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key-string &lt;KEY&gt;</t>
    </r>
    <r>
      <rPr>
        <sz val="11"/>
        <color rgb="FF000000"/>
        <rFont val="Calibri"/>
      </rPr>
      <t xml:space="preserve">
</t>
    </r>
    <r>
      <rPr>
        <sz val="11"/>
        <color rgb="FF000000"/>
        <rFont val="Calibri"/>
      </rPr>
      <t>accept-lifetime 00:00:00 Jan 1 2022 duration 180</t>
    </r>
    <r>
      <rPr>
        <sz val="11"/>
        <color rgb="FF000000"/>
        <rFont val="Calibri"/>
      </rPr>
      <t xml:space="preserve">
</t>
    </r>
    <r>
      <rPr>
        <sz val="11"/>
        <color rgb="FF000000"/>
        <rFont val="Calibri"/>
      </rPr>
      <t xml:space="preserve">send-lifetime 00:00:00 Jan 1 2022 duration 180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&lt;ASN&gt;</t>
    </r>
    <r>
      <rPr>
        <sz val="11"/>
        <color rgb="FF000000"/>
        <rFont val="Calibri"/>
      </rPr>
      <t xml:space="preserve">
</t>
    </r>
    <r>
      <rPr>
        <sz val="11"/>
        <color rgb="FF000000"/>
        <rFont val="Calibri"/>
      </rPr>
      <t>no synchronization</t>
    </r>
    <r>
      <rPr>
        <sz val="11"/>
        <color rgb="FF000000"/>
        <rFont val="Calibri"/>
      </rPr>
      <t xml:space="preserve">
</t>
    </r>
    <r>
      <rPr>
        <sz val="11"/>
        <color rgb="FF000000"/>
        <rFont val="Calibri"/>
      </rPr>
      <t>bgp log-neighbor-changes</t>
    </r>
    <r>
      <rPr>
        <sz val="11"/>
        <color rgb="FF000000"/>
        <rFont val="Calibri"/>
      </rPr>
      <t xml:space="preserve">
</t>
    </r>
    <r>
      <rPr>
        <sz val="11"/>
        <color rgb="FF000000"/>
        <rFont val="Calibri"/>
      </rPr>
      <t>neighbor x.x.x.x remote-as &lt;ASN&gt;</t>
    </r>
    <r>
      <rPr>
        <sz val="11"/>
        <color rgb="FF000000"/>
        <rFont val="Calibri"/>
      </rPr>
      <t xml:space="preserve">
</t>
    </r>
    <r>
      <rPr>
        <sz val="11"/>
        <color rgb="FF000000"/>
        <rFont val="Calibri"/>
      </rPr>
      <t>neighbor x.x.x.x ao &lt;KEY-CHAIN-NAME&gt;</t>
    </r>
    <r>
      <rPr>
        <sz val="11"/>
        <color rgb="FF000000"/>
        <rFont val="Calibri"/>
      </rPr>
      <t xml:space="preserve">
</t>
    </r>
    <r>
      <rPr>
        <sz val="11"/>
        <color rgb="FF000000"/>
        <rFont val="Calibri"/>
      </rPr>
      <t xml:space="preserve">Note: TCP-AO is used to replace MD5 in BGP authentication. </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key chain OSPF_KEY_CHAIN</t>
    </r>
    <r>
      <rPr>
        <sz val="11"/>
        <color rgb="FF000000"/>
        <rFont val="Calibri"/>
      </rPr>
      <t xml:space="preserve">
</t>
    </r>
    <r>
      <rPr>
        <sz val="11"/>
        <color rgb="FF000000"/>
        <rFont val="Calibri"/>
      </rPr>
      <t>key 1</t>
    </r>
    <r>
      <rPr>
        <sz val="11"/>
        <color rgb="FF000000"/>
        <rFont val="Calibri"/>
      </rPr>
      <t xml:space="preserve">
</t>
    </r>
    <r>
      <rPr>
        <sz val="11"/>
        <color rgb="FF000000"/>
        <rFont val="Calibri"/>
      </rPr>
      <t>key-string xxxxxxx</t>
    </r>
    <r>
      <rPr>
        <sz val="11"/>
        <color rgb="FF000000"/>
        <rFont val="Calibri"/>
      </rPr>
      <t xml:space="preserve">
</t>
    </r>
    <r>
      <rPr>
        <sz val="11"/>
        <color rgb="FF000000"/>
        <rFont val="Calibri"/>
      </rPr>
      <t>send-lifetime 00:00:00 Jan 1 2018 23:59:59 Mar 31 2018</t>
    </r>
    <r>
      <rPr>
        <sz val="11"/>
        <color rgb="FF000000"/>
        <rFont val="Calibri"/>
      </rPr>
      <t xml:space="preserve">
</t>
    </r>
    <r>
      <rPr>
        <sz val="11"/>
        <color rgb="FF000000"/>
        <rFont val="Calibri"/>
      </rPr>
      <t>accept-lifetime 00:00:00 Jan 1 2018 01:05:00 Apr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key 2</t>
    </r>
    <r>
      <rPr>
        <sz val="11"/>
        <color rgb="FF000000"/>
        <rFont val="Calibri"/>
      </rPr>
      <t xml:space="preserve">
</t>
    </r>
    <r>
      <rPr>
        <sz val="11"/>
        <color rgb="FF000000"/>
        <rFont val="Calibri"/>
      </rPr>
      <t>key-string yyyyyyy</t>
    </r>
    <r>
      <rPr>
        <sz val="11"/>
        <color rgb="FF000000"/>
        <rFont val="Calibri"/>
      </rPr>
      <t xml:space="preserve">
</t>
    </r>
    <r>
      <rPr>
        <sz val="11"/>
        <color rgb="FF000000"/>
        <rFont val="Calibri"/>
      </rPr>
      <t>send-lifetime 00:00:00 Apr 1 2018 23:59:59 Jun 30 2018</t>
    </r>
    <r>
      <rPr>
        <sz val="11"/>
        <color rgb="FF000000"/>
        <rFont val="Calibri"/>
      </rPr>
      <t xml:space="preserve">
</t>
    </r>
    <r>
      <rPr>
        <sz val="11"/>
        <color rgb="FF000000"/>
        <rFont val="Calibri"/>
      </rPr>
      <t>accept-lifetime 23:55:00 Mar 31 2018 01:05:00 Jul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ip address x.x.x.x 255.255.255.0</t>
    </r>
    <r>
      <rPr>
        <sz val="11"/>
        <color rgb="FF000000"/>
        <rFont val="Calibri"/>
      </rPr>
      <t xml:space="preserve">
</t>
    </r>
    <r>
      <rPr>
        <sz val="11"/>
        <color rgb="FF000000"/>
        <rFont val="Calibri"/>
      </rPr>
      <t>ip ospf authentication key-chain OSPF_KEY_CHAIN</t>
    </r>
  </si>
  <si>
    <t>V-220991</t>
  </si>
  <si>
    <r>
      <rPr>
        <sz val="11"/>
        <rFont val="Calibri"/>
      </rPr>
      <t>The Cisco switch must be configured to have all inactive layer 3 interfaces disabled.</t>
    </r>
  </si>
  <si>
    <r>
      <rPr>
        <sz val="11"/>
        <color rgb="FF000000"/>
        <rFont val="Calibri"/>
      </rPr>
      <t>Disable all inactive interfaces as shown below:</t>
    </r>
    <r>
      <rPr>
        <sz val="11"/>
        <color rgb="FF000000"/>
        <rFont val="Calibri"/>
      </rPr>
      <t xml:space="preserve">
</t>
    </r>
    <r>
      <rPr>
        <sz val="11"/>
        <color rgb="FF000000"/>
        <rFont val="Calibri"/>
      </rPr>
      <t>SW1(config)#interface GigabitEthernet3</t>
    </r>
    <r>
      <rPr>
        <sz val="11"/>
        <color rgb="FF000000"/>
        <rFont val="Calibri"/>
      </rPr>
      <t xml:space="preserve">
</t>
    </r>
    <r>
      <rPr>
        <sz val="11"/>
        <color rgb="FF000000"/>
        <rFont val="Calibri"/>
      </rPr>
      <t>SW1(config-if)#shutdown</t>
    </r>
    <r>
      <rPr>
        <sz val="11"/>
        <color rgb="FF000000"/>
        <rFont val="Calibri"/>
      </rPr>
      <t xml:space="preserve">
</t>
    </r>
    <r>
      <rPr>
        <sz val="11"/>
        <color rgb="FF000000"/>
        <rFont val="Calibri"/>
      </rPr>
      <t>SW1(config)#interface GigabitEthernet4</t>
    </r>
    <r>
      <rPr>
        <sz val="11"/>
        <color rgb="FF000000"/>
        <rFont val="Calibri"/>
      </rPr>
      <t xml:space="preserve">
</t>
    </r>
    <r>
      <rPr>
        <sz val="11"/>
        <color rgb="FF000000"/>
        <rFont val="Calibri"/>
      </rPr>
      <t>SW1(config-if)#shutdown</t>
    </r>
  </si>
  <si>
    <r>
      <rPr>
        <sz val="11"/>
        <color rgb="FF000000"/>
        <rFont val="Calibri"/>
      </rPr>
      <t>An inactive interface is rarely monitored or controlled and may expose a network to an undetected attack on that interface. Unauthorized personnel with access to the communication facility could gain access to a switch by connecting to a configured interface that is not in use.</t>
    </r>
    <r>
      <rPr>
        <sz val="11"/>
        <color rgb="FF000000"/>
        <rFont val="Calibri"/>
      </rPr>
      <t xml:space="preserve">
</t>
    </r>
    <r>
      <rPr>
        <sz val="11"/>
        <color rgb="FF000000"/>
        <rFont val="Calibri"/>
      </rPr>
      <t>If an interface is no longer used, the configuration must be deleted and the interface disabled. For sub-interfaces, delete sub-interfaces that are on inactive interfaces and delete sub-interfaces that are themselves inactive. If the sub-interface is no longer necessary for authorized communications, it must be deleted.</t>
    </r>
  </si>
  <si>
    <r>
      <rPr>
        <sz val="11"/>
        <color rgb="FF000000"/>
        <rFont val="Calibri"/>
      </rPr>
      <t>Review the switch configuration and verify that inactive interfaces have been disabled as shown below:</t>
    </r>
    <r>
      <rPr>
        <sz val="11"/>
        <color rgb="FF000000"/>
        <rFont val="Calibri"/>
      </rPr>
      <t xml:space="preserve">
</t>
    </r>
    <r>
      <rPr>
        <sz val="11"/>
        <color rgb="FF000000"/>
        <rFont val="Calibri"/>
      </rPr>
      <t>interface GigabitEthernet3</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GigabitEthernet4</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If an interface is not being used but is configured or enabled, this is a finding.</t>
    </r>
  </si>
  <si>
    <t>V-220994</t>
  </si>
  <si>
    <r>
      <rPr>
        <sz val="11"/>
        <rFont val="Calibri"/>
      </rPr>
      <t>The Cisco switch must not be configured to have any zero-touch deployment feature enabled when connected to an operational network.</t>
    </r>
  </si>
  <si>
    <r>
      <rPr>
        <sz val="11"/>
        <color rgb="FF000000"/>
        <rFont val="Calibri"/>
      </rPr>
      <t>Disable configuration auto-loading if enabled using the following commands:</t>
    </r>
    <r>
      <rPr>
        <sz val="11"/>
        <color rgb="FF000000"/>
        <rFont val="Calibri"/>
      </rPr>
      <t xml:space="preserve">
</t>
    </r>
    <r>
      <rPr>
        <sz val="11"/>
        <color rgb="FF000000"/>
        <rFont val="Calibri"/>
      </rPr>
      <t>SW1(config)#no boot network</t>
    </r>
    <r>
      <rPr>
        <sz val="11"/>
        <color rgb="FF000000"/>
        <rFont val="Calibri"/>
      </rPr>
      <t xml:space="preserve">
</t>
    </r>
    <r>
      <rPr>
        <sz val="11"/>
        <color rgb="FF000000"/>
        <rFont val="Calibri"/>
      </rPr>
      <t>SW1(config)#no service config</t>
    </r>
    <r>
      <rPr>
        <sz val="11"/>
        <color rgb="FF000000"/>
        <rFont val="Calibri"/>
      </rPr>
      <t xml:space="preserve">
</t>
    </r>
    <r>
      <rPr>
        <sz val="11"/>
        <color rgb="FF000000"/>
        <rFont val="Calibri"/>
      </rPr>
      <t>Disable CNS zero-touch deployment if enabled as shown in the example below:</t>
    </r>
    <r>
      <rPr>
        <sz val="11"/>
        <color rgb="FF000000"/>
        <rFont val="Calibri"/>
      </rPr>
      <t xml:space="preserve">
</t>
    </r>
    <r>
      <rPr>
        <sz val="11"/>
        <color rgb="FF000000"/>
        <rFont val="Calibri"/>
      </rPr>
      <t>SW2(config)#no cns config initial</t>
    </r>
    <r>
      <rPr>
        <sz val="11"/>
        <color rgb="FF000000"/>
        <rFont val="Calibri"/>
      </rPr>
      <t xml:space="preserve">
</t>
    </r>
    <r>
      <rPr>
        <sz val="11"/>
        <color rgb="FF000000"/>
        <rFont val="Calibri"/>
      </rPr>
      <t>SW2(config)#no cns exec</t>
    </r>
    <r>
      <rPr>
        <sz val="11"/>
        <color rgb="FF000000"/>
        <rFont val="Calibri"/>
      </rPr>
      <t xml:space="preserve">
</t>
    </r>
    <r>
      <rPr>
        <sz val="11"/>
        <color rgb="FF000000"/>
        <rFont val="Calibri"/>
      </rPr>
      <t>SW2(config)#no cns image</t>
    </r>
    <r>
      <rPr>
        <sz val="11"/>
        <color rgb="FF000000"/>
        <rFont val="Calibri"/>
      </rPr>
      <t xml:space="preserve">
</t>
    </r>
    <r>
      <rPr>
        <sz val="11"/>
        <color rgb="FF000000"/>
        <rFont val="Calibri"/>
      </rPr>
      <t>SW2(config)#no cns trusted-server config x.x.x.x</t>
    </r>
    <r>
      <rPr>
        <sz val="11"/>
        <color rgb="FF000000"/>
        <rFont val="Calibri"/>
      </rPr>
      <t xml:space="preserve">
</t>
    </r>
    <r>
      <rPr>
        <sz val="11"/>
        <color rgb="FF000000"/>
        <rFont val="Calibri"/>
      </rPr>
      <t>SW2(config)#no cns trusted-server image x.x.x.x</t>
    </r>
  </si>
  <si>
    <r>
      <rPr>
        <sz val="11"/>
        <color rgb="FF000000"/>
        <rFont val="Calibri"/>
      </rPr>
      <t>Network devices that are configured via a zero-touch deployment or auto-loading feature can have their startup configuration or image pushed to the device for installation via TFTP or Remote Copy (rcp). Loading an image or configuration file from the network is taking a security risk because the file could be intercepted by an attacker who could corrupt the file, resulting in a denial of service.</t>
    </r>
  </si>
  <si>
    <r>
      <rPr>
        <sz val="11"/>
        <color rgb="FF000000"/>
        <rFont val="Calibri"/>
      </rPr>
      <t xml:space="preserve">Review the device configuration to determine if auto-configuration or zero-touch deployment via Cisco Networking Services (CNS) is enabled. </t>
    </r>
    <r>
      <rPr>
        <sz val="11"/>
        <color rgb="FF000000"/>
        <rFont val="Calibri"/>
      </rPr>
      <t xml:space="preserve">
</t>
    </r>
    <r>
      <rPr>
        <sz val="11"/>
        <color rgb="FF000000"/>
        <rFont val="Calibri"/>
      </rPr>
      <t>Auto-Configuration Example:</t>
    </r>
    <r>
      <rPr>
        <sz val="11"/>
        <color rgb="FF000000"/>
        <rFont val="Calibri"/>
      </rPr>
      <t xml:space="preserve">
</t>
    </r>
    <r>
      <rPr>
        <sz val="11"/>
        <color rgb="FF000000"/>
        <rFont val="Calibri"/>
      </rPr>
      <t>version 15.0</t>
    </r>
    <r>
      <rPr>
        <sz val="11"/>
        <color rgb="FF000000"/>
        <rFont val="Calibri"/>
      </rPr>
      <t xml:space="preserve">
</t>
    </r>
    <r>
      <rPr>
        <sz val="11"/>
        <color rgb="FF000000"/>
        <rFont val="Calibri"/>
      </rPr>
      <t>service config</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boot-start-marker</t>
    </r>
    <r>
      <rPr>
        <sz val="11"/>
        <color rgb="FF000000"/>
        <rFont val="Calibri"/>
      </rPr>
      <t xml:space="preserve">
</t>
    </r>
    <r>
      <rPr>
        <sz val="11"/>
        <color rgb="FF000000"/>
        <rFont val="Calibri"/>
      </rPr>
      <t>boot network tftp://x.x.x.x/R5-config</t>
    </r>
    <r>
      <rPr>
        <sz val="11"/>
        <color rgb="FF000000"/>
        <rFont val="Calibri"/>
      </rPr>
      <t xml:space="preserve">
</t>
    </r>
    <r>
      <rPr>
        <sz val="11"/>
        <color rgb="FF000000"/>
        <rFont val="Calibri"/>
      </rPr>
      <t>boot-end-marker</t>
    </r>
    <r>
      <rPr>
        <sz val="11"/>
        <color rgb="FF000000"/>
        <rFont val="Calibri"/>
      </rPr>
      <t xml:space="preserve">
</t>
    </r>
    <r>
      <rPr>
        <sz val="11"/>
        <color rgb="FF000000"/>
        <rFont val="Calibri"/>
      </rPr>
      <t>CNS Zero-Touch Example:</t>
    </r>
    <r>
      <rPr>
        <sz val="11"/>
        <color rgb="FF000000"/>
        <rFont val="Calibri"/>
      </rPr>
      <t xml:space="preserve">
</t>
    </r>
    <r>
      <rPr>
        <sz val="11"/>
        <color rgb="FF000000"/>
        <rFont val="Calibri"/>
      </rPr>
      <t>cns trusted-server config x.x.x.x</t>
    </r>
    <r>
      <rPr>
        <sz val="11"/>
        <color rgb="FF000000"/>
        <rFont val="Calibri"/>
      </rPr>
      <t xml:space="preserve">
</t>
    </r>
    <r>
      <rPr>
        <sz val="11"/>
        <color rgb="FF000000"/>
        <rFont val="Calibri"/>
      </rPr>
      <t>cns trusted-server image x.x.x.x</t>
    </r>
    <r>
      <rPr>
        <sz val="11"/>
        <color rgb="FF000000"/>
        <rFont val="Calibri"/>
      </rPr>
      <t xml:space="preserve">
</t>
    </r>
    <r>
      <rPr>
        <sz val="11"/>
        <color rgb="FF000000"/>
        <rFont val="Calibri"/>
      </rPr>
      <t>cns config initial x.x.x.x 80</t>
    </r>
    <r>
      <rPr>
        <sz val="11"/>
        <color rgb="FF000000"/>
        <rFont val="Calibri"/>
      </rPr>
      <t xml:space="preserve">
</t>
    </r>
    <r>
      <rPr>
        <sz val="11"/>
        <color rgb="FF000000"/>
        <rFont val="Calibri"/>
      </rPr>
      <t>cns exec 80</t>
    </r>
    <r>
      <rPr>
        <sz val="11"/>
        <color rgb="FF000000"/>
        <rFont val="Calibri"/>
      </rPr>
      <t xml:space="preserve">
</t>
    </r>
    <r>
      <rPr>
        <sz val="11"/>
        <color rgb="FF000000"/>
        <rFont val="Calibri"/>
      </rPr>
      <t>cns image</t>
    </r>
    <r>
      <rPr>
        <sz val="11"/>
        <color rgb="FF000000"/>
        <rFont val="Calibri"/>
      </rPr>
      <t xml:space="preserve">
</t>
    </r>
    <r>
      <rPr>
        <sz val="11"/>
        <color rgb="FF000000"/>
        <rFont val="Calibri"/>
      </rPr>
      <t xml:space="preserve">If a configuration auto-loading feature or zero-touch deployment feature is enabled, this is a finding. </t>
    </r>
    <r>
      <rPr>
        <sz val="11"/>
        <color rgb="FF000000"/>
        <rFont val="Calibri"/>
      </rPr>
      <t xml:space="preserve">
</t>
    </r>
    <r>
      <rPr>
        <sz val="11"/>
        <color rgb="FF000000"/>
        <rFont val="Calibri"/>
      </rPr>
      <t>Note: Auto-configuration or zero-touch deployment features can be enabled when the switch is offline for the purpose of image loading or building out the configuration. In addition, this would not be applicable to the provisioning of virtual switches via a software-defined network (SDN) orchestration system.</t>
    </r>
  </si>
  <si>
    <t>V-220995</t>
  </si>
  <si>
    <r>
      <rPr>
        <sz val="11"/>
        <rFont val="Calibri"/>
      </rPr>
      <t>The Cisco switch must be configured to protect against or limit the effects of denial-of-service (DoS) attacks by employing control plane protection.</t>
    </r>
  </si>
  <si>
    <r>
      <rPr>
        <sz val="11"/>
        <color rgb="FF000000"/>
        <rFont val="Calibri"/>
      </rPr>
      <t xml:space="preserve">Configure the Cisco switch to protect against known types of DoS attacks on the route processor. </t>
    </r>
    <r>
      <rPr>
        <sz val="11"/>
        <color rgb="FF000000"/>
        <rFont val="Calibri"/>
      </rPr>
      <t xml:space="preserve">
</t>
    </r>
    <r>
      <rPr>
        <sz val="11"/>
        <color rgb="FF000000"/>
        <rFont val="Calibri"/>
      </rPr>
      <t>Step 1: Configure the default policer rates for all control plane CPU queues and save the configuration.</t>
    </r>
    <r>
      <rPr>
        <sz val="11"/>
        <color rgb="FF000000"/>
        <rFont val="Calibri"/>
      </rPr>
      <t xml:space="preserve">
</t>
    </r>
    <r>
      <rPr>
        <sz val="11"/>
        <color rgb="FF000000"/>
        <rFont val="Calibri"/>
      </rPr>
      <t>Device&gt; enable</t>
    </r>
    <r>
      <rPr>
        <sz val="11"/>
        <color rgb="FF000000"/>
        <rFont val="Calibri"/>
      </rPr>
      <t xml:space="preserve">
</t>
    </r>
    <r>
      <rPr>
        <sz val="11"/>
        <color rgb="FF000000"/>
        <rFont val="Calibri"/>
      </rPr>
      <t>Device# configure terminal</t>
    </r>
    <r>
      <rPr>
        <sz val="11"/>
        <color rgb="FF000000"/>
        <rFont val="Calibri"/>
      </rPr>
      <t xml:space="preserve">
</t>
    </r>
    <r>
      <rPr>
        <sz val="11"/>
        <color rgb="FF000000"/>
        <rFont val="Calibri"/>
      </rPr>
      <t>Device(config)# cpp system-default</t>
    </r>
    <r>
      <rPr>
        <sz val="11"/>
        <color rgb="FF000000"/>
        <rFont val="Calibri"/>
      </rPr>
      <t xml:space="preserve">
</t>
    </r>
    <r>
      <rPr>
        <sz val="11"/>
        <color rgb="FF000000"/>
        <rFont val="Calibri"/>
      </rPr>
      <t>Defaulting CPP : Policer rate for all classes will be set to their defaults</t>
    </r>
    <r>
      <rPr>
        <sz val="11"/>
        <color rgb="FF000000"/>
        <rFont val="Calibri"/>
      </rPr>
      <t xml:space="preserve">
</t>
    </r>
    <r>
      <rPr>
        <sz val="11"/>
        <color rgb="FF000000"/>
        <rFont val="Calibri"/>
      </rPr>
      <t>Device(config)# end</t>
    </r>
    <r>
      <rPr>
        <sz val="11"/>
        <color rgb="FF000000"/>
        <rFont val="Calibri"/>
      </rPr>
      <t xml:space="preserve">
</t>
    </r>
    <r>
      <rPr>
        <sz val="11"/>
        <color rgb="FF000000"/>
        <rFont val="Calibri"/>
      </rPr>
      <t>Device# copy running-configuration startup-configuration</t>
    </r>
    <r>
      <rPr>
        <sz val="11"/>
        <color rgb="FF000000"/>
        <rFont val="Calibri"/>
      </rPr>
      <t xml:space="preserve">
</t>
    </r>
    <r>
      <rPr>
        <sz val="11"/>
        <color rgb="FF000000"/>
        <rFont val="Calibri"/>
      </rPr>
      <t>Step 2: View the policy map and verify the correct policer rates are set according to organization-defined standards.</t>
    </r>
    <r>
      <rPr>
        <sz val="11"/>
        <color rgb="FF000000"/>
        <rFont val="Calibri"/>
      </rPr>
      <t xml:space="preserve">
</t>
    </r>
    <r>
      <rPr>
        <sz val="11"/>
        <color rgb="FF000000"/>
        <rFont val="Calibri"/>
      </rPr>
      <t>show policy-map control-plane</t>
    </r>
    <r>
      <rPr>
        <sz val="11"/>
        <color rgb="FF000000"/>
        <rFont val="Calibri"/>
      </rPr>
      <t xml:space="preserve">
</t>
    </r>
    <r>
      <rPr>
        <sz val="11"/>
        <color rgb="FF000000"/>
        <rFont val="Calibri"/>
      </rPr>
      <t>Step 3: Change any policer rates to match the organization-defined standards.</t>
    </r>
    <r>
      <rPr>
        <sz val="11"/>
        <color rgb="FF000000"/>
        <rFont val="Calibri"/>
      </rPr>
      <t xml:space="preserve">
</t>
    </r>
    <r>
      <rPr>
        <sz val="11"/>
        <color rgb="FF000000"/>
        <rFont val="Calibri"/>
      </rPr>
      <t>Note: Starting from Cisco IOS XE Fuji 16.8.1a, the creation of user-defined class-maps is not supported. A user can only enable/disable a CPU queue or change the policer rate of a CPU queue.</t>
    </r>
  </si>
  <si>
    <r>
      <rPr>
        <sz val="11"/>
        <color rgb="FF000000"/>
        <rFont val="Calibri"/>
      </rPr>
      <t>The Route Processor (RP) is critical to all network operations because it is the component used to build all forwarding paths for the data plane via control plane processes. It is also instrumental with ongoing network management functions that keep the routers and links available for providing network services. Any disruption to the RP or the control and management planes can result in mission-critical network outages.</t>
    </r>
    <r>
      <rPr>
        <sz val="11"/>
        <color rgb="FF000000"/>
        <rFont val="Calibri"/>
      </rPr>
      <t xml:space="preserve">
</t>
    </r>
    <r>
      <rPr>
        <sz val="11"/>
        <color rgb="FF000000"/>
        <rFont val="Calibri"/>
      </rPr>
      <t>A DoS attack targeting the RP can result in excessive CPU and memory utilization. To maintain network stability and RP security, the router must be able to handle specific control plane and management plane traffic that is destined to the RP. In the past, one method of filtering was to use ingress filters on forwarding interfaces to filter both forwarding path and receiving path traffic, as well as limiting traffic destined to the device. However, this method does not scale well as the number of interfaces grows and the size of the ingress filters grows. Control plane policing increases the security of routers and multilayer switches by protecting the RP from unnecessary or malicious traffic. Filtering and rate limiting the traffic flow of control plane packets can be implemented to protect routers against reconnaissance and DoS attacks, allowing the control plane to maintain packet forwarding and protocol states despite an attack or heavy load on the router or multilayer switch.</t>
    </r>
  </si>
  <si>
    <r>
      <rPr>
        <sz val="11"/>
        <color rgb="FF000000"/>
        <rFont val="Calibri"/>
      </rPr>
      <t xml:space="preserve">Review the Cisco switch configuration to verify it is compliant with this requirement. </t>
    </r>
    <r>
      <rPr>
        <sz val="11"/>
        <color rgb="FF000000"/>
        <rFont val="Calibri"/>
      </rPr>
      <t xml:space="preserve">
</t>
    </r>
    <r>
      <rPr>
        <sz val="11"/>
        <color rgb="FF000000"/>
        <rFont val="Calibri"/>
      </rPr>
      <t>Step 1: To verify that the CoPP policy map has been saved, issue the "show running-config" command in privileged EXEC mode and verify the following line exists in the output:</t>
    </r>
    <r>
      <rPr>
        <sz val="11"/>
        <color rgb="FF000000"/>
        <rFont val="Calibri"/>
      </rPr>
      <t xml:space="preserve">
</t>
    </r>
    <r>
      <rPr>
        <sz val="11"/>
        <color rgb="FF000000"/>
        <rFont val="Calibri"/>
      </rPr>
      <t>policy-map system-cpp-policy</t>
    </r>
    <r>
      <rPr>
        <sz val="11"/>
        <color rgb="FF000000"/>
        <rFont val="Calibri"/>
      </rPr>
      <t xml:space="preserve">
</t>
    </r>
    <r>
      <rPr>
        <sz val="11"/>
        <color rgb="FF000000"/>
        <rFont val="Calibri"/>
      </rPr>
      <t>Step 2: To view the policy map and verify the correct policer rates are set according to organization-defined standards, run the following command:</t>
    </r>
    <r>
      <rPr>
        <sz val="11"/>
        <color rgb="FF000000"/>
        <rFont val="Calibri"/>
      </rPr>
      <t xml:space="preserve">
</t>
    </r>
    <r>
      <rPr>
        <sz val="11"/>
        <color rgb="FF000000"/>
        <rFont val="Calibri"/>
      </rPr>
      <t>show policy-map control-plane</t>
    </r>
    <r>
      <rPr>
        <sz val="11"/>
        <color rgb="FF000000"/>
        <rFont val="Calibri"/>
      </rPr>
      <t xml:space="preserve">
</t>
    </r>
    <r>
      <rPr>
        <sz val="11"/>
        <color rgb="FF000000"/>
        <rFont val="Calibri"/>
      </rPr>
      <t>Note: Starting from Cisco IOS XE Fuji 16.8.1a, the creation of user-defined class-maps is not supported. A user can only enable/disable a CPU queue or change the policer rate of a CPU queue.</t>
    </r>
    <r>
      <rPr>
        <sz val="11"/>
        <color rgb="FF000000"/>
        <rFont val="Calibri"/>
      </rPr>
      <t xml:space="preserve">
</t>
    </r>
    <r>
      <rPr>
        <sz val="11"/>
        <color rgb="FF000000"/>
        <rFont val="Calibri"/>
      </rPr>
      <t>If the Cisco switch is not configured to protect against known types of DoS attacks by employing organization-defined security safeguards, this is a finding.</t>
    </r>
  </si>
  <si>
    <t>V-220998</t>
  </si>
  <si>
    <r>
      <rPr>
        <sz val="11"/>
        <rFont val="Calibri"/>
      </rPr>
      <t>The Cisco switch must be configured to have Gratuitous ARP disabled on all external interfaces.</t>
    </r>
  </si>
  <si>
    <r>
      <rPr>
        <sz val="11"/>
        <color rgb="FF000000"/>
        <rFont val="Calibri"/>
      </rPr>
      <t>Disable gratuitous ARP as shown in the example below:</t>
    </r>
    <r>
      <rPr>
        <sz val="11"/>
        <color rgb="FF000000"/>
        <rFont val="Calibri"/>
      </rPr>
      <t xml:space="preserve">
</t>
    </r>
    <r>
      <rPr>
        <sz val="11"/>
        <color rgb="FF000000"/>
        <rFont val="Calibri"/>
      </rPr>
      <t>SW1(config)#no ip gratuitous-arps</t>
    </r>
  </si>
  <si>
    <r>
      <rPr>
        <sz val="11"/>
        <color rgb="FF000000"/>
        <rFont val="Calibri"/>
      </rPr>
      <t>A gratuitous ARP is an ARP broadcast in which the source and destination MAC addresses are the same. It is used to inform the network about a host IP address. A spoofed gratuitous ARP message can cause network mapping information to be stored incorrectly, causing network malfunction.</t>
    </r>
  </si>
  <si>
    <r>
      <rPr>
        <sz val="11"/>
        <color rgb="FF000000"/>
        <rFont val="Calibri"/>
      </rPr>
      <t>Review the configuration to determine if gratuitous ARP is disabled. The following command should not be found in the switch configuration:</t>
    </r>
    <r>
      <rPr>
        <sz val="11"/>
        <color rgb="FF000000"/>
        <rFont val="Calibri"/>
      </rPr>
      <t xml:space="preserve">
</t>
    </r>
    <r>
      <rPr>
        <sz val="11"/>
        <color rgb="FF000000"/>
        <rFont val="Calibri"/>
      </rPr>
      <t>ip gratuitous-arps</t>
    </r>
    <r>
      <rPr>
        <sz val="11"/>
        <color rgb="FF000000"/>
        <rFont val="Calibri"/>
      </rPr>
      <t xml:space="preserve">
</t>
    </r>
    <r>
      <rPr>
        <sz val="11"/>
        <color rgb="FF000000"/>
        <rFont val="Calibri"/>
      </rPr>
      <t>Note: With Cisco IOS, Gratuitous ARP is enabled and disabled globally.</t>
    </r>
    <r>
      <rPr>
        <sz val="11"/>
        <color rgb="FF000000"/>
        <rFont val="Calibri"/>
      </rPr>
      <t xml:space="preserve">
</t>
    </r>
    <r>
      <rPr>
        <sz val="11"/>
        <color rgb="FF000000"/>
        <rFont val="Calibri"/>
      </rPr>
      <t>If gratuitous ARP is enabled on any external interface, this is a finding.</t>
    </r>
  </si>
  <si>
    <t>V-220999</t>
  </si>
  <si>
    <r>
      <rPr>
        <sz val="11"/>
        <rFont val="Calibri"/>
      </rPr>
      <t>The Cisco switch must be configured to have IP directed broadcast disabled on all interfaces.</t>
    </r>
  </si>
  <si>
    <r>
      <rPr>
        <sz val="11"/>
        <color rgb="FF000000"/>
        <rFont val="Calibri"/>
      </rPr>
      <t>Disable IP directed broadcast on all interfaces as shown in the example below:</t>
    </r>
    <r>
      <rPr>
        <sz val="11"/>
        <color rgb="FF000000"/>
        <rFont val="Calibri"/>
      </rPr>
      <t xml:space="preserve">
</t>
    </r>
    <r>
      <rPr>
        <sz val="11"/>
        <color rgb="FF000000"/>
        <rFont val="Calibri"/>
      </rPr>
      <t>SW1(config)#int g0/1</t>
    </r>
    <r>
      <rPr>
        <sz val="11"/>
        <color rgb="FF000000"/>
        <rFont val="Calibri"/>
      </rPr>
      <t xml:space="preserve">
</t>
    </r>
    <r>
      <rPr>
        <sz val="11"/>
        <color rgb="FF000000"/>
        <rFont val="Calibri"/>
      </rPr>
      <t>SW1(config-if)#no ip directed-broadcast</t>
    </r>
    <r>
      <rPr>
        <sz val="11"/>
        <color rgb="FF000000"/>
        <rFont val="Calibri"/>
      </rPr>
      <t xml:space="preserve">
</t>
    </r>
    <r>
      <rPr>
        <sz val="11"/>
        <color rgb="FF000000"/>
        <rFont val="Calibri"/>
      </rPr>
      <t>SW1(config)#int vlan11</t>
    </r>
    <r>
      <rPr>
        <sz val="11"/>
        <color rgb="FF000000"/>
        <rFont val="Calibri"/>
      </rPr>
      <t xml:space="preserve">
</t>
    </r>
    <r>
      <rPr>
        <sz val="11"/>
        <color rgb="FF000000"/>
        <rFont val="Calibri"/>
      </rPr>
      <t>SW1(config-if)#no ip directed-broadcast</t>
    </r>
  </si>
  <si>
    <r>
      <rPr>
        <sz val="11"/>
        <color rgb="FF000000"/>
        <rFont val="Calibri"/>
      </rPr>
      <t>An IP directed broadcast is a datagram sent to the broadcast address of a subnet that is not directly attached to the sending machine. The directed broadcast is routed through the network as a unicast packet until it arrives at the target subnet, where it is converted into a link-layer broadcast. Because of the nature of the IP addressing architecture, only the last switch in the chain, which is connected directly to the target subnet, can conclusively identify a directed broadcast.</t>
    </r>
    <r>
      <rPr>
        <sz val="11"/>
        <color rgb="FF000000"/>
        <rFont val="Calibri"/>
      </rPr>
      <t xml:space="preserve">
</t>
    </r>
    <r>
      <rPr>
        <sz val="11"/>
        <color rgb="FF000000"/>
        <rFont val="Calibri"/>
      </rPr>
      <t>IP directed broadcasts are used in the extremely common and popular smurf, or denial-of-service (DoS), attacks. In a smurf attack, the attacker sends Internet Control Message Protocol (ICMP) echo requests from a falsified source address to a directed broadcast address, causing all the hosts on the target subnet to send replies to the falsified source. By sending a continuous stream of such requests, the attacker can create a much larger stream of replies, which can completely inundate the host whose address is being falsified. This service should be disabled on all interfaces when not needed to prevent smurf and DoS attacks.</t>
    </r>
    <r>
      <rPr>
        <sz val="11"/>
        <color rgb="FF000000"/>
        <rFont val="Calibri"/>
      </rPr>
      <t xml:space="preserve">
</t>
    </r>
    <r>
      <rPr>
        <sz val="11"/>
        <color rgb="FF000000"/>
        <rFont val="Calibri"/>
      </rPr>
      <t>Directed broadcast can be enabled on internal facing interfaces to support services such as Wake-On-LAN. Case scenario may also include support for legacy applications where the content server and the clients do not support multicast. The content servers send streaming data using UDP broadcast. Used in conjunction with the IP multicast helper-map feature, broadcast data can be sent across a multicast topology. The broadcast streams are converted to multicast and vice versa at the first-hop switches and last-hop switches before entering and leaving the multicast transit area respectively. The last-hop switch must convert the multicast to broadcast. Hence, this interface must be configured to forward a broadcast packet (i.e., a directed broadcast address is converted to the all nodes broadcast address).</t>
    </r>
  </si>
  <si>
    <r>
      <rPr>
        <sz val="11"/>
        <color rgb="FF000000"/>
        <rFont val="Calibri"/>
      </rPr>
      <t>Review the switch configuration to determine if it is compliant with this requirement. IP directed broadcast command must not be found on any interface as shown in the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x.x.x.x 255.255.255.0</t>
    </r>
    <r>
      <rPr>
        <sz val="11"/>
        <color rgb="FF000000"/>
        <rFont val="Calibri"/>
      </rPr>
      <t xml:space="preserve">
</t>
    </r>
    <r>
      <rPr>
        <sz val="11"/>
        <color rgb="FF000000"/>
        <rFont val="Calibri"/>
      </rPr>
      <t xml:space="preserve"> ip directed-broadcast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Vlan11</t>
    </r>
    <r>
      <rPr>
        <sz val="11"/>
        <color rgb="FF000000"/>
        <rFont val="Calibri"/>
      </rPr>
      <t xml:space="preserve">
</t>
    </r>
    <r>
      <rPr>
        <sz val="11"/>
        <color rgb="FF000000"/>
        <rFont val="Calibri"/>
      </rPr>
      <t>no switchport</t>
    </r>
    <r>
      <rPr>
        <sz val="11"/>
        <color rgb="FF000000"/>
        <rFont val="Calibri"/>
      </rPr>
      <t xml:space="preserve">
</t>
    </r>
    <r>
      <rPr>
        <sz val="11"/>
        <color rgb="FF000000"/>
        <rFont val="Calibri"/>
      </rPr>
      <t xml:space="preserve"> ip address x.x.x.x 255.255.255.0</t>
    </r>
    <r>
      <rPr>
        <sz val="11"/>
        <color rgb="FF000000"/>
        <rFont val="Calibri"/>
      </rPr>
      <t xml:space="preserve">
</t>
    </r>
    <r>
      <rPr>
        <sz val="11"/>
        <color rgb="FF000000"/>
        <rFont val="Calibri"/>
      </rPr>
      <t xml:space="preserve"> ip directed-broadcast</t>
    </r>
    <r>
      <rPr>
        <sz val="11"/>
        <color rgb="FF000000"/>
        <rFont val="Calibri"/>
      </rPr>
      <t xml:space="preserve">
</t>
    </r>
    <r>
      <rPr>
        <sz val="11"/>
        <color rgb="FF000000"/>
        <rFont val="Calibri"/>
      </rPr>
      <t>If IP directed broadcast is not disabled on all interfaces, this is a finding.</t>
    </r>
  </si>
  <si>
    <t>V-221000</t>
  </si>
  <si>
    <r>
      <rPr>
        <sz val="11"/>
        <rFont val="Calibri"/>
      </rPr>
      <t>The Cisco switch must be configured to have Internet Control Message Protocol (ICMP) unreachable messages disabled on all external interfaces.</t>
    </r>
  </si>
  <si>
    <r>
      <rPr>
        <sz val="11"/>
        <color rgb="FF000000"/>
        <rFont val="Calibri"/>
      </rPr>
      <t>Step 1: Disable ip unreachables on all external interfaces.</t>
    </r>
    <r>
      <rPr>
        <sz val="11"/>
        <color rgb="FF000000"/>
        <rFont val="Calibri"/>
      </rPr>
      <t xml:space="preserve">
</t>
    </r>
    <r>
      <rPr>
        <sz val="11"/>
        <color rgb="FF000000"/>
        <rFont val="Calibri"/>
      </rPr>
      <t>SW1(config)#int g0/1</t>
    </r>
    <r>
      <rPr>
        <sz val="11"/>
        <color rgb="FF000000"/>
        <rFont val="Calibri"/>
      </rPr>
      <t xml:space="preserve">
</t>
    </r>
    <r>
      <rPr>
        <sz val="11"/>
        <color rgb="FF000000"/>
        <rFont val="Calibri"/>
      </rPr>
      <t>SW1(config-if)#no ip unreachables</t>
    </r>
    <r>
      <rPr>
        <sz val="11"/>
        <color rgb="FF000000"/>
        <rFont val="Calibri"/>
      </rPr>
      <t xml:space="preserve">
</t>
    </r>
    <r>
      <rPr>
        <sz val="11"/>
        <color rgb="FF000000"/>
        <rFont val="Calibri"/>
      </rPr>
      <t>Step 2: Disable ip unreachables on the Null0 interface if it is used to backhole packets.</t>
    </r>
    <r>
      <rPr>
        <sz val="11"/>
        <color rgb="FF000000"/>
        <rFont val="Calibri"/>
      </rPr>
      <t xml:space="preserve">
</t>
    </r>
    <r>
      <rPr>
        <sz val="11"/>
        <color rgb="FF000000"/>
        <rFont val="Calibri"/>
      </rPr>
      <t>SW1(config-if)#int null 0</t>
    </r>
    <r>
      <rPr>
        <sz val="11"/>
        <color rgb="FF000000"/>
        <rFont val="Calibri"/>
      </rPr>
      <t xml:space="preserve">
</t>
    </r>
    <r>
      <rPr>
        <sz val="11"/>
        <color rgb="FF000000"/>
        <rFont val="Calibri"/>
      </rPr>
      <t>SW1(config-if)#no ip unreachables</t>
    </r>
    <r>
      <rPr>
        <sz val="11"/>
        <color rgb="FF000000"/>
        <rFont val="Calibri"/>
      </rPr>
      <t xml:space="preserve">
</t>
    </r>
    <r>
      <rPr>
        <sz val="11"/>
        <color rgb="FF000000"/>
        <rFont val="Calibri"/>
      </rPr>
      <t>Alternative – DODIN Backbone:</t>
    </r>
    <r>
      <rPr>
        <sz val="11"/>
        <color rgb="FF000000"/>
        <rFont val="Calibri"/>
      </rPr>
      <t xml:space="preserve">
</t>
    </r>
    <r>
      <rPr>
        <sz val="11"/>
        <color rgb="FF000000"/>
        <rFont val="Calibri"/>
      </rPr>
      <t>Configure the PE switch to rate limit ICMP unreachable messages as shown in the example below:</t>
    </r>
    <r>
      <rPr>
        <sz val="11"/>
        <color rgb="FF000000"/>
        <rFont val="Calibri"/>
      </rPr>
      <t xml:space="preserve">
</t>
    </r>
    <r>
      <rPr>
        <sz val="11"/>
        <color rgb="FF000000"/>
        <rFont val="Calibri"/>
      </rPr>
      <t>SW1(config)#ip icmp rate-limit unreachable df 100</t>
    </r>
    <r>
      <rPr>
        <sz val="11"/>
        <color rgb="FF000000"/>
        <rFont val="Calibri"/>
      </rPr>
      <t xml:space="preserve">
</t>
    </r>
    <r>
      <rPr>
        <sz val="11"/>
        <color rgb="FF000000"/>
        <rFont val="Calibri"/>
      </rPr>
      <t>SW1(config)#ip icmp rate-limit unreachable 100000</t>
    </r>
    <r>
      <rPr>
        <sz val="11"/>
        <color rgb="FF000000"/>
        <rFont val="Calibri"/>
      </rPr>
      <t xml:space="preserve">
</t>
    </r>
    <r>
      <rPr>
        <sz val="11"/>
        <color rgb="FF000000"/>
        <rFont val="Calibri"/>
      </rPr>
      <t>SW1(config)#end</t>
    </r>
    <r>
      <rPr>
        <sz val="11"/>
        <color rgb="FF000000"/>
        <rFont val="Calibri"/>
      </rPr>
      <t xml:space="preserve">
</t>
    </r>
    <r>
      <rPr>
        <sz val="11"/>
        <color rgb="FF000000"/>
        <rFont val="Calibri"/>
      </rPr>
      <t xml:space="preserve">Alternative – Non DODIN Backbone. </t>
    </r>
    <r>
      <rPr>
        <sz val="11"/>
        <color rgb="FF000000"/>
        <rFont val="Calibri"/>
      </rPr>
      <t xml:space="preserve">
</t>
    </r>
    <r>
      <rPr>
        <sz val="11"/>
        <color rgb="FF000000"/>
        <rFont val="Calibri"/>
      </rPr>
      <t xml:space="preserve">An alternative for non-backbone networks (i.e. enclave, base, camp, etc.) is to filter messages generated by the switch and silently drop ICMP Administratively Prohibited and Host Unreachable messages using the following configuration steps: </t>
    </r>
    <r>
      <rPr>
        <sz val="11"/>
        <color rgb="FF000000"/>
        <rFont val="Calibri"/>
      </rPr>
      <t xml:space="preserve">
</t>
    </r>
    <r>
      <rPr>
        <sz val="11"/>
        <color rgb="FF000000"/>
        <rFont val="Calibri"/>
      </rPr>
      <t>Step 1: Configure ACL to include ICMP Type 3 Code 1 (Host Unreachable) and Code 13 (Administratively Prohibited) as shown in the example below:</t>
    </r>
    <r>
      <rPr>
        <sz val="11"/>
        <color rgb="FF000000"/>
        <rFont val="Calibri"/>
      </rPr>
      <t xml:space="preserve">
</t>
    </r>
    <r>
      <rPr>
        <sz val="11"/>
        <color rgb="FF000000"/>
        <rFont val="Calibri"/>
      </rPr>
      <t>SW1(config)#ip access-list ext ICMP_T3C1C13</t>
    </r>
    <r>
      <rPr>
        <sz val="11"/>
        <color rgb="FF000000"/>
        <rFont val="Calibri"/>
      </rPr>
      <t xml:space="preserve">
</t>
    </r>
    <r>
      <rPr>
        <sz val="11"/>
        <color rgb="FF000000"/>
        <rFont val="Calibri"/>
      </rPr>
      <t>SW1(config-ext-nacl)#permit icmp any any host-unreachable</t>
    </r>
    <r>
      <rPr>
        <sz val="11"/>
        <color rgb="FF000000"/>
        <rFont val="Calibri"/>
      </rPr>
      <t xml:space="preserve">
</t>
    </r>
    <r>
      <rPr>
        <sz val="11"/>
        <color rgb="FF000000"/>
        <rFont val="Calibri"/>
      </rPr>
      <t>SW1(config-ext-nacl)#permit icmp any any administratively-prohibited</t>
    </r>
    <r>
      <rPr>
        <sz val="11"/>
        <color rgb="FF000000"/>
        <rFont val="Calibri"/>
      </rPr>
      <t xml:space="preserve">
</t>
    </r>
    <r>
      <rPr>
        <sz val="11"/>
        <color rgb="FF000000"/>
        <rFont val="Calibri"/>
      </rPr>
      <t>SW1(config-ext-nacl)#exit</t>
    </r>
    <r>
      <rPr>
        <sz val="11"/>
        <color rgb="FF000000"/>
        <rFont val="Calibri"/>
      </rPr>
      <t xml:space="preserve">
</t>
    </r>
    <r>
      <rPr>
        <sz val="11"/>
        <color rgb="FF000000"/>
        <rFont val="Calibri"/>
      </rPr>
      <t>Step 2: Create a route map to forward these ICMP messages to the Null0 interface.</t>
    </r>
    <r>
      <rPr>
        <sz val="11"/>
        <color rgb="FF000000"/>
        <rFont val="Calibri"/>
      </rPr>
      <t xml:space="preserve">
</t>
    </r>
    <r>
      <rPr>
        <sz val="11"/>
        <color rgb="FF000000"/>
        <rFont val="Calibri"/>
      </rPr>
      <t>SW1(config)#route-map LOCAL_POLICY</t>
    </r>
    <r>
      <rPr>
        <sz val="11"/>
        <color rgb="FF000000"/>
        <rFont val="Calibri"/>
      </rPr>
      <t xml:space="preserve">
</t>
    </r>
    <r>
      <rPr>
        <sz val="11"/>
        <color rgb="FF000000"/>
        <rFont val="Calibri"/>
      </rPr>
      <t>SW1(config-route-map)#match ip address ICMP_T3C1C13</t>
    </r>
    <r>
      <rPr>
        <sz val="11"/>
        <color rgb="FF000000"/>
        <rFont val="Calibri"/>
      </rPr>
      <t xml:space="preserve">
</t>
    </r>
    <r>
      <rPr>
        <sz val="11"/>
        <color rgb="FF000000"/>
        <rFont val="Calibri"/>
      </rPr>
      <t>SW1(config-route-map)#set interface Null0</t>
    </r>
    <r>
      <rPr>
        <sz val="11"/>
        <color rgb="FF000000"/>
        <rFont val="Calibri"/>
      </rPr>
      <t xml:space="preserve">
</t>
    </r>
    <r>
      <rPr>
        <sz val="11"/>
        <color rgb="FF000000"/>
        <rFont val="Calibri"/>
      </rPr>
      <t>SW1(config-route-map)#exit</t>
    </r>
    <r>
      <rPr>
        <sz val="11"/>
        <color rgb="FF000000"/>
        <rFont val="Calibri"/>
      </rPr>
      <t xml:space="preserve">
</t>
    </r>
    <r>
      <rPr>
        <sz val="11"/>
        <color rgb="FF000000"/>
        <rFont val="Calibri"/>
      </rPr>
      <t>Step 3: Configure no ip unreachables on the Null0 interface.</t>
    </r>
    <r>
      <rPr>
        <sz val="11"/>
        <color rgb="FF000000"/>
        <rFont val="Calibri"/>
      </rPr>
      <t xml:space="preserve">
</t>
    </r>
    <r>
      <rPr>
        <sz val="11"/>
        <color rgb="FF000000"/>
        <rFont val="Calibri"/>
      </rPr>
      <t>SW1(config)#int null 0</t>
    </r>
    <r>
      <rPr>
        <sz val="11"/>
        <color rgb="FF000000"/>
        <rFont val="Calibri"/>
      </rPr>
      <t xml:space="preserve">
</t>
    </r>
    <r>
      <rPr>
        <sz val="11"/>
        <color rgb="FF000000"/>
        <rFont val="Calibri"/>
      </rPr>
      <t>SW1(config-if)#no ip unreachables</t>
    </r>
    <r>
      <rPr>
        <sz val="11"/>
        <color rgb="FF000000"/>
        <rFont val="Calibri"/>
      </rPr>
      <t xml:space="preserve">
</t>
    </r>
    <r>
      <rPr>
        <sz val="11"/>
        <color rgb="FF000000"/>
        <rFont val="Calibri"/>
      </rPr>
      <t>SW1(config-if)#exit</t>
    </r>
    <r>
      <rPr>
        <sz val="11"/>
        <color rgb="FF000000"/>
        <rFont val="Calibri"/>
      </rPr>
      <t xml:space="preserve">
</t>
    </r>
    <r>
      <rPr>
        <sz val="11"/>
        <color rgb="FF000000"/>
        <rFont val="Calibri"/>
      </rPr>
      <t>Step 4: Apply the policy to filter messages generated by the switch.</t>
    </r>
    <r>
      <rPr>
        <sz val="11"/>
        <color rgb="FF000000"/>
        <rFont val="Calibri"/>
      </rPr>
      <t xml:space="preserve">
</t>
    </r>
    <r>
      <rPr>
        <sz val="11"/>
        <color rgb="FF000000"/>
        <rFont val="Calibri"/>
      </rPr>
      <t>SW1(config)#ip local policy route-map LOCAL_POLICY</t>
    </r>
    <r>
      <rPr>
        <sz val="11"/>
        <color rgb="FF000000"/>
        <rFont val="Calibri"/>
      </rPr>
      <t xml:space="preserve">
</t>
    </r>
    <r>
      <rPr>
        <sz val="11"/>
        <color rgb="FF000000"/>
        <rFont val="Calibri"/>
      </rPr>
      <t>SW1(config)#end</t>
    </r>
  </si>
  <si>
    <r>
      <rPr>
        <sz val="11"/>
        <color rgb="FF000000"/>
        <rFont val="Calibri"/>
      </rPr>
      <t>The ICMP supports IP traffic by relaying information about paths, routes, and network conditions. Switches automatically send ICMP messages under a wide variety of conditions. Host unreachable ICMP messages are commonly used by attackers for network mapping and diagnosis.</t>
    </r>
  </si>
  <si>
    <r>
      <rPr>
        <sz val="11"/>
        <color rgb="FF000000"/>
        <rFont val="Calibri"/>
      </rPr>
      <t>Review the configuration to verify the no ip unreachables command has been configured on all external interfaces as shown in the configuration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x.x.x.x 255.255.255.0</t>
    </r>
    <r>
      <rPr>
        <sz val="11"/>
        <color rgb="FF000000"/>
        <rFont val="Calibri"/>
      </rPr>
      <t xml:space="preserve">
</t>
    </r>
    <r>
      <rPr>
        <sz val="11"/>
        <color rgb="FF000000"/>
        <rFont val="Calibri"/>
      </rPr>
      <t xml:space="preserve"> no ip unreachables</t>
    </r>
    <r>
      <rPr>
        <sz val="11"/>
        <color rgb="FF000000"/>
        <rFont val="Calibri"/>
      </rPr>
      <t xml:space="preserve">
</t>
    </r>
    <r>
      <rPr>
        <sz val="11"/>
        <color rgb="FF000000"/>
        <rFont val="Calibri"/>
      </rPr>
      <t>If ICMP unreachable notifications are sent from any external or null0 interface, this is a finding.</t>
    </r>
    <r>
      <rPr>
        <sz val="11"/>
        <color rgb="FF000000"/>
        <rFont val="Calibri"/>
      </rPr>
      <t xml:space="preserve">
</t>
    </r>
    <r>
      <rPr>
        <sz val="11"/>
        <color rgb="FF000000"/>
        <rFont val="Calibri"/>
      </rPr>
      <t>Alternative – DODIN Backbone:</t>
    </r>
    <r>
      <rPr>
        <sz val="11"/>
        <color rgb="FF000000"/>
        <rFont val="Calibri"/>
      </rPr>
      <t xml:space="preserve">
</t>
    </r>
    <r>
      <rPr>
        <sz val="11"/>
        <color rgb="FF000000"/>
        <rFont val="Calibri"/>
      </rPr>
      <t>Verify that the PE switch is configured to rate limit ICMP unreachable messages as shown in the example below:</t>
    </r>
    <r>
      <rPr>
        <sz val="11"/>
        <color rgb="FF000000"/>
        <rFont val="Calibri"/>
      </rPr>
      <t xml:space="preserve">
</t>
    </r>
    <r>
      <rPr>
        <sz val="11"/>
        <color rgb="FF000000"/>
        <rFont val="Calibri"/>
      </rPr>
      <t>ip icmp rate-limit unreachable 60000</t>
    </r>
    <r>
      <rPr>
        <sz val="11"/>
        <color rgb="FF000000"/>
        <rFont val="Calibri"/>
      </rPr>
      <t xml:space="preserve">
</t>
    </r>
    <r>
      <rPr>
        <sz val="11"/>
        <color rgb="FF000000"/>
        <rFont val="Calibri"/>
      </rPr>
      <t>ip icmp rate-limit unreachable DF 1000</t>
    </r>
    <r>
      <rPr>
        <sz val="11"/>
        <color rgb="FF000000"/>
        <rFont val="Calibri"/>
      </rPr>
      <t xml:space="preserve">
</t>
    </r>
    <r>
      <rPr>
        <sz val="11"/>
        <color rgb="FF000000"/>
        <rFont val="Calibri"/>
      </rPr>
      <t>Note: In the example above, packet-too-big message (ICMP Type 3 Code 4) can be sent once every second, while all other destination unreachable messages can be sent once every minute. This will avoid disrupting Path MTU Discovery for traffic traversing the backbone while mitigating the risk of an ICMP unreachable DoS attack.</t>
    </r>
    <r>
      <rPr>
        <sz val="11"/>
        <color rgb="FF000000"/>
        <rFont val="Calibri"/>
      </rPr>
      <t xml:space="preserve">
</t>
    </r>
    <r>
      <rPr>
        <sz val="11"/>
        <color rgb="FF000000"/>
        <rFont val="Calibri"/>
      </rPr>
      <t>If the PE switch is not configured to rate limit ICMP unreachable messages, this is a finding.</t>
    </r>
  </si>
  <si>
    <t>V-221001</t>
  </si>
  <si>
    <r>
      <rPr>
        <sz val="11"/>
        <rFont val="Calibri"/>
      </rPr>
      <t>The Cisco switch must be configured to have Internet Control Message Protocol (ICMP) mask reply messages disabled on all external interfaces.</t>
    </r>
  </si>
  <si>
    <r>
      <rPr>
        <sz val="11"/>
        <color rgb="FF000000"/>
        <rFont val="Calibri"/>
      </rPr>
      <t>Disable ip mask-reply on all external interfaces as shown below:</t>
    </r>
    <r>
      <rPr>
        <sz val="11"/>
        <color rgb="FF000000"/>
        <rFont val="Calibri"/>
      </rPr>
      <t xml:space="preserve">
</t>
    </r>
    <r>
      <rPr>
        <sz val="11"/>
        <color rgb="FF000000"/>
        <rFont val="Calibri"/>
      </rPr>
      <t>SW1(config)#int g0/1</t>
    </r>
    <r>
      <rPr>
        <sz val="11"/>
        <color rgb="FF000000"/>
        <rFont val="Calibri"/>
      </rPr>
      <t xml:space="preserve">
</t>
    </r>
    <r>
      <rPr>
        <sz val="11"/>
        <color rgb="FF000000"/>
        <rFont val="Calibri"/>
      </rPr>
      <t>SW1(config-if)#no ip mask-reply</t>
    </r>
  </si>
  <si>
    <r>
      <rPr>
        <sz val="11"/>
        <color rgb="FF000000"/>
        <rFont val="Calibri"/>
      </rPr>
      <t>The ICMP supports IP traffic by relaying information about paths, routes, and network conditions. Switches automatically send ICMP messages under a wide variety of conditions. Mask Reply ICMP messages are commonly used by attackers for network mapping and diagnosis.</t>
    </r>
  </si>
  <si>
    <r>
      <rPr>
        <sz val="11"/>
        <color rgb="FF000000"/>
        <rFont val="Calibri"/>
      </rPr>
      <t xml:space="preserve">Review the switch configuration and verify that ip mask-reply command is not enabled on any external interfaces as shown in the example below: </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x.x.x.x 255.255.255.0</t>
    </r>
    <r>
      <rPr>
        <sz val="11"/>
        <color rgb="FF000000"/>
        <rFont val="Calibri"/>
      </rPr>
      <t xml:space="preserve">
</t>
    </r>
    <r>
      <rPr>
        <sz val="11"/>
        <color rgb="FF000000"/>
        <rFont val="Calibri"/>
      </rPr>
      <t xml:space="preserve"> ip mask-reply</t>
    </r>
    <r>
      <rPr>
        <sz val="11"/>
        <color rgb="FF000000"/>
        <rFont val="Calibri"/>
      </rPr>
      <t xml:space="preserve">
</t>
    </r>
    <r>
      <rPr>
        <sz val="11"/>
        <color rgb="FF000000"/>
        <rFont val="Calibri"/>
      </rPr>
      <t>If the ip mask-reply command is configured on any external interface, this is a finding.</t>
    </r>
  </si>
  <si>
    <t>V-221002</t>
  </si>
  <si>
    <r>
      <rPr>
        <sz val="11"/>
        <rFont val="Calibri"/>
      </rPr>
      <t>The Cisco switch must be configured to have Internet Control Message Protocol (ICMP) redirect messages disabled on all external interfaces.</t>
    </r>
  </si>
  <si>
    <r>
      <rPr>
        <sz val="11"/>
        <color rgb="FF000000"/>
        <rFont val="Calibri"/>
      </rPr>
      <t>Disable ICMP redirects on all external interfaces as shown in the example below:</t>
    </r>
    <r>
      <rPr>
        <sz val="11"/>
        <color rgb="FF000000"/>
        <rFont val="Calibri"/>
      </rPr>
      <t xml:space="preserve">
</t>
    </r>
    <r>
      <rPr>
        <sz val="11"/>
        <color rgb="FF000000"/>
        <rFont val="Calibri"/>
      </rPr>
      <t>SW1(config)#int g0/1</t>
    </r>
    <r>
      <rPr>
        <sz val="11"/>
        <color rgb="FF000000"/>
        <rFont val="Calibri"/>
      </rPr>
      <t xml:space="preserve">
</t>
    </r>
    <r>
      <rPr>
        <sz val="11"/>
        <color rgb="FF000000"/>
        <rFont val="Calibri"/>
      </rPr>
      <t>SW1(config-if)#no ip redirects</t>
    </r>
  </si>
  <si>
    <r>
      <rPr>
        <sz val="11"/>
        <color rgb="FF000000"/>
        <rFont val="Calibri"/>
      </rPr>
      <t>The ICMP supports IP traffic by relaying information about paths, routes, and network conditions. Switches automatically send ICMP messages under a wide variety of conditions. Redirect ICMP messages are commonly used by attackers for network mapping and diagnosis.</t>
    </r>
  </si>
  <si>
    <r>
      <rPr>
        <sz val="11"/>
        <color rgb="FF000000"/>
        <rFont val="Calibri"/>
      </rPr>
      <t>Review the switch configuration to verify that the no ip redirects command has been configured on all external interfaces as shown in the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x.x.x.x 255.255.255.0</t>
    </r>
    <r>
      <rPr>
        <sz val="11"/>
        <color rgb="FF000000"/>
        <rFont val="Calibri"/>
      </rPr>
      <t xml:space="preserve">
</t>
    </r>
    <r>
      <rPr>
        <sz val="11"/>
        <color rgb="FF000000"/>
        <rFont val="Calibri"/>
      </rPr>
      <t xml:space="preserve"> no ip redirects</t>
    </r>
    <r>
      <rPr>
        <sz val="11"/>
        <color rgb="FF000000"/>
        <rFont val="Calibri"/>
      </rPr>
      <t xml:space="preserve">
</t>
    </r>
    <r>
      <rPr>
        <sz val="11"/>
        <color rgb="FF000000"/>
        <rFont val="Calibri"/>
      </rPr>
      <t>If ICMP Redirect messages are enabled on any external interfaces, this is a finding.</t>
    </r>
  </si>
  <si>
    <t>V-221003</t>
  </si>
  <si>
    <r>
      <rPr>
        <sz val="11"/>
        <rFont val="Calibri"/>
      </rPr>
      <t>The Cisco switch must be configured to log all packets that have been dropped at interfaces via an ACL.</t>
    </r>
  </si>
  <si>
    <r>
      <rPr>
        <sz val="11"/>
        <color rgb="FF000000"/>
        <rFont val="Calibri"/>
      </rPr>
      <t>Configure ACLs to log packets that are dropped as shown in the example below:</t>
    </r>
    <r>
      <rPr>
        <sz val="11"/>
        <color rgb="FF000000"/>
        <rFont val="Calibri"/>
      </rPr>
      <t xml:space="preserve">
</t>
    </r>
    <r>
      <rPr>
        <sz val="11"/>
        <color rgb="FF000000"/>
        <rFont val="Calibri"/>
      </rPr>
      <t>SW1(config)#ip access-list extended INGRESS_FILTER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SW1(config-ext-nacl)#deny ip any any log</t>
    </r>
  </si>
  <si>
    <r>
      <rPr>
        <sz val="11"/>
        <color rgb="FF000000"/>
        <rFont val="Calibri"/>
      </rPr>
      <t>Auditing and logging are key components of any security architecture. It is essential for security personnel to know what is being done or attempted to be done, and by whom, to compile an accurate risk assessment. Auditing the actions on network devices provides a means to recreate an attack or identify a configuration mistake on the device.</t>
    </r>
  </si>
  <si>
    <r>
      <rPr>
        <sz val="11"/>
        <color rgb="FF000000"/>
        <rFont val="Calibri"/>
      </rPr>
      <t>Review all ACLs used to filter traffic and verify that packets being dropped at interfaces via an ACL are logged as shown in the configuration below:</t>
    </r>
    <r>
      <rPr>
        <sz val="11"/>
        <color rgb="FF000000"/>
        <rFont val="Calibri"/>
      </rPr>
      <t xml:space="preserve">
</t>
    </r>
    <r>
      <rPr>
        <sz val="11"/>
        <color rgb="FF000000"/>
        <rFont val="Calibri"/>
      </rPr>
      <t>ip access-list extended INGRESS_FILTER</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x.11.1.1 eq bgp host x.11.1.2</t>
    </r>
    <r>
      <rPr>
        <sz val="11"/>
        <color rgb="FF000000"/>
        <rFont val="Calibri"/>
      </rPr>
      <t xml:space="preserve">
</t>
    </r>
    <r>
      <rPr>
        <sz val="11"/>
        <color rgb="FF000000"/>
        <rFont val="Calibri"/>
      </rPr>
      <t xml:space="preserve"> permit tcp host x.11.1.1 host x.11.1.2 eq bgp</t>
    </r>
    <r>
      <rPr>
        <sz val="11"/>
        <color rgb="FF000000"/>
        <rFont val="Calibri"/>
      </rPr>
      <t xml:space="preserve">
</t>
    </r>
    <r>
      <rPr>
        <sz val="11"/>
        <color rgb="FF000000"/>
        <rFont val="Calibri"/>
      </rPr>
      <t xml:space="preserve"> permit tcp any host x.11.1.5 eq www</t>
    </r>
    <r>
      <rPr>
        <sz val="11"/>
        <color rgb="FF000000"/>
        <rFont val="Calibri"/>
      </rPr>
      <t xml:space="preserve">
</t>
    </r>
    <r>
      <rPr>
        <sz val="11"/>
        <color rgb="FF000000"/>
        <rFont val="Calibri"/>
      </rPr>
      <t xml:space="preserve"> permit icmp host x.11.1.1 host x.11.1.2 echo</t>
    </r>
    <r>
      <rPr>
        <sz val="11"/>
        <color rgb="FF000000"/>
        <rFont val="Calibri"/>
      </rPr>
      <t xml:space="preserve">
</t>
    </r>
    <r>
      <rPr>
        <sz val="11"/>
        <color rgb="FF000000"/>
        <rFont val="Calibri"/>
      </rPr>
      <t xml:space="preserve"> permit icmp any any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t>
    </r>
    <r>
      <rPr>
        <sz val="11"/>
        <color rgb="FF000000"/>
        <rFont val="Calibri"/>
      </rPr>
      <t xml:space="preserve">
</t>
    </r>
    <r>
      <rPr>
        <sz val="11"/>
        <color rgb="FF000000"/>
        <rFont val="Calibri"/>
      </rPr>
      <t>If packets being dropped are not logged, this is a finding.</t>
    </r>
  </si>
  <si>
    <t>V-221004</t>
  </si>
  <si>
    <r>
      <rPr>
        <sz val="11"/>
        <rFont val="Calibri"/>
      </rPr>
      <t>The Cisco switch must be configured to produce audit records containing information to establish where the events occurred.</t>
    </r>
  </si>
  <si>
    <r>
      <rPr>
        <sz val="11"/>
        <color rgb="FF000000"/>
        <rFont val="Calibri"/>
      </rPr>
      <t>Configure the switch to log events containing information to establish where the events occurred as shown in the example below:</t>
    </r>
    <r>
      <rPr>
        <sz val="11"/>
        <color rgb="FF000000"/>
        <rFont val="Calibri"/>
      </rPr>
      <t xml:space="preserve">
</t>
    </r>
    <r>
      <rPr>
        <sz val="11"/>
        <color rgb="FF000000"/>
        <rFont val="Calibri"/>
      </rPr>
      <t>SW1(config)#ip access-list extended INGRESS_FILTER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SW1(config-ext-nacl)#deny ip any any log-input</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</si>
  <si>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switch components, modules, device identifiers, node names, and functionality.</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switch.</t>
    </r>
  </si>
  <si>
    <r>
      <rPr>
        <sz val="11"/>
        <color rgb="FF000000"/>
        <rFont val="Calibri"/>
      </rPr>
      <t>Review the switch configuration to verify that events are logged containing information to establish where the events occurred as shown in the example below:</t>
    </r>
    <r>
      <rPr>
        <sz val="11"/>
        <color rgb="FF000000"/>
        <rFont val="Calibri"/>
      </rPr>
      <t xml:space="preserve">
</t>
    </r>
    <r>
      <rPr>
        <sz val="11"/>
        <color rgb="FF000000"/>
        <rFont val="Calibri"/>
      </rPr>
      <t>ip access-list extended INGRESS_FILTER</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x.11.1.1 eq bgp host x.11.1.2</t>
    </r>
    <r>
      <rPr>
        <sz val="11"/>
        <color rgb="FF000000"/>
        <rFont val="Calibri"/>
      </rPr>
      <t xml:space="preserve">
</t>
    </r>
    <r>
      <rPr>
        <sz val="11"/>
        <color rgb="FF000000"/>
        <rFont val="Calibri"/>
      </rPr>
      <t xml:space="preserve"> permit tcp host x.11.1.1 host x.11.1.2 eq bgp</t>
    </r>
    <r>
      <rPr>
        <sz val="11"/>
        <color rgb="FF000000"/>
        <rFont val="Calibri"/>
      </rPr>
      <t xml:space="preserve">
</t>
    </r>
    <r>
      <rPr>
        <sz val="11"/>
        <color rgb="FF000000"/>
        <rFont val="Calibri"/>
      </rPr>
      <t xml:space="preserve"> permit tcp any host x.11.1.5 eq www</t>
    </r>
    <r>
      <rPr>
        <sz val="11"/>
        <color rgb="FF000000"/>
        <rFont val="Calibri"/>
      </rPr>
      <t xml:space="preserve">
</t>
    </r>
    <r>
      <rPr>
        <sz val="11"/>
        <color rgb="FF000000"/>
        <rFont val="Calibri"/>
      </rPr>
      <t xml:space="preserve"> permit icmp host x.11.1.1 host x.11.1.2 echo</t>
    </r>
    <r>
      <rPr>
        <sz val="11"/>
        <color rgb="FF000000"/>
        <rFont val="Calibri"/>
      </rPr>
      <t xml:space="preserve">
</t>
    </r>
    <r>
      <rPr>
        <sz val="11"/>
        <color rgb="FF000000"/>
        <rFont val="Calibri"/>
      </rPr>
      <t xml:space="preserve"> permit icmp any any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Note: When the log-input parameter is configured on deny statements, the log record will contain the interface where ingress packet has been dropped.</t>
    </r>
    <r>
      <rPr>
        <sz val="11"/>
        <color rgb="FF000000"/>
        <rFont val="Calibri"/>
      </rPr>
      <t xml:space="preserve">
</t>
    </r>
    <r>
      <rPr>
        <sz val="11"/>
        <color rgb="FF000000"/>
        <rFont val="Calibri"/>
      </rPr>
      <t>If the switch is not configured to produce audit records containing information to establish to establish where the events occurred, this is a finding.</t>
    </r>
  </si>
  <si>
    <t>V-221005</t>
  </si>
  <si>
    <r>
      <rPr>
        <sz val="11"/>
        <rFont val="Calibri"/>
      </rPr>
      <t>The Cisco switch must be configured to produce audit records containing information to establish the source of the events.</t>
    </r>
  </si>
  <si>
    <r>
      <rPr>
        <sz val="11"/>
        <color rgb="FF000000"/>
        <rFont val="Calibri"/>
      </rPr>
      <t>Without establishing the source of the event,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security personnel need to know the source of the event.</t>
    </r>
    <r>
      <rPr>
        <sz val="11"/>
        <color rgb="FF000000"/>
        <rFont val="Calibri"/>
      </rPr>
      <t xml:space="preserve">
</t>
    </r>
    <r>
      <rPr>
        <sz val="11"/>
        <color rgb="FF000000"/>
        <rFont val="Calibri"/>
      </rPr>
      <t>In addition to logging where events occur within the network, the audit records must also identify sources of events such as IP addresses, processes, and node or device names.</t>
    </r>
  </si>
  <si>
    <r>
      <rPr>
        <sz val="11"/>
        <color rgb="FF000000"/>
        <rFont val="Calibri"/>
      </rPr>
      <t>Review the switch configuration to verify that events are logged containing information to establish the source of the events as shown in the example below:</t>
    </r>
    <r>
      <rPr>
        <sz val="11"/>
        <color rgb="FF000000"/>
        <rFont val="Calibri"/>
      </rPr>
      <t xml:space="preserve">
</t>
    </r>
    <r>
      <rPr>
        <sz val="11"/>
        <color rgb="FF000000"/>
        <rFont val="Calibri"/>
      </rPr>
      <t>ip access-list extended INGRESS_FILTER</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x.11.1.1 eq bgp host x.11.1.2</t>
    </r>
    <r>
      <rPr>
        <sz val="11"/>
        <color rgb="FF000000"/>
        <rFont val="Calibri"/>
      </rPr>
      <t xml:space="preserve">
</t>
    </r>
    <r>
      <rPr>
        <sz val="11"/>
        <color rgb="FF000000"/>
        <rFont val="Calibri"/>
      </rPr>
      <t xml:space="preserve"> permit tcp host x.11.1.1 host x.11.1.2 eq bgp</t>
    </r>
    <r>
      <rPr>
        <sz val="11"/>
        <color rgb="FF000000"/>
        <rFont val="Calibri"/>
      </rPr>
      <t xml:space="preserve">
</t>
    </r>
    <r>
      <rPr>
        <sz val="11"/>
        <color rgb="FF000000"/>
        <rFont val="Calibri"/>
      </rPr>
      <t xml:space="preserve"> permit tcp any host x.11.1.5 eq www</t>
    </r>
    <r>
      <rPr>
        <sz val="11"/>
        <color rgb="FF000000"/>
        <rFont val="Calibri"/>
      </rPr>
      <t xml:space="preserve">
</t>
    </r>
    <r>
      <rPr>
        <sz val="11"/>
        <color rgb="FF000000"/>
        <rFont val="Calibri"/>
      </rPr>
      <t xml:space="preserve"> permit icmp host x.11.1.1 host x.11.1.2 echo</t>
    </r>
    <r>
      <rPr>
        <sz val="11"/>
        <color rgb="FF000000"/>
        <rFont val="Calibri"/>
      </rPr>
      <t xml:space="preserve">
</t>
    </r>
    <r>
      <rPr>
        <sz val="11"/>
        <color rgb="FF000000"/>
        <rFont val="Calibri"/>
      </rPr>
      <t xml:space="preserve"> permit icmp any any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Note: When the log-input parameter is configured on deny statements, the log record will contain the layer 2 address of the forwarding device for any packet being dropped.</t>
    </r>
    <r>
      <rPr>
        <sz val="11"/>
        <color rgb="FF000000"/>
        <rFont val="Calibri"/>
      </rPr>
      <t xml:space="preserve">
</t>
    </r>
    <r>
      <rPr>
        <sz val="11"/>
        <color rgb="FF000000"/>
        <rFont val="Calibri"/>
      </rPr>
      <t>If the switch is not configured to produce audit records containing information to establish the source of the events, this is a finding.</t>
    </r>
  </si>
  <si>
    <t>V-221006</t>
  </si>
  <si>
    <r>
      <rPr>
        <sz val="11"/>
        <rFont val="Calibri"/>
      </rPr>
      <t>The Cisco switch must be configured to disable the auxiliary port unless it is connected to a secured modem providing encryption and authentication.</t>
    </r>
  </si>
  <si>
    <r>
      <rPr>
        <sz val="11"/>
        <color rgb="FF000000"/>
        <rFont val="Calibri"/>
      </rPr>
      <t>Disable the auxiliary port.</t>
    </r>
    <r>
      <rPr>
        <sz val="11"/>
        <color rgb="FF000000"/>
        <rFont val="Calibri"/>
      </rPr>
      <t xml:space="preserve">
</t>
    </r>
    <r>
      <rPr>
        <sz val="11"/>
        <color rgb="FF000000"/>
        <rFont val="Calibri"/>
      </rPr>
      <t>SW2(config)#line aux 0</t>
    </r>
    <r>
      <rPr>
        <sz val="11"/>
        <color rgb="FF000000"/>
        <rFont val="Calibri"/>
      </rPr>
      <t xml:space="preserve">
</t>
    </r>
    <r>
      <rPr>
        <sz val="11"/>
        <color rgb="FF000000"/>
        <rFont val="Calibri"/>
      </rPr>
      <t xml:space="preserve">SW2(config-line)#no exec </t>
    </r>
    <r>
      <rPr>
        <sz val="11"/>
        <color rgb="FF000000"/>
        <rFont val="Calibri"/>
      </rPr>
      <t xml:space="preserve">
</t>
    </r>
    <r>
      <rPr>
        <sz val="11"/>
        <color rgb="FF000000"/>
        <rFont val="Calibri"/>
      </rPr>
      <t>SW2(config-line)#transport input none</t>
    </r>
  </si>
  <si>
    <r>
      <rPr>
        <sz val="11"/>
        <color rgb="FF000000"/>
        <rFont val="Calibri"/>
      </rPr>
      <t>The use of POTS lines to modems connecting to network devices provides clear text of authentication traffic over commercial circuits that could be captured and used to compromise the network. Additional war dial attacks on the device could degrade the device and the production network.</t>
    </r>
    <r>
      <rPr>
        <sz val="11"/>
        <color rgb="FF000000"/>
        <rFont val="Calibri"/>
      </rPr>
      <t xml:space="preserve">
</t>
    </r>
    <r>
      <rPr>
        <sz val="11"/>
        <color rgb="FF000000"/>
        <rFont val="Calibri"/>
      </rPr>
      <t>Secured modem devices must be able to authenticate users and must negotiate a key exchange before full encryption takes place. The modem will provide full encryption capability (Triple DES) or stronger. The technician who manages these devices will be authenticated using a key fob and granted access to the appropriate maintenance port; thus, the technician will gain access to the managed device. The token provides a method of strong (two-factor) user authentication. The token works in conjunction with a server to generate one-time user passwords that will change values at second intervals. The user must know a personal identification number (PIN) and possess the token to be allowed access to the device.</t>
    </r>
  </si>
  <si>
    <r>
      <rPr>
        <sz val="11"/>
        <color rgb="FF000000"/>
        <rFont val="Calibri"/>
      </rPr>
      <t>Review the configuration and verify that the auxiliary port is disabled unless a secured modem providing encryption and authentication is connected to it.</t>
    </r>
    <r>
      <rPr>
        <sz val="11"/>
        <color rgb="FF000000"/>
        <rFont val="Calibri"/>
      </rPr>
      <t xml:space="preserve">
</t>
    </r>
    <r>
      <rPr>
        <sz val="11"/>
        <color rgb="FF000000"/>
        <rFont val="Calibri"/>
      </rPr>
      <t>line aux 0</t>
    </r>
    <r>
      <rPr>
        <sz val="11"/>
        <color rgb="FF000000"/>
        <rFont val="Calibri"/>
      </rPr>
      <t xml:space="preserve">
</t>
    </r>
    <r>
      <rPr>
        <sz val="11"/>
        <color rgb="FF000000"/>
        <rFont val="Calibri"/>
      </rPr>
      <t xml:space="preserve"> no exec</t>
    </r>
    <r>
      <rPr>
        <sz val="11"/>
        <color rgb="FF000000"/>
        <rFont val="Calibri"/>
      </rPr>
      <t xml:space="preserve">
</t>
    </r>
    <r>
      <rPr>
        <sz val="11"/>
        <color rgb="FF000000"/>
        <rFont val="Calibri"/>
      </rPr>
      <t>Note: Transport input none is the default; hence it will not be shown in the configuration.</t>
    </r>
    <r>
      <rPr>
        <sz val="11"/>
        <color rgb="FF000000"/>
        <rFont val="Calibri"/>
      </rPr>
      <t xml:space="preserve">
</t>
    </r>
    <r>
      <rPr>
        <sz val="11"/>
        <color rgb="FF000000"/>
        <rFont val="Calibri"/>
      </rPr>
      <t>If the auxiliary port is not disabled or is not connected to a secured modem when it is enabled, this is a finding.</t>
    </r>
  </si>
  <si>
    <t>V-221007</t>
  </si>
  <si>
    <r>
      <rPr>
        <sz val="11"/>
        <rFont val="Calibri"/>
      </rPr>
      <t>The Cisco perimeter switch must be configured to deny network traffic by default and allow network traffic by exception.</t>
    </r>
  </si>
  <si>
    <r>
      <rPr>
        <sz val="11"/>
        <color rgb="FF000000"/>
        <rFont val="Calibri"/>
      </rPr>
      <t>Step 1: Configure an inbound ACL to deny all other traffic by default as shown in the example below:</t>
    </r>
    <r>
      <rPr>
        <sz val="11"/>
        <color rgb="FF000000"/>
        <rFont val="Calibri"/>
      </rPr>
      <t xml:space="preserve">
</t>
    </r>
    <r>
      <rPr>
        <sz val="11"/>
        <color rgb="FF000000"/>
        <rFont val="Calibri"/>
      </rPr>
      <t>SW1(config)#ip access-list extended EXTERNAL_ACL</t>
    </r>
    <r>
      <rPr>
        <sz val="11"/>
        <color rgb="FF000000"/>
        <rFont val="Calibri"/>
      </rPr>
      <t xml:space="preserve">
</t>
    </r>
    <r>
      <rPr>
        <sz val="11"/>
        <color rgb="FF000000"/>
        <rFont val="Calibri"/>
      </rPr>
      <t>SW1(config-ext-nacl)#permit tcp any any established</t>
    </r>
    <r>
      <rPr>
        <sz val="11"/>
        <color rgb="FF000000"/>
        <rFont val="Calibri"/>
      </rPr>
      <t xml:space="preserve">
</t>
    </r>
    <r>
      <rPr>
        <sz val="11"/>
        <color rgb="FF000000"/>
        <rFont val="Calibri"/>
      </rPr>
      <t xml:space="preserve">SW1(config-ext-nacl)#permit tcp host x.11.1.1 eq bgp host x.11.1.2 </t>
    </r>
    <r>
      <rPr>
        <sz val="11"/>
        <color rgb="FF000000"/>
        <rFont val="Calibri"/>
      </rPr>
      <t xml:space="preserve">
</t>
    </r>
    <r>
      <rPr>
        <sz val="11"/>
        <color rgb="FF000000"/>
        <rFont val="Calibri"/>
      </rPr>
      <t>SW1(config-ext-nacl)#permit tcp host x.11.1.1 host x.11.1.2 eq bgp</t>
    </r>
    <r>
      <rPr>
        <sz val="11"/>
        <color rgb="FF000000"/>
        <rFont val="Calibri"/>
      </rPr>
      <t xml:space="preserve">
</t>
    </r>
    <r>
      <rPr>
        <sz val="11"/>
        <color rgb="FF000000"/>
        <rFont val="Calibri"/>
      </rPr>
      <t>SW1(config-ext-nacl)#permit icmp host x.11.1.1 host x.11.1.2 echo</t>
    </r>
    <r>
      <rPr>
        <sz val="11"/>
        <color rgb="FF000000"/>
        <rFont val="Calibri"/>
      </rPr>
      <t xml:space="preserve">
</t>
    </r>
    <r>
      <rPr>
        <sz val="11"/>
        <color rgb="FF000000"/>
        <rFont val="Calibri"/>
      </rPr>
      <t>SW1(config-ext-nacl)#permit icmp host x.11.1.1 host x.11.1.2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SW1(config-ext-nacl)#deny ip any any log-input</t>
    </r>
    <r>
      <rPr>
        <sz val="11"/>
        <color rgb="FF000000"/>
        <rFont val="Calibri"/>
      </rPr>
      <t xml:space="preserve">
</t>
    </r>
    <r>
      <rPr>
        <sz val="11"/>
        <color rgb="FF000000"/>
        <rFont val="Calibri"/>
      </rPr>
      <t>Step 2: Apply the ingress filter to all external interfaces.</t>
    </r>
    <r>
      <rPr>
        <sz val="11"/>
        <color rgb="FF000000"/>
        <rFont val="Calibri"/>
      </rPr>
      <t xml:space="preserve">
</t>
    </r>
    <r>
      <rPr>
        <sz val="11"/>
        <color rgb="FF000000"/>
        <rFont val="Calibri"/>
      </rPr>
      <t>SW1(config)#int g0/2</t>
    </r>
    <r>
      <rPr>
        <sz val="11"/>
        <color rgb="FF000000"/>
        <rFont val="Calibri"/>
      </rPr>
      <t xml:space="preserve">
</t>
    </r>
    <r>
      <rPr>
        <sz val="11"/>
        <color rgb="FF000000"/>
        <rFont val="Calibri"/>
      </rPr>
      <t>SW1(config-if)#ip access-group EXTERNAL_ACL in</t>
    </r>
  </si>
  <si>
    <r>
      <rPr>
        <sz val="11"/>
        <color rgb="FF000000"/>
        <rFont val="Calibri"/>
      </rPr>
      <t>A deny-all, permit-by-exception network communications traffic policy ensures that only connections that are essential and approved are allowed.</t>
    </r>
    <r>
      <rPr>
        <sz val="11"/>
        <color rgb="FF000000"/>
        <rFont val="Calibri"/>
      </rPr>
      <t xml:space="preserve">
</t>
    </r>
    <r>
      <rPr>
        <sz val="11"/>
        <color rgb="FF000000"/>
        <rFont val="Calibri"/>
      </rPr>
      <t>This requirement applies to both inbound and outbound network communications traffic. All inbound and outbound traffic must be denied by default. Firewalls and perimeter switches should only allow traffic through that is explicitly permitted. The initial defense for the internal network is to block any traffic at the perimeter that is attempting to make a connection to a host residing on the internal network. In addition, allowing unknown or undesirable outbound traffic by the firewall or switch will establish a state that will permit the return of this undesirable traffic inbound.</t>
    </r>
  </si>
  <si>
    <r>
      <rPr>
        <sz val="11"/>
        <color rgb="FF000000"/>
        <rFont val="Calibri"/>
      </rPr>
      <t>Review the switch configuration to verify that the inbound ACL applied to all external interfaces is configured to allow specific ports and protocols and deny all other traffic.</t>
    </r>
    <r>
      <rPr>
        <sz val="11"/>
        <color rgb="FF000000"/>
        <rFont val="Calibri"/>
      </rPr>
      <t xml:space="preserve">
</t>
    </r>
    <r>
      <rPr>
        <sz val="11"/>
        <color rgb="FF000000"/>
        <rFont val="Calibri"/>
      </rPr>
      <t>Step 1: Verify that an inbound ACL is applied to all external interfaces as shown in the example below:</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ip address x.11.1.2 255.255.255.254</t>
    </r>
    <r>
      <rPr>
        <sz val="11"/>
        <color rgb="FF000000"/>
        <rFont val="Calibri"/>
      </rPr>
      <t xml:space="preserve">
</t>
    </r>
    <r>
      <rPr>
        <sz val="11"/>
        <color rgb="FF000000"/>
        <rFont val="Calibri"/>
      </rPr>
      <t xml:space="preserve"> ip access-group EXTERNAL_ACL in</t>
    </r>
    <r>
      <rPr>
        <sz val="11"/>
        <color rgb="FF000000"/>
        <rFont val="Calibri"/>
      </rPr>
      <t xml:space="preserve">
</t>
    </r>
    <r>
      <rPr>
        <sz val="11"/>
        <color rgb="FF000000"/>
        <rFont val="Calibri"/>
      </rPr>
      <t>Step 2: Review inbound ACL to verify that it is configured to deny all other traffic that is not explicitly allowed.</t>
    </r>
    <r>
      <rPr>
        <sz val="11"/>
        <color rgb="FF000000"/>
        <rFont val="Calibri"/>
      </rPr>
      <t xml:space="preserve">
</t>
    </r>
    <r>
      <rPr>
        <sz val="11"/>
        <color rgb="FF000000"/>
        <rFont val="Calibri"/>
      </rPr>
      <t>ip access-list extended EXTERNAL_ACL</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x.11.1.1 eq bgp host x.11.1.2</t>
    </r>
    <r>
      <rPr>
        <sz val="11"/>
        <color rgb="FF000000"/>
        <rFont val="Calibri"/>
      </rPr>
      <t xml:space="preserve">
</t>
    </r>
    <r>
      <rPr>
        <sz val="11"/>
        <color rgb="FF000000"/>
        <rFont val="Calibri"/>
      </rPr>
      <t xml:space="preserve"> permit tcp host x.11.1.1 host x.11.1.2 eq bgp</t>
    </r>
    <r>
      <rPr>
        <sz val="11"/>
        <color rgb="FF000000"/>
        <rFont val="Calibri"/>
      </rPr>
      <t xml:space="preserve">
</t>
    </r>
    <r>
      <rPr>
        <sz val="11"/>
        <color rgb="FF000000"/>
        <rFont val="Calibri"/>
      </rPr>
      <t xml:space="preserve"> permit icmp host x.11.1.1 host x.11.1.2 echo</t>
    </r>
    <r>
      <rPr>
        <sz val="11"/>
        <color rgb="FF000000"/>
        <rFont val="Calibri"/>
      </rPr>
      <t xml:space="preserve">
</t>
    </r>
    <r>
      <rPr>
        <sz val="11"/>
        <color rgb="FF000000"/>
        <rFont val="Calibri"/>
      </rPr>
      <t xml:space="preserve"> permit icmp host x.11.1.1 host x.11.1.2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If the ACL is not configured to allow specific ports and protocols and deny all other traffic, this is a finding. If the ACL is not configured inbound on all external interfaces, this is a finding.</t>
    </r>
  </si>
  <si>
    <t>V-221008</t>
  </si>
  <si>
    <r>
      <rPr>
        <sz val="11"/>
        <rFont val="Calibri"/>
      </rPr>
      <t>The Cisco perimeter switch must be configured to enforce approved authorizations for controlling the flow of information between interconnected networks in accordance with applicable policy.</t>
    </r>
  </si>
  <si>
    <r>
      <rPr>
        <sz val="11"/>
        <color rgb="FF000000"/>
        <rFont val="Calibri"/>
      </rPr>
      <t>Step 1: Configure an ACL to allow or deny traffic as shown in the example below:</t>
    </r>
    <r>
      <rPr>
        <sz val="11"/>
        <color rgb="FF000000"/>
        <rFont val="Calibri"/>
      </rPr>
      <t xml:space="preserve">
</t>
    </r>
    <r>
      <rPr>
        <sz val="11"/>
        <color rgb="FF000000"/>
        <rFont val="Calibri"/>
      </rPr>
      <t>SW1(config)#ip access-list extended FILTER_PERIMETER</t>
    </r>
    <r>
      <rPr>
        <sz val="11"/>
        <color rgb="FF000000"/>
        <rFont val="Calibri"/>
      </rPr>
      <t xml:space="preserve">
</t>
    </r>
    <r>
      <rPr>
        <sz val="11"/>
        <color rgb="FF000000"/>
        <rFont val="Calibri"/>
      </rPr>
      <t>SW1(config-ext-nacl)#permit tcp any any established</t>
    </r>
    <r>
      <rPr>
        <sz val="11"/>
        <color rgb="FF000000"/>
        <rFont val="Calibri"/>
      </rPr>
      <t xml:space="preserve">
</t>
    </r>
    <r>
      <rPr>
        <sz val="11"/>
        <color rgb="FF000000"/>
        <rFont val="Calibri"/>
      </rPr>
      <t>SW1(config-ext-nacl)#permit tcp host x.12.1.9 host x.12.1.10 eq bgp</t>
    </r>
    <r>
      <rPr>
        <sz val="11"/>
        <color rgb="FF000000"/>
        <rFont val="Calibri"/>
      </rPr>
      <t xml:space="preserve">
</t>
    </r>
    <r>
      <rPr>
        <sz val="11"/>
        <color rgb="FF000000"/>
        <rFont val="Calibri"/>
      </rPr>
      <t>SW1(config-ext-nacl)#permit tcp host x.12.1.9 eq bgp host x.12.1.10</t>
    </r>
    <r>
      <rPr>
        <sz val="11"/>
        <color rgb="FF000000"/>
        <rFont val="Calibri"/>
      </rPr>
      <t xml:space="preserve">
</t>
    </r>
    <r>
      <rPr>
        <sz val="11"/>
        <color rgb="FF000000"/>
        <rFont val="Calibri"/>
      </rPr>
      <t>SW1(config-ext-nacl)#permit icmp host x.12.1.9 host x.12.1.10 echo</t>
    </r>
    <r>
      <rPr>
        <sz val="11"/>
        <color rgb="FF000000"/>
        <rFont val="Calibri"/>
      </rPr>
      <t xml:space="preserve">
</t>
    </r>
    <r>
      <rPr>
        <sz val="11"/>
        <color rgb="FF000000"/>
        <rFont val="Calibri"/>
      </rPr>
      <t>SW1(config-ext-nacl)#permit icmp host x.12.1.9 host x.12.1.10 echo-reply</t>
    </r>
    <r>
      <rPr>
        <sz val="11"/>
        <color rgb="FF000000"/>
        <rFont val="Calibri"/>
      </rPr>
      <t xml:space="preserve">
</t>
    </r>
    <r>
      <rPr>
        <sz val="11"/>
        <color rgb="FF000000"/>
        <rFont val="Calibri"/>
      </rPr>
      <t>SW1(config-ext-nacl)#permit tcp any host x.12.1.22 eq www</t>
    </r>
    <r>
      <rPr>
        <sz val="11"/>
        <color rgb="FF000000"/>
        <rFont val="Calibri"/>
      </rPr>
      <t xml:space="preserve">
</t>
    </r>
    <r>
      <rPr>
        <sz val="11"/>
        <color rgb="FF000000"/>
        <rFont val="Calibri"/>
      </rPr>
      <t>SW1(config-ext-nacl)#deny ip any any log-input</t>
    </r>
    <r>
      <rPr>
        <sz val="11"/>
        <color rgb="FF000000"/>
        <rFont val="Calibri"/>
      </rPr>
      <t xml:space="preserve">
</t>
    </r>
    <r>
      <rPr>
        <sz val="11"/>
        <color rgb="FF000000"/>
        <rFont val="Calibri"/>
      </rPr>
      <t>SW1(config-ext-nacl)#exit</t>
    </r>
    <r>
      <rPr>
        <sz val="11"/>
        <color rgb="FF000000"/>
        <rFont val="Calibri"/>
      </rPr>
      <t xml:space="preserve">
</t>
    </r>
    <r>
      <rPr>
        <sz val="11"/>
        <color rgb="FF000000"/>
        <rFont val="Calibri"/>
      </rPr>
      <t>Step 2: Apply the ACL inbound on all external interfaces.</t>
    </r>
    <r>
      <rPr>
        <sz val="11"/>
        <color rgb="FF000000"/>
        <rFont val="Calibri"/>
      </rPr>
      <t xml:space="preserve">
</t>
    </r>
    <r>
      <rPr>
        <sz val="11"/>
        <color rgb="FF000000"/>
        <rFont val="Calibri"/>
      </rPr>
      <t>R2(config)#int g0/0</t>
    </r>
    <r>
      <rPr>
        <sz val="11"/>
        <color rgb="FF000000"/>
        <rFont val="Calibri"/>
      </rPr>
      <t xml:space="preserve">
</t>
    </r>
    <r>
      <rPr>
        <sz val="11"/>
        <color rgb="FF000000"/>
        <rFont val="Calibri"/>
      </rPr>
      <t>SW1(config-if)#ip access-group FILTER_PERIMETER in</t>
    </r>
  </si>
  <si>
    <r>
      <rPr>
        <sz val="11"/>
        <color rgb="FF000000"/>
        <rFont val="Calibri"/>
      </rPr>
      <t>Information flow control regulates authorized information to travel within a network and between interconnected networks. Controlling the flow of network traffic is critical so it does not introduce any unacceptable risk to the network infrastructure or data. An example of a flow control restriction is blocking outside traffic claiming to be from within the organization. For most switches, internal information flow control is a product of system design.</t>
    </r>
  </si>
  <si>
    <r>
      <rPr>
        <sz val="11"/>
        <color rgb="FF000000"/>
        <rFont val="Calibri"/>
      </rPr>
      <t>Review the switch configuration to verify that ACLs are configured to allow or deny traffic for specific source and destination addresses as well as ports and protocols. In the example below, the switch is peering BGP with DISN. ICMP echo and echo-reply packets are allowed for troubleshooting connectivity. WWW traffic is permitted inbound to the NIPRNet host-facing web server (x.12.1.22).</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 address x.12.1.10 255.255.255.0</t>
    </r>
    <r>
      <rPr>
        <sz val="11"/>
        <color rgb="FF000000"/>
        <rFont val="Calibri"/>
      </rPr>
      <t xml:space="preserve">
</t>
    </r>
    <r>
      <rPr>
        <sz val="11"/>
        <color rgb="FF000000"/>
        <rFont val="Calibri"/>
      </rPr>
      <t xml:space="preserve"> ip access-group FILTER_PERIMETER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FILTER_PERIMETER</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x.12.1.9 host x.12.1.10 eq bgp</t>
    </r>
    <r>
      <rPr>
        <sz val="11"/>
        <color rgb="FF000000"/>
        <rFont val="Calibri"/>
      </rPr>
      <t xml:space="preserve">
</t>
    </r>
    <r>
      <rPr>
        <sz val="11"/>
        <color rgb="FF000000"/>
        <rFont val="Calibri"/>
      </rPr>
      <t xml:space="preserve"> permit tcp host x.12.1.9 eq bgp host x.12.1.10</t>
    </r>
    <r>
      <rPr>
        <sz val="11"/>
        <color rgb="FF000000"/>
        <rFont val="Calibri"/>
      </rPr>
      <t xml:space="preserve">
</t>
    </r>
    <r>
      <rPr>
        <sz val="11"/>
        <color rgb="FF000000"/>
        <rFont val="Calibri"/>
      </rPr>
      <t xml:space="preserve"> permit icmp host x.12.1.9 host x.12.1.10 echo</t>
    </r>
    <r>
      <rPr>
        <sz val="11"/>
        <color rgb="FF000000"/>
        <rFont val="Calibri"/>
      </rPr>
      <t xml:space="preserve">
</t>
    </r>
    <r>
      <rPr>
        <sz val="11"/>
        <color rgb="FF000000"/>
        <rFont val="Calibri"/>
      </rPr>
      <t xml:space="preserve"> permit icmp host x.12.1.9 host x.12.1.10 echo-reply</t>
    </r>
    <r>
      <rPr>
        <sz val="11"/>
        <color rgb="FF000000"/>
        <rFont val="Calibri"/>
      </rPr>
      <t xml:space="preserve">
</t>
    </r>
    <r>
      <rPr>
        <sz val="11"/>
        <color rgb="FF000000"/>
        <rFont val="Calibri"/>
      </rPr>
      <t xml:space="preserve"> permit tcp any host x.12.1.22 eq www</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If the switch is not configured to enforce approved authorizations for controlling the flow of information between interconnected networks, this is a finding.</t>
    </r>
  </si>
  <si>
    <t>V-221009</t>
  </si>
  <si>
    <r>
      <rPr>
        <sz val="11"/>
        <rFont val="Calibri"/>
      </rPr>
      <t>The Cisco perimeter switch must be configured to only allow incoming communications from authorized sources to be routed to authorized destinations.</t>
    </r>
  </si>
  <si>
    <r>
      <rPr>
        <sz val="11"/>
        <color rgb="FF000000"/>
        <rFont val="Calibri"/>
      </rPr>
      <t xml:space="preserve">Configure the switch to allow only incoming communications from authorized sources to be routed to authorized destinations. </t>
    </r>
    <r>
      <rPr>
        <sz val="11"/>
        <color rgb="FF000000"/>
        <rFont val="Calibri"/>
      </rPr>
      <t xml:space="preserve">
</t>
    </r>
    <r>
      <rPr>
        <sz val="11"/>
        <color rgb="FF000000"/>
        <rFont val="Calibri"/>
      </rPr>
      <t>SW1(config)#ip access-list extended FILTER_PERIMETER</t>
    </r>
    <r>
      <rPr>
        <sz val="11"/>
        <color rgb="FF000000"/>
        <rFont val="Calibri"/>
      </rPr>
      <t xml:space="preserve">
</t>
    </r>
    <r>
      <rPr>
        <sz val="11"/>
        <color rgb="FF000000"/>
        <rFont val="Calibri"/>
      </rPr>
      <t>SW1(config-ext-nacl)#permit tcp any any established</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SW1(config-ext-nacl)#permit udp host x.12.1.9 host x.12.1.21 eq ntp</t>
    </r>
    <r>
      <rPr>
        <sz val="11"/>
        <color rgb="FF000000"/>
        <rFont val="Calibri"/>
      </rPr>
      <t xml:space="preserve">
</t>
    </r>
    <r>
      <rPr>
        <sz val="11"/>
        <color rgb="FF000000"/>
        <rFont val="Calibri"/>
      </rPr>
      <t>SW1(config-ext-nacl)#deny ip any any log-input</t>
    </r>
    <r>
      <rPr>
        <sz val="11"/>
        <color rgb="FF000000"/>
        <rFont val="Calibri"/>
      </rPr>
      <t xml:space="preserve">
</t>
    </r>
    <r>
      <rPr>
        <sz val="11"/>
        <color rgb="FF000000"/>
        <rFont val="Calibri"/>
      </rPr>
      <t>SW1(config-ext-nacl)#end</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</si>
  <si>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Traffic can be restricted directly by an access control list (ACL), which is a firewall function, or by Policy Routing. Policy Routing is a technique used to make routing decisions based on a number of different criteria other than just the destination network, including source or destination network, source or destination address, source or destination port, protocol, packet size, and packet classification. This overrides the switch's normal routing procedures used to control the specific paths of network traffic. It is normally used for traffic engineering but can also be used to meet security requirements; for example, traffic that is not allowed can be routed to the Null0 or discard interface. Policy Routing can also be used to control which prefixes appear in the routing table.</t>
    </r>
    <r>
      <rPr>
        <sz val="11"/>
        <color rgb="FF000000"/>
        <rFont val="Calibri"/>
      </rPr>
      <t xml:space="preserve">
</t>
    </r>
    <r>
      <rPr>
        <sz val="11"/>
        <color rgb="FF000000"/>
        <rFont val="Calibri"/>
      </rPr>
      <t>This requirement is intended to allow network administrators the flexibility to use whatever technique is most effective.</t>
    </r>
  </si>
  <si>
    <r>
      <rPr>
        <sz val="11"/>
        <color rgb="FF000000"/>
        <rFont val="Calibri"/>
      </rPr>
      <t>Review the switch configuration to determine if the switch allows only incoming communications from authorized sources to be routed to authorized destinations. The hypothetical example below allows inbound NTP from server x.1.12.9 only to host x.12.1.21.</t>
    </r>
    <r>
      <rPr>
        <sz val="11"/>
        <color rgb="FF000000"/>
        <rFont val="Calibri"/>
      </rPr>
      <t xml:space="preserve">
</t>
    </r>
    <r>
      <rPr>
        <sz val="11"/>
        <color rgb="FF000000"/>
        <rFont val="Calibri"/>
      </rPr>
      <t>ip access-list extended FILTER_PERIMETER</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permit udp host x.12.1.9 host x.12.1.21 eq ntp</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If the switch does not restrict incoming communications to allow only authorized sources and destinations, this is a finding.</t>
    </r>
  </si>
  <si>
    <t>V-221010</t>
  </si>
  <si>
    <r>
      <rPr>
        <sz val="11"/>
        <rFont val="Calibri"/>
      </rPr>
      <t>The Cisco perimeter switch must be configured to block inbound packets with source Bogon IP address prefixes.</t>
    </r>
  </si>
  <si>
    <r>
      <rPr>
        <sz val="11"/>
        <color rgb="FF000000"/>
        <rFont val="Calibri"/>
      </rPr>
      <t>Configure the perimeter to block inbound packets with Bogon source addresses.</t>
    </r>
    <r>
      <rPr>
        <sz val="11"/>
        <color rgb="FF000000"/>
        <rFont val="Calibri"/>
      </rPr>
      <t xml:space="preserve">
</t>
    </r>
    <r>
      <rPr>
        <sz val="11"/>
        <color rgb="FF000000"/>
        <rFont val="Calibri"/>
      </rPr>
      <t>Step 1: Configure an ACL containing the current Bogon prefixes as shown below:</t>
    </r>
    <r>
      <rPr>
        <sz val="11"/>
        <color rgb="FF000000"/>
        <rFont val="Calibri"/>
      </rPr>
      <t xml:space="preserve">
</t>
    </r>
    <r>
      <rPr>
        <sz val="11"/>
        <color rgb="FF000000"/>
        <rFont val="Calibri"/>
      </rPr>
      <t>SW1(config)#ip access-list extended FILTER_PERIMETER</t>
    </r>
    <r>
      <rPr>
        <sz val="11"/>
        <color rgb="FF000000"/>
        <rFont val="Calibri"/>
      </rPr>
      <t xml:space="preserve">
</t>
    </r>
    <r>
      <rPr>
        <sz val="11"/>
        <color rgb="FF000000"/>
        <rFont val="Calibri"/>
      </rPr>
      <t>SW1(config-ext-nacl)#deny ip 0.0.0.0 0.255.255.255 any log-input</t>
    </r>
    <r>
      <rPr>
        <sz val="11"/>
        <color rgb="FF000000"/>
        <rFont val="Calibri"/>
      </rPr>
      <t xml:space="preserve">
</t>
    </r>
    <r>
      <rPr>
        <sz val="11"/>
        <color rgb="FF000000"/>
        <rFont val="Calibri"/>
      </rPr>
      <t>SW1(config-ext-nacl)#deny ip 10.0.0.0 0.255.255.255 any log-input</t>
    </r>
    <r>
      <rPr>
        <sz val="11"/>
        <color rgb="FF000000"/>
        <rFont val="Calibri"/>
      </rPr>
      <t xml:space="preserve">
</t>
    </r>
    <r>
      <rPr>
        <sz val="11"/>
        <color rgb="FF000000"/>
        <rFont val="Calibri"/>
      </rPr>
      <t>SW1(config-ext-nacl)#deny ip 100.64.0.0 0.63.255.255 any log-input</t>
    </r>
    <r>
      <rPr>
        <sz val="11"/>
        <color rgb="FF000000"/>
        <rFont val="Calibri"/>
      </rPr>
      <t xml:space="preserve">
</t>
    </r>
    <r>
      <rPr>
        <sz val="11"/>
        <color rgb="FF000000"/>
        <rFont val="Calibri"/>
      </rPr>
      <t>SW1(config-ext-nacl)#deny ip 127.0.0.0 0.255.255.255 any log-input</t>
    </r>
    <r>
      <rPr>
        <sz val="11"/>
        <color rgb="FF000000"/>
        <rFont val="Calibri"/>
      </rPr>
      <t xml:space="preserve">
</t>
    </r>
    <r>
      <rPr>
        <sz val="11"/>
        <color rgb="FF000000"/>
        <rFont val="Calibri"/>
      </rPr>
      <t>SW1(config-ext-nacl)#deny ip 169.254.0.0 0.0.255.255 any log-input</t>
    </r>
    <r>
      <rPr>
        <sz val="11"/>
        <color rgb="FF000000"/>
        <rFont val="Calibri"/>
      </rPr>
      <t xml:space="preserve">
</t>
    </r>
    <r>
      <rPr>
        <sz val="11"/>
        <color rgb="FF000000"/>
        <rFont val="Calibri"/>
      </rPr>
      <t>SW1(config-ext-nacl)#deny ip 172.16.0.0 0.15.255.255 any log-input</t>
    </r>
    <r>
      <rPr>
        <sz val="11"/>
        <color rgb="FF000000"/>
        <rFont val="Calibri"/>
      </rPr>
      <t xml:space="preserve">
</t>
    </r>
    <r>
      <rPr>
        <sz val="11"/>
        <color rgb="FF000000"/>
        <rFont val="Calibri"/>
      </rPr>
      <t>SW1(config-ext-nacl)#deny ip 192.0.0.0 0.0.0.255 any log-input</t>
    </r>
    <r>
      <rPr>
        <sz val="11"/>
        <color rgb="FF000000"/>
        <rFont val="Calibri"/>
      </rPr>
      <t xml:space="preserve">
</t>
    </r>
    <r>
      <rPr>
        <sz val="11"/>
        <color rgb="FF000000"/>
        <rFont val="Calibri"/>
      </rPr>
      <t>SW1(config-ext-nacl)#deny ip 192.0.2.0 0.0.0.255 any log-input</t>
    </r>
    <r>
      <rPr>
        <sz val="11"/>
        <color rgb="FF000000"/>
        <rFont val="Calibri"/>
      </rPr>
      <t xml:space="preserve">
</t>
    </r>
    <r>
      <rPr>
        <sz val="11"/>
        <color rgb="FF000000"/>
        <rFont val="Calibri"/>
      </rPr>
      <t>SW1(config-ext-nacl)#deny ip 192.168.0.0 0.0.255.255 any log-input</t>
    </r>
    <r>
      <rPr>
        <sz val="11"/>
        <color rgb="FF000000"/>
        <rFont val="Calibri"/>
      </rPr>
      <t xml:space="preserve">
</t>
    </r>
    <r>
      <rPr>
        <sz val="11"/>
        <color rgb="FF000000"/>
        <rFont val="Calibri"/>
      </rPr>
      <t>SW1(config-ext-nacl)#deny ip 198.18.0.0 0.1.255.255 any log-input</t>
    </r>
    <r>
      <rPr>
        <sz val="11"/>
        <color rgb="FF000000"/>
        <rFont val="Calibri"/>
      </rPr>
      <t xml:space="preserve">
</t>
    </r>
    <r>
      <rPr>
        <sz val="11"/>
        <color rgb="FF000000"/>
        <rFont val="Calibri"/>
      </rPr>
      <t>SW1(config-ext-nacl)#deny ip 198.51.100.0 0.0.0.255 any log-input</t>
    </r>
    <r>
      <rPr>
        <sz val="11"/>
        <color rgb="FF000000"/>
        <rFont val="Calibri"/>
      </rPr>
      <t xml:space="preserve">
</t>
    </r>
    <r>
      <rPr>
        <sz val="11"/>
        <color rgb="FF000000"/>
        <rFont val="Calibri"/>
      </rPr>
      <t>SW1(config-ext-nacl)#deny ip 203.0.113.0 0.0.0.255 any log-input</t>
    </r>
    <r>
      <rPr>
        <sz val="11"/>
        <color rgb="FF000000"/>
        <rFont val="Calibri"/>
      </rPr>
      <t xml:space="preserve">
</t>
    </r>
    <r>
      <rPr>
        <sz val="11"/>
        <color rgb="FF000000"/>
        <rFont val="Calibri"/>
      </rPr>
      <t>SW1(config-ext-nacl)#deny ip 224.0.0.0 31.255.255.255 any log-input</t>
    </r>
    <r>
      <rPr>
        <sz val="11"/>
        <color rgb="FF000000"/>
        <rFont val="Calibri"/>
      </rPr>
      <t xml:space="preserve">
</t>
    </r>
    <r>
      <rPr>
        <sz val="11"/>
        <color rgb="FF000000"/>
        <rFont val="Calibri"/>
      </rPr>
      <t>SW1(config-ext-nacl)#deny ip 240.0.0.0 15.255.255.255 any log-input</t>
    </r>
    <r>
      <rPr>
        <sz val="11"/>
        <color rgb="FF000000"/>
        <rFont val="Calibri"/>
      </rPr>
      <t xml:space="preserve">
</t>
    </r>
    <r>
      <rPr>
        <sz val="11"/>
        <color rgb="FF000000"/>
        <rFont val="Calibri"/>
      </rPr>
      <t>SW1(config-ext-nacl)#permit tcp any any established</t>
    </r>
    <r>
      <rPr>
        <sz val="11"/>
        <color rgb="FF000000"/>
        <rFont val="Calibri"/>
      </rPr>
      <t xml:space="preserve">
</t>
    </r>
    <r>
      <rPr>
        <sz val="11"/>
        <color rgb="FF000000"/>
        <rFont val="Calibri"/>
      </rPr>
      <t>SW1(config-ext-nacl)#permit tcp host x.12.1.9 host x.12.1.10 eq bgp</t>
    </r>
    <r>
      <rPr>
        <sz val="11"/>
        <color rgb="FF000000"/>
        <rFont val="Calibri"/>
      </rPr>
      <t xml:space="preserve">
</t>
    </r>
    <r>
      <rPr>
        <sz val="11"/>
        <color rgb="FF000000"/>
        <rFont val="Calibri"/>
      </rPr>
      <t>SW1(config-ext-nacl)#permit tcp host x.12.1.9 eq bgp host x.12.1.10</t>
    </r>
    <r>
      <rPr>
        <sz val="11"/>
        <color rgb="FF000000"/>
        <rFont val="Calibri"/>
      </rPr>
      <t xml:space="preserve">
</t>
    </r>
    <r>
      <rPr>
        <sz val="11"/>
        <color rgb="FF000000"/>
        <rFont val="Calibri"/>
      </rPr>
      <t>SW1(config-ext-nacl)#permit icmp host x.12.1.9 host x.12.1.10 echo</t>
    </r>
    <r>
      <rPr>
        <sz val="11"/>
        <color rgb="FF000000"/>
        <rFont val="Calibri"/>
      </rPr>
      <t xml:space="preserve">
</t>
    </r>
    <r>
      <rPr>
        <sz val="11"/>
        <color rgb="FF000000"/>
        <rFont val="Calibri"/>
      </rPr>
      <t>SW1(config-ext-nacl)#permit icmp host x.12.1.9 host x.12.1.10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SW1(config-ext-nacl)#deny ip any any log-input</t>
    </r>
    <r>
      <rPr>
        <sz val="11"/>
        <color rgb="FF000000"/>
        <rFont val="Calibri"/>
      </rPr>
      <t xml:space="preserve">
</t>
    </r>
    <r>
      <rPr>
        <sz val="11"/>
        <color rgb="FF000000"/>
        <rFont val="Calibri"/>
      </rPr>
      <t>SW1(config-ext-nacl)#end</t>
    </r>
    <r>
      <rPr>
        <sz val="11"/>
        <color rgb="FF000000"/>
        <rFont val="Calibri"/>
      </rPr>
      <t xml:space="preserve">
</t>
    </r>
    <r>
      <rPr>
        <sz val="11"/>
        <color rgb="FF000000"/>
        <rFont val="Calibri"/>
      </rPr>
      <t>Step 2: Apply the ACL inbound on all external interfaces.</t>
    </r>
    <r>
      <rPr>
        <sz val="11"/>
        <color rgb="FF000000"/>
        <rFont val="Calibri"/>
      </rPr>
      <t xml:space="preserve">
</t>
    </r>
    <r>
      <rPr>
        <sz val="11"/>
        <color rgb="FF000000"/>
        <rFont val="Calibri"/>
      </rPr>
      <t>SW1(config)#int g0/0</t>
    </r>
    <r>
      <rPr>
        <sz val="11"/>
        <color rgb="FF000000"/>
        <rFont val="Calibri"/>
      </rPr>
      <t xml:space="preserve">
</t>
    </r>
    <r>
      <rPr>
        <sz val="11"/>
        <color rgb="FF000000"/>
        <rFont val="Calibri"/>
      </rPr>
      <t>SW1(config-if)#ip access-group FILTER_PERIMETER in</t>
    </r>
    <r>
      <rPr>
        <sz val="11"/>
        <color rgb="FF000000"/>
        <rFont val="Calibri"/>
      </rPr>
      <t xml:space="preserve">
</t>
    </r>
    <r>
      <rPr>
        <sz val="11"/>
        <color rgb="FF000000"/>
        <rFont val="Calibri"/>
      </rPr>
      <t>SW1(config-if)#end</t>
    </r>
  </si>
  <si>
    <r>
      <rPr>
        <sz val="11"/>
        <color rgb="FF000000"/>
        <rFont val="Calibri"/>
      </rPr>
      <t>Packets with Bogon IP source addresses should never be allowed to traverse the IP core. Bogon IP networks are RFC1918 addresses or address blocks that have never been assigned by the IANA or have been reserved.</t>
    </r>
  </si>
  <si>
    <r>
      <rPr>
        <sz val="11"/>
        <color rgb="FF000000"/>
        <rFont val="Calibri"/>
      </rPr>
      <t>Review the switch configuration to verify that an ingress ACL applied to all external interfaces is blocking packets with Bogon source addresses.</t>
    </r>
    <r>
      <rPr>
        <sz val="11"/>
        <color rgb="FF000000"/>
        <rFont val="Calibri"/>
      </rPr>
      <t xml:space="preserve">
</t>
    </r>
    <r>
      <rPr>
        <sz val="11"/>
        <color rgb="FF000000"/>
        <rFont val="Calibri"/>
      </rPr>
      <t>Step 1: Verify an ACL has been configured containing the current Bogon prefixes as shown in the example below:</t>
    </r>
    <r>
      <rPr>
        <sz val="11"/>
        <color rgb="FF000000"/>
        <rFont val="Calibri"/>
      </rPr>
      <t xml:space="preserve">
</t>
    </r>
    <r>
      <rPr>
        <sz val="11"/>
        <color rgb="FF000000"/>
        <rFont val="Calibri"/>
      </rPr>
      <t>ip access-list extended FILTER_PERIMETER</t>
    </r>
    <r>
      <rPr>
        <sz val="11"/>
        <color rgb="FF000000"/>
        <rFont val="Calibri"/>
      </rPr>
      <t xml:space="preserve">
</t>
    </r>
    <r>
      <rPr>
        <sz val="11"/>
        <color rgb="FF000000"/>
        <rFont val="Calibri"/>
      </rPr>
      <t xml:space="preserve"> deny ip 0.0.0.0 0.255.255.255 any log-input</t>
    </r>
    <r>
      <rPr>
        <sz val="11"/>
        <color rgb="FF000000"/>
        <rFont val="Calibri"/>
      </rPr>
      <t xml:space="preserve">
</t>
    </r>
    <r>
      <rPr>
        <sz val="11"/>
        <color rgb="FF000000"/>
        <rFont val="Calibri"/>
      </rPr>
      <t xml:space="preserve"> deny ip 10.0.0.0 0.255.255.255 any log-input</t>
    </r>
    <r>
      <rPr>
        <sz val="11"/>
        <color rgb="FF000000"/>
        <rFont val="Calibri"/>
      </rPr>
      <t xml:space="preserve">
</t>
    </r>
    <r>
      <rPr>
        <sz val="11"/>
        <color rgb="FF000000"/>
        <rFont val="Calibri"/>
      </rPr>
      <t xml:space="preserve"> deny ip 100.64.0.0 0.63.255.255 any log-input</t>
    </r>
    <r>
      <rPr>
        <sz val="11"/>
        <color rgb="FF000000"/>
        <rFont val="Calibri"/>
      </rPr>
      <t xml:space="preserve">
</t>
    </r>
    <r>
      <rPr>
        <sz val="11"/>
        <color rgb="FF000000"/>
        <rFont val="Calibri"/>
      </rPr>
      <t xml:space="preserve"> deny ip 127.0.0.0 0.255.255.255 any log-input</t>
    </r>
    <r>
      <rPr>
        <sz val="11"/>
        <color rgb="FF000000"/>
        <rFont val="Calibri"/>
      </rPr>
      <t xml:space="preserve">
</t>
    </r>
    <r>
      <rPr>
        <sz val="11"/>
        <color rgb="FF000000"/>
        <rFont val="Calibri"/>
      </rPr>
      <t xml:space="preserve"> deny ip 169.254.0.0 0.0.255.255 any log-input</t>
    </r>
    <r>
      <rPr>
        <sz val="11"/>
        <color rgb="FF000000"/>
        <rFont val="Calibri"/>
      </rPr>
      <t xml:space="preserve">
</t>
    </r>
    <r>
      <rPr>
        <sz val="11"/>
        <color rgb="FF000000"/>
        <rFont val="Calibri"/>
      </rPr>
      <t xml:space="preserve"> deny ip 172.16.0.0 0.15.255.255 any log-input</t>
    </r>
    <r>
      <rPr>
        <sz val="11"/>
        <color rgb="FF000000"/>
        <rFont val="Calibri"/>
      </rPr>
      <t xml:space="preserve">
</t>
    </r>
    <r>
      <rPr>
        <sz val="11"/>
        <color rgb="FF000000"/>
        <rFont val="Calibri"/>
      </rPr>
      <t xml:space="preserve"> deny ip 192.0.0.0 0.0.0.255 any log-input</t>
    </r>
    <r>
      <rPr>
        <sz val="11"/>
        <color rgb="FF000000"/>
        <rFont val="Calibri"/>
      </rPr>
      <t xml:space="preserve">
</t>
    </r>
    <r>
      <rPr>
        <sz val="11"/>
        <color rgb="FF000000"/>
        <rFont val="Calibri"/>
      </rPr>
      <t xml:space="preserve"> deny ip 192.0.2.0 0.0.0.255 any log-input</t>
    </r>
    <r>
      <rPr>
        <sz val="11"/>
        <color rgb="FF000000"/>
        <rFont val="Calibri"/>
      </rPr>
      <t xml:space="preserve">
</t>
    </r>
    <r>
      <rPr>
        <sz val="11"/>
        <color rgb="FF000000"/>
        <rFont val="Calibri"/>
      </rPr>
      <t xml:space="preserve"> deny ip 192.168.0.0 0.0.255.255 any log-input</t>
    </r>
    <r>
      <rPr>
        <sz val="11"/>
        <color rgb="FF000000"/>
        <rFont val="Calibri"/>
      </rPr>
      <t xml:space="preserve">
</t>
    </r>
    <r>
      <rPr>
        <sz val="11"/>
        <color rgb="FF000000"/>
        <rFont val="Calibri"/>
      </rPr>
      <t xml:space="preserve"> deny ip 198.18.0.0 0.1.255.255 any log-input</t>
    </r>
    <r>
      <rPr>
        <sz val="11"/>
        <color rgb="FF000000"/>
        <rFont val="Calibri"/>
      </rPr>
      <t xml:space="preserve">
</t>
    </r>
    <r>
      <rPr>
        <sz val="11"/>
        <color rgb="FF000000"/>
        <rFont val="Calibri"/>
      </rPr>
      <t xml:space="preserve"> deny ip 198.51.100.0 0.0.0.255 any log-input</t>
    </r>
    <r>
      <rPr>
        <sz val="11"/>
        <color rgb="FF000000"/>
        <rFont val="Calibri"/>
      </rPr>
      <t xml:space="preserve">
</t>
    </r>
    <r>
      <rPr>
        <sz val="11"/>
        <color rgb="FF000000"/>
        <rFont val="Calibri"/>
      </rPr>
      <t xml:space="preserve"> deny ip 203.0.113.0 0.0.0.255 any log-input</t>
    </r>
    <r>
      <rPr>
        <sz val="11"/>
        <color rgb="FF000000"/>
        <rFont val="Calibri"/>
      </rPr>
      <t xml:space="preserve">
</t>
    </r>
    <r>
      <rPr>
        <sz val="11"/>
        <color rgb="FF000000"/>
        <rFont val="Calibri"/>
      </rPr>
      <t xml:space="preserve"> deny ip 224.0.0.0 31.255.255.255 any log-input</t>
    </r>
    <r>
      <rPr>
        <sz val="11"/>
        <color rgb="FF000000"/>
        <rFont val="Calibri"/>
      </rPr>
      <t xml:space="preserve">
</t>
    </r>
    <r>
      <rPr>
        <sz val="11"/>
        <color rgb="FF000000"/>
        <rFont val="Calibri"/>
      </rPr>
      <t xml:space="preserve"> deny ip 240.0.0.0 15.255.255.255 any log-input</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x.12.1.9 host x.12.1.10 eq bgp</t>
    </r>
    <r>
      <rPr>
        <sz val="11"/>
        <color rgb="FF000000"/>
        <rFont val="Calibri"/>
      </rPr>
      <t xml:space="preserve">
</t>
    </r>
    <r>
      <rPr>
        <sz val="11"/>
        <color rgb="FF000000"/>
        <rFont val="Calibri"/>
      </rPr>
      <t xml:space="preserve"> permit tcp host x.12.1.9 eq bgp host x.12.1.10</t>
    </r>
    <r>
      <rPr>
        <sz val="11"/>
        <color rgb="FF000000"/>
        <rFont val="Calibri"/>
      </rPr>
      <t xml:space="preserve">
</t>
    </r>
    <r>
      <rPr>
        <sz val="11"/>
        <color rgb="FF000000"/>
        <rFont val="Calibri"/>
      </rPr>
      <t xml:space="preserve"> permit icmp host x.12.1.9 host x.12.1.10 echo</t>
    </r>
    <r>
      <rPr>
        <sz val="11"/>
        <color rgb="FF000000"/>
        <rFont val="Calibri"/>
      </rPr>
      <t xml:space="preserve">
</t>
    </r>
    <r>
      <rPr>
        <sz val="11"/>
        <color rgb="FF000000"/>
        <rFont val="Calibri"/>
      </rPr>
      <t xml:space="preserve"> permit icmp host x.12.1.9 host x.12.1.10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Step 2: Verify that the inbound ACL applied to all external interfaces will block all traffic from Bogon source addresses.</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 address x.12.1.10 255.255.255.254</t>
    </r>
    <r>
      <rPr>
        <sz val="11"/>
        <color rgb="FF000000"/>
        <rFont val="Calibri"/>
      </rPr>
      <t xml:space="preserve">
</t>
    </r>
    <r>
      <rPr>
        <sz val="11"/>
        <color rgb="FF000000"/>
        <rFont val="Calibri"/>
      </rPr>
      <t xml:space="preserve"> ip access-group FILTER_PERIMETER in</t>
    </r>
    <r>
      <rPr>
        <sz val="11"/>
        <color rgb="FF000000"/>
        <rFont val="Calibri"/>
      </rPr>
      <t xml:space="preserve">
</t>
    </r>
    <r>
      <rPr>
        <sz val="11"/>
        <color rgb="FF000000"/>
        <rFont val="Calibri"/>
      </rPr>
      <t>If the switch is not configured to block inbound packets with source Bogon IP address prefixes, this is a finding.</t>
    </r>
  </si>
  <si>
    <t>V-221011</t>
  </si>
  <si>
    <r>
      <rPr>
        <sz val="11"/>
        <rFont val="Calibri"/>
      </rPr>
      <t>The Cisco perimeter switch must be configured to restrict it from accepting outbound IP packets that contain an illegitimate address in the source address field via egress filter or by enabling Unicast Reverse Path Forwarding (uRPF).</t>
    </r>
  </si>
  <si>
    <r>
      <rPr>
        <sz val="11"/>
        <color rgb="FF000000"/>
        <rFont val="Calibri"/>
      </rPr>
      <t>Configure the switch to ensure that an egress ACL or uRPF is configured on internal interfaces to restrict the switch from accepting any outbound IP packet that contains an illegitimate address in the source field. The example below enables uRPF.</t>
    </r>
    <r>
      <rPr>
        <sz val="11"/>
        <color rgb="FF000000"/>
        <rFont val="Calibri"/>
      </rPr>
      <t xml:space="preserve">
</t>
    </r>
    <r>
      <rPr>
        <sz val="11"/>
        <color rgb="FF000000"/>
        <rFont val="Calibri"/>
      </rPr>
      <t>SW1(config)#int g0/1</t>
    </r>
    <r>
      <rPr>
        <sz val="11"/>
        <color rgb="FF000000"/>
        <rFont val="Calibri"/>
      </rPr>
      <t xml:space="preserve">
</t>
    </r>
    <r>
      <rPr>
        <sz val="11"/>
        <color rgb="FF000000"/>
        <rFont val="Calibri"/>
      </rPr>
      <t>SW1(config-if)#ip verify unicast source reachable-via rx</t>
    </r>
  </si>
  <si>
    <r>
      <rPr>
        <sz val="11"/>
        <color rgb="FF000000"/>
        <rFont val="Calibri"/>
      </rPr>
      <t>A compromised host in an enclave can be used by a malicious platform to launch cyberattacks on third parties. This is a common practice in "botnets", which are a collection of compromised computers using malware to attack other computers or networks. DDoS attacks frequently leverage IP source address spoofing to send packets to multiple hosts that in turn will then send return traffic to the hosts with the IP addresses that were forged. 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</si>
  <si>
    <r>
      <rPr>
        <sz val="11"/>
        <color rgb="FF000000"/>
        <rFont val="Calibri"/>
      </rPr>
      <t>Review the switch configuration to verify uRPF or an egress ACL has been configured on all internal interfaces to restrict the switch from accepting outbound IP packets that contain an illegitimate address in the source address field.</t>
    </r>
    <r>
      <rPr>
        <sz val="11"/>
        <color rgb="FF000000"/>
        <rFont val="Calibri"/>
      </rPr>
      <t xml:space="preserve">
</t>
    </r>
    <r>
      <rPr>
        <sz val="11"/>
        <color rgb="FF000000"/>
        <rFont val="Calibri"/>
      </rPr>
      <t>uRPF example:</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ip address 10.1.25.5 255.255.255.0</t>
    </r>
    <r>
      <rPr>
        <sz val="11"/>
        <color rgb="FF000000"/>
        <rFont val="Calibri"/>
      </rPr>
      <t xml:space="preserve">
</t>
    </r>
    <r>
      <rPr>
        <sz val="11"/>
        <color rgb="FF000000"/>
        <rFont val="Calibri"/>
      </rPr>
      <t xml:space="preserve"> ip verify unicast source reachable-via rx</t>
    </r>
    <r>
      <rPr>
        <sz val="11"/>
        <color rgb="FF000000"/>
        <rFont val="Calibri"/>
      </rPr>
      <t xml:space="preserve">
</t>
    </r>
    <r>
      <rPr>
        <sz val="11"/>
        <color rgb="FF000000"/>
        <rFont val="Calibri"/>
      </rPr>
      <t>Egress ACL example:</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ip address 10.1.25.5 255.255.255.0</t>
    </r>
    <r>
      <rPr>
        <sz val="11"/>
        <color rgb="FF000000"/>
        <rFont val="Calibri"/>
      </rPr>
      <t xml:space="preserve">
</t>
    </r>
    <r>
      <rPr>
        <sz val="11"/>
        <color rgb="FF000000"/>
        <rFont val="Calibri"/>
      </rPr>
      <t xml:space="preserve"> ip access-group EGRESS_FILTER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EGRESS_FILTER</t>
    </r>
    <r>
      <rPr>
        <sz val="11"/>
        <color rgb="FF000000"/>
        <rFont val="Calibri"/>
      </rPr>
      <t xml:space="preserve">
</t>
    </r>
    <r>
      <rPr>
        <sz val="11"/>
        <color rgb="FF000000"/>
        <rFont val="Calibri"/>
      </rPr>
      <t xml:space="preserve"> permit udp 10.1.15.0 0.0.0.255 any eq domain</t>
    </r>
    <r>
      <rPr>
        <sz val="11"/>
        <color rgb="FF000000"/>
        <rFont val="Calibri"/>
      </rPr>
      <t xml:space="preserve">
</t>
    </r>
    <r>
      <rPr>
        <sz val="11"/>
        <color rgb="FF000000"/>
        <rFont val="Calibri"/>
      </rPr>
      <t xml:space="preserve"> permit tcp 10.1.15.0 0.0.0.255 any eq ftp</t>
    </r>
    <r>
      <rPr>
        <sz val="11"/>
        <color rgb="FF000000"/>
        <rFont val="Calibri"/>
      </rPr>
      <t xml:space="preserve">
</t>
    </r>
    <r>
      <rPr>
        <sz val="11"/>
        <color rgb="FF000000"/>
        <rFont val="Calibri"/>
      </rPr>
      <t xml:space="preserve"> permit tcp 10.1.15.0 0.0.0.255 any eq ftp-data</t>
    </r>
    <r>
      <rPr>
        <sz val="11"/>
        <color rgb="FF000000"/>
        <rFont val="Calibri"/>
      </rPr>
      <t xml:space="preserve">
</t>
    </r>
    <r>
      <rPr>
        <sz val="11"/>
        <color rgb="FF000000"/>
        <rFont val="Calibri"/>
      </rPr>
      <t xml:space="preserve"> permit tcp 10.1.15.0 0.0.0.255 any eq www</t>
    </r>
    <r>
      <rPr>
        <sz val="11"/>
        <color rgb="FF000000"/>
        <rFont val="Calibri"/>
      </rPr>
      <t xml:space="preserve">
</t>
    </r>
    <r>
      <rPr>
        <sz val="11"/>
        <color rgb="FF000000"/>
        <rFont val="Calibri"/>
      </rPr>
      <t xml:space="preserve"> permit icmp 10.1.15.0 0.0.0.255 any</t>
    </r>
    <r>
      <rPr>
        <sz val="11"/>
        <color rgb="FF000000"/>
        <rFont val="Calibri"/>
      </rPr>
      <t xml:space="preserve">
</t>
    </r>
    <r>
      <rPr>
        <sz val="11"/>
        <color rgb="FF000000"/>
        <rFont val="Calibri"/>
      </rPr>
      <t xml:space="preserve"> permit icmp 10.1.15.0 0.0.0.255 any echo</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If uRPF or an egress ACL to restrict the switch from accepting outbound IP packets that contain an illegitimate address in the source address field has not been configured on all internal interfaces in an enclave, this is a finding.</t>
    </r>
  </si>
  <si>
    <t>V-221012</t>
  </si>
  <si>
    <r>
      <rPr>
        <sz val="11"/>
        <rFont val="Calibri"/>
      </rPr>
      <t>The Cisco perimeter switch must be configured to filter traffic destined to the enclave in accordance with the guidelines contained in DoD Instruction 8551.1.</t>
    </r>
  </si>
  <si>
    <r>
      <rPr>
        <sz val="11"/>
        <color rgb="FF000000"/>
        <rFont val="Calibri"/>
      </rPr>
      <t>Configure the switch to use an inbound ACL on all external interfaces as shown in the example below to restrict traffic in accordance with the guidelines contained in DOD Instruction 8551.1.</t>
    </r>
    <r>
      <rPr>
        <sz val="11"/>
        <color rgb="FF000000"/>
        <rFont val="Calibri"/>
      </rPr>
      <t xml:space="preserve">
</t>
    </r>
    <r>
      <rPr>
        <sz val="11"/>
        <color rgb="FF000000"/>
        <rFont val="Calibri"/>
      </rPr>
      <t>SW1(config)#ip access-list extended EXTERNAL_ACL_INBOUND</t>
    </r>
    <r>
      <rPr>
        <sz val="11"/>
        <color rgb="FF000000"/>
        <rFont val="Calibri"/>
      </rPr>
      <t xml:space="preserve">
</t>
    </r>
    <r>
      <rPr>
        <sz val="11"/>
        <color rgb="FF000000"/>
        <rFont val="Calibri"/>
      </rPr>
      <t>SW1(config-ext-nacl)#permit tcp any any established</t>
    </r>
    <r>
      <rPr>
        <sz val="11"/>
        <color rgb="FF000000"/>
        <rFont val="Calibri"/>
      </rPr>
      <t xml:space="preserve">
</t>
    </r>
    <r>
      <rPr>
        <sz val="11"/>
        <color rgb="FF000000"/>
        <rFont val="Calibri"/>
      </rPr>
      <t xml:space="preserve">SW1(config-ext-nacl)#permit tcp host x.11.1.1 eq bgp host x.11.1.2 </t>
    </r>
    <r>
      <rPr>
        <sz val="11"/>
        <color rgb="FF000000"/>
        <rFont val="Calibri"/>
      </rPr>
      <t xml:space="preserve">
</t>
    </r>
    <r>
      <rPr>
        <sz val="11"/>
        <color rgb="FF000000"/>
        <rFont val="Calibri"/>
      </rPr>
      <t>SW1(config-ext-nacl)#permit tcp host x.11.1.1 host x.11.1.2 eq bgp</t>
    </r>
    <r>
      <rPr>
        <sz val="11"/>
        <color rgb="FF000000"/>
        <rFont val="Calibri"/>
      </rPr>
      <t xml:space="preserve">
</t>
    </r>
    <r>
      <rPr>
        <sz val="11"/>
        <color rgb="FF000000"/>
        <rFont val="Calibri"/>
      </rPr>
      <t>SW1(config-ext-nacl)#permit icmp host x.11.1.1 host x.11.1.2 echo</t>
    </r>
    <r>
      <rPr>
        <sz val="11"/>
        <color rgb="FF000000"/>
        <rFont val="Calibri"/>
      </rPr>
      <t xml:space="preserve">
</t>
    </r>
    <r>
      <rPr>
        <sz val="11"/>
        <color rgb="FF000000"/>
        <rFont val="Calibri"/>
      </rPr>
      <t>SW1(config-ext-nacl)#permit icmp host x.11.1.1 host x.11.1.2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 &lt; must be in accordance with DoD Instruction 8551.1&gt;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SW1(config-ext-nacl)#deny ip any any log-input</t>
    </r>
    <r>
      <rPr>
        <sz val="11"/>
        <color rgb="FF000000"/>
        <rFont val="Calibri"/>
      </rPr>
      <t xml:space="preserve">
</t>
    </r>
    <r>
      <rPr>
        <sz val="11"/>
        <color rgb="FF000000"/>
        <rFont val="Calibri"/>
      </rPr>
      <t>SW1(config-ext-nacl)#exit</t>
    </r>
    <r>
      <rPr>
        <sz val="11"/>
        <color rgb="FF000000"/>
        <rFont val="Calibri"/>
      </rPr>
      <t xml:space="preserve">
</t>
    </r>
    <r>
      <rPr>
        <sz val="11"/>
        <color rgb="FF000000"/>
        <rFont val="Calibri"/>
      </rPr>
      <t>SW1(config)#int g0/2</t>
    </r>
    <r>
      <rPr>
        <sz val="11"/>
        <color rgb="FF000000"/>
        <rFont val="Calibri"/>
      </rPr>
      <t xml:space="preserve">
</t>
    </r>
    <r>
      <rPr>
        <sz val="11"/>
        <color rgb="FF000000"/>
        <rFont val="Calibri"/>
      </rPr>
      <t>SW1(config-if)#ip access-group EXTERNAL_ACL_INBOUND in</t>
    </r>
  </si>
  <si>
    <r>
      <rPr>
        <sz val="11"/>
        <color rgb="FF000000"/>
        <rFont val="Calibri"/>
      </rPr>
      <t>Vulnerability assessments must be reviewed by the System Administrator, and protocols must be approved by the Information Assurance (IA) staff before entering the enclave.</t>
    </r>
    <r>
      <rPr>
        <sz val="11"/>
        <color rgb="FF000000"/>
        <rFont val="Calibri"/>
      </rPr>
      <t xml:space="preserve">
</t>
    </r>
    <r>
      <rPr>
        <sz val="11"/>
        <color rgb="FF000000"/>
        <rFont val="Calibri"/>
      </rPr>
      <t>ACLs are the first line of defense in a layered security approach. They permit authorized packets and deny unauthorized packets based on port or service type. They enhance the posture of the network by not allowing packets to reach a potential target within the security domain. The lists provided are highly susceptible ports and services that should be blocked or limited as much as possible without adversely affecting customer requirements. Auditing packets attempting to penetrate the network that are stopped by an ACL will allow network administrators to broaden their protective ring and more tightly define the scope of operation.</t>
    </r>
    <r>
      <rPr>
        <sz val="11"/>
        <color rgb="FF000000"/>
        <rFont val="Calibri"/>
      </rPr>
      <t xml:space="preserve">
</t>
    </r>
    <r>
      <rPr>
        <sz val="11"/>
        <color rgb="FF000000"/>
        <rFont val="Calibri"/>
      </rPr>
      <t>If the perimeter is in a Deny-by-Default posture and what is allowed through the filter is in accordance with DoD Instruction 8551.1, and if the permit rule is explicitly defined with explicit ports and protocols allowed, then all requirements related to PPS being blocked would be satisfied.</t>
    </r>
  </si>
  <si>
    <r>
      <rPr>
        <sz val="11"/>
        <color rgb="FF000000"/>
        <rFont val="Calibri"/>
      </rPr>
      <t>Review the switch configuration to verify that the ingress ACL is in accordance with DoD 8551.1.</t>
    </r>
    <r>
      <rPr>
        <sz val="11"/>
        <color rgb="FF000000"/>
        <rFont val="Calibri"/>
      </rPr>
      <t xml:space="preserve">
</t>
    </r>
    <r>
      <rPr>
        <sz val="11"/>
        <color rgb="FF000000"/>
        <rFont val="Calibri"/>
      </rPr>
      <t>Step 1: Verify that an inbound ACL is configured on all external interfaces.</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ip address x.11.1.2 255.255.255.254</t>
    </r>
    <r>
      <rPr>
        <sz val="11"/>
        <color rgb="FF000000"/>
        <rFont val="Calibri"/>
      </rPr>
      <t xml:space="preserve">
</t>
    </r>
    <r>
      <rPr>
        <sz val="11"/>
        <color rgb="FF000000"/>
        <rFont val="Calibri"/>
      </rPr>
      <t xml:space="preserve"> ip access-group EXTERNAL_ACL_INBOUND in</t>
    </r>
    <r>
      <rPr>
        <sz val="11"/>
        <color rgb="FF000000"/>
        <rFont val="Calibri"/>
      </rPr>
      <t xml:space="preserve">
</t>
    </r>
    <r>
      <rPr>
        <sz val="11"/>
        <color rgb="FF000000"/>
        <rFont val="Calibri"/>
      </rPr>
      <t>Step 2. Review the inbound ACL to verify that it is filtering traffic in accordance with DoD 8551.1.</t>
    </r>
    <r>
      <rPr>
        <sz val="11"/>
        <color rgb="FF000000"/>
        <rFont val="Calibri"/>
      </rPr>
      <t xml:space="preserve">
</t>
    </r>
    <r>
      <rPr>
        <sz val="11"/>
        <color rgb="FF000000"/>
        <rFont val="Calibri"/>
      </rPr>
      <t>ip access-list extended EXTERNAL_ACL_INBOUND</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x.11.1.1 eq bgp host x.11.1.2</t>
    </r>
    <r>
      <rPr>
        <sz val="11"/>
        <color rgb="FF000000"/>
        <rFont val="Calibri"/>
      </rPr>
      <t xml:space="preserve">
</t>
    </r>
    <r>
      <rPr>
        <sz val="11"/>
        <color rgb="FF000000"/>
        <rFont val="Calibri"/>
      </rPr>
      <t xml:space="preserve"> permit tcp host x.11.1.1 host x.11.1.2 eq bgp</t>
    </r>
    <r>
      <rPr>
        <sz val="11"/>
        <color rgb="FF000000"/>
        <rFont val="Calibri"/>
      </rPr>
      <t xml:space="preserve">
</t>
    </r>
    <r>
      <rPr>
        <sz val="11"/>
        <color rgb="FF000000"/>
        <rFont val="Calibri"/>
      </rPr>
      <t xml:space="preserve"> permit icmp host x.11.1.1 host x.11.1.2 echo</t>
    </r>
    <r>
      <rPr>
        <sz val="11"/>
        <color rgb="FF000000"/>
        <rFont val="Calibri"/>
      </rPr>
      <t xml:space="preserve">
</t>
    </r>
    <r>
      <rPr>
        <sz val="11"/>
        <color rgb="FF000000"/>
        <rFont val="Calibri"/>
      </rPr>
      <t xml:space="preserve"> permit icmp host x.11.1.1 host x.11.1.2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 &lt; must be in accordance with DoD Instruction 8551.1&gt;</t>
    </r>
    <r>
      <rPr>
        <sz val="11"/>
        <color rgb="FF000000"/>
        <rFont val="Calibri"/>
      </rPr>
      <t xml:space="preserve">
</t>
    </r>
    <r>
      <rPr>
        <sz val="11"/>
        <color rgb="FF000000"/>
        <rFont val="Calibri"/>
      </rPr>
      <t>…</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If the switch does not filter traffic in accordance with the guidelines contained in DoD 8551.1, this is a finding.</t>
    </r>
  </si>
  <si>
    <t>V-221013</t>
  </si>
  <si>
    <r>
      <rPr>
        <sz val="11"/>
        <rFont val="Calibri"/>
      </rPr>
      <t>The Cisco perimeter switch must be configured to filter ingress traffic at the external interface on an inbound direction.</t>
    </r>
  </si>
  <si>
    <r>
      <rPr>
        <sz val="11"/>
        <color rgb="FF000000"/>
        <rFont val="Calibri"/>
      </rPr>
      <t>Configure the switch to use an inbound ACL on all external interfaces as shown in the example below:</t>
    </r>
    <r>
      <rPr>
        <sz val="11"/>
        <color rgb="FF000000"/>
        <rFont val="Calibri"/>
      </rPr>
      <t xml:space="preserve">
</t>
    </r>
    <r>
      <rPr>
        <sz val="11"/>
        <color rgb="FF000000"/>
        <rFont val="Calibri"/>
      </rPr>
      <t>SW1(config)#int g0/2</t>
    </r>
    <r>
      <rPr>
        <sz val="11"/>
        <color rgb="FF000000"/>
        <rFont val="Calibri"/>
      </rPr>
      <t xml:space="preserve">
</t>
    </r>
    <r>
      <rPr>
        <sz val="11"/>
        <color rgb="FF000000"/>
        <rFont val="Calibri"/>
      </rPr>
      <t>SW1(config-if)#ip access-group EXTERNAL_ACL_INBOUND in</t>
    </r>
  </si>
  <si>
    <r>
      <rPr>
        <sz val="11"/>
        <color rgb="FF000000"/>
        <rFont val="Calibri"/>
      </rPr>
      <t xml:space="preserve">Access lists are used to separate data traffic into that which it will route (permitted packets) and that which it will not route (denied packets). Secure configuration of switches makes use of access lists for restricting access to services on the switch itself as well as for filtering traffic passing through the switch. </t>
    </r>
    <r>
      <rPr>
        <sz val="11"/>
        <color rgb="FF000000"/>
        <rFont val="Calibri"/>
      </rPr>
      <t xml:space="preserve">
</t>
    </r>
    <r>
      <rPr>
        <sz val="11"/>
        <color rgb="FF000000"/>
        <rFont val="Calibri"/>
      </rPr>
      <t>Inbound versus Outbound: It should be noted that some operating systems default access lists are applied to the outbound queue. The more secure solution is to apply the access list to the inbound queue for three reasons:</t>
    </r>
    <r>
      <rPr>
        <sz val="11"/>
        <color rgb="FF000000"/>
        <rFont val="Calibri"/>
      </rPr>
      <t xml:space="preserve">
</t>
    </r>
    <r>
      <rPr>
        <sz val="11"/>
        <color rgb="FF000000"/>
        <rFont val="Calibri"/>
      </rPr>
      <t>- The switch can protect itself before damage is inflicted.</t>
    </r>
    <r>
      <rPr>
        <sz val="11"/>
        <color rgb="FF000000"/>
        <rFont val="Calibri"/>
      </rPr>
      <t xml:space="preserve">
</t>
    </r>
    <r>
      <rPr>
        <sz val="11"/>
        <color rgb="FF000000"/>
        <rFont val="Calibri"/>
      </rPr>
      <t>- The input port is still known and can be filtered upon.</t>
    </r>
    <r>
      <rPr>
        <sz val="11"/>
        <color rgb="FF000000"/>
        <rFont val="Calibri"/>
      </rPr>
      <t xml:space="preserve">
</t>
    </r>
    <r>
      <rPr>
        <sz val="11"/>
        <color rgb="FF000000"/>
        <rFont val="Calibri"/>
      </rPr>
      <t>- It is more efficient to filter packets before routing them.</t>
    </r>
  </si>
  <si>
    <r>
      <rPr>
        <sz val="11"/>
        <color rgb="FF000000"/>
        <rFont val="Calibri"/>
      </rPr>
      <t>Review the switch configuration to verify that an inbound ACL is configured on all external interfaces as shown in the example below:</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ip address x.11.1.2 255.255.255.254</t>
    </r>
    <r>
      <rPr>
        <sz val="11"/>
        <color rgb="FF000000"/>
        <rFont val="Calibri"/>
      </rPr>
      <t xml:space="preserve">
</t>
    </r>
    <r>
      <rPr>
        <sz val="11"/>
        <color rgb="FF000000"/>
        <rFont val="Calibri"/>
      </rPr>
      <t xml:space="preserve"> ip access-group EXTERNAL_ACL_INBOUND in</t>
    </r>
    <r>
      <rPr>
        <sz val="11"/>
        <color rgb="FF000000"/>
        <rFont val="Calibri"/>
      </rPr>
      <t xml:space="preserve">
</t>
    </r>
    <r>
      <rPr>
        <sz val="11"/>
        <color rgb="FF000000"/>
        <rFont val="Calibri"/>
      </rPr>
      <t>If the switch is not configured to filter traffic entering the network at all external interfaces in an inbound direction, this is a finding.</t>
    </r>
  </si>
  <si>
    <t>V-221014</t>
  </si>
  <si>
    <r>
      <rPr>
        <sz val="11"/>
        <rFont val="Calibri"/>
      </rPr>
      <t>The Cisco perimeter switch must be configured to filter egress traffic at the internal interface on an inbound direction.</t>
    </r>
  </si>
  <si>
    <r>
      <rPr>
        <sz val="11"/>
        <color rgb="FF000000"/>
        <rFont val="Calibri"/>
      </rPr>
      <t>Configure the switch to use an inbound ACL on all internal interfaces as shown in the example below:</t>
    </r>
    <r>
      <rPr>
        <sz val="11"/>
        <color rgb="FF000000"/>
        <rFont val="Calibri"/>
      </rPr>
      <t xml:space="preserve">
</t>
    </r>
    <r>
      <rPr>
        <sz val="11"/>
        <color rgb="FF000000"/>
        <rFont val="Calibri"/>
      </rPr>
      <t>SW1(config)#int g0/2</t>
    </r>
    <r>
      <rPr>
        <sz val="11"/>
        <color rgb="FF000000"/>
        <rFont val="Calibri"/>
      </rPr>
      <t xml:space="preserve">
</t>
    </r>
    <r>
      <rPr>
        <sz val="11"/>
        <color rgb="FF000000"/>
        <rFont val="Calibri"/>
      </rPr>
      <t>SW1(config-if)#ip access-group EGRESS_FILTER in</t>
    </r>
  </si>
  <si>
    <r>
      <rPr>
        <sz val="11"/>
        <color rgb="FF000000"/>
        <rFont val="Calibri"/>
      </rPr>
      <t>Review the switch configuration to verify that the egress ACL is bound to the internal interface in an inbound direction.</t>
    </r>
    <r>
      <rPr>
        <sz val="11"/>
        <color rgb="FF000000"/>
        <rFont val="Calibri"/>
      </rPr>
      <t xml:space="preserve">
</t>
    </r>
    <r>
      <rPr>
        <sz val="11"/>
        <color rgb="FF000000"/>
        <rFont val="Calibri"/>
      </rPr>
      <t>interface interface GigabitEthernet0/2</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ip address 10.1.25.5 255.255.255.0</t>
    </r>
    <r>
      <rPr>
        <sz val="11"/>
        <color rgb="FF000000"/>
        <rFont val="Calibri"/>
      </rPr>
      <t xml:space="preserve">
</t>
    </r>
    <r>
      <rPr>
        <sz val="11"/>
        <color rgb="FF000000"/>
        <rFont val="Calibri"/>
      </rPr>
      <t xml:space="preserve"> ip access-group EGRESS_FILTER in</t>
    </r>
    <r>
      <rPr>
        <sz val="11"/>
        <color rgb="FF000000"/>
        <rFont val="Calibri"/>
      </rPr>
      <t xml:space="preserve">
</t>
    </r>
    <r>
      <rPr>
        <sz val="11"/>
        <color rgb="FF000000"/>
        <rFont val="Calibri"/>
      </rPr>
      <t>If the switch is not configured to filter traffic leaving the network at the internal interface in an inbound direction, this is a finding.</t>
    </r>
  </si>
  <si>
    <t>V-221015</t>
  </si>
  <si>
    <r>
      <rPr>
        <sz val="11"/>
        <rFont val="Calibri"/>
      </rPr>
      <t>The Cisco perimeter switch must be configured to block all packets with any IP options.</t>
    </r>
  </si>
  <si>
    <r>
      <rPr>
        <sz val="11"/>
        <color rgb="FF000000"/>
        <rFont val="Calibri"/>
      </rPr>
      <t>Configure the switch to drop all packets with IP options.</t>
    </r>
    <r>
      <rPr>
        <sz val="11"/>
        <color rgb="FF000000"/>
        <rFont val="Calibri"/>
      </rPr>
      <t xml:space="preserve">
</t>
    </r>
    <r>
      <rPr>
        <sz val="11"/>
        <color rgb="FF000000"/>
        <rFont val="Calibri"/>
      </rPr>
      <t>SW1(config)#ip access-list extended EXTERNAL_ACL</t>
    </r>
    <r>
      <rPr>
        <sz val="11"/>
        <color rgb="FF000000"/>
        <rFont val="Calibri"/>
      </rPr>
      <t xml:space="preserve">
</t>
    </r>
    <r>
      <rPr>
        <sz val="11"/>
        <color rgb="FF000000"/>
        <rFont val="Calibri"/>
      </rPr>
      <t>SW1(config-ext-nacl)#15 deny ip any any option any-options</t>
    </r>
  </si>
  <si>
    <r>
      <rPr>
        <sz val="11"/>
        <color rgb="FF000000"/>
        <rFont val="Calibri"/>
      </rPr>
      <t>Packets with IP options are not fast switched and henceforth must be punted to the switch processor. Hackers who initiate denial-of-service (DoS) attacks on switches commonly send large streams of packets with IP options. Dropping the packets with IP options reduces the load of IP options packets on the switch. The end result is a reduction in the effects of the DoS attack on the switch and on downstream switches.</t>
    </r>
  </si>
  <si>
    <r>
      <rPr>
        <sz val="11"/>
        <color rgb="FF000000"/>
        <rFont val="Calibri"/>
      </rPr>
      <t>Review the switch configuration to determine if it will block all packets with IP options.</t>
    </r>
    <r>
      <rPr>
        <sz val="11"/>
        <color rgb="FF000000"/>
        <rFont val="Calibri"/>
      </rPr>
      <t xml:space="preserve">
</t>
    </r>
    <r>
      <rPr>
        <sz val="11"/>
        <color rgb="FF000000"/>
        <rFont val="Calibri"/>
      </rPr>
      <t>ip access-list extended EXTERNAL_ACL</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deny ip any any option any-options</t>
    </r>
    <r>
      <rPr>
        <sz val="11"/>
        <color rgb="FF000000"/>
        <rFont val="Calibri"/>
      </rPr>
      <t xml:space="preserve">
</t>
    </r>
    <r>
      <rPr>
        <sz val="11"/>
        <color rgb="FF000000"/>
        <rFont val="Calibri"/>
      </rPr>
      <t>permit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log-input</t>
    </r>
    <r>
      <rPr>
        <sz val="11"/>
        <color rgb="FF000000"/>
        <rFont val="Calibri"/>
      </rPr>
      <t xml:space="preserve">
</t>
    </r>
    <r>
      <rPr>
        <sz val="11"/>
        <color rgb="FF000000"/>
        <rFont val="Calibri"/>
      </rPr>
      <t>If the switch is not configured to drop all packets with IP options, this is a finding.</t>
    </r>
  </si>
  <si>
    <t>V-221016</t>
  </si>
  <si>
    <r>
      <rPr>
        <sz val="11"/>
        <rFont val="Calibri"/>
      </rPr>
      <t>The Cisco perimeter switch must be configured to have Link Layer Discovery Protocol (LLDP) disabled on all external interfaces.</t>
    </r>
  </si>
  <si>
    <r>
      <rPr>
        <sz val="11"/>
        <color rgb="FF000000"/>
        <rFont val="Calibri"/>
      </rPr>
      <t>Disable LLDP transmit on all external interfaces as shown in the example below:</t>
    </r>
    <r>
      <rPr>
        <sz val="11"/>
        <color rgb="FF000000"/>
        <rFont val="Calibri"/>
      </rPr>
      <t xml:space="preserve">
</t>
    </r>
    <r>
      <rPr>
        <sz val="11"/>
        <color rgb="FF000000"/>
        <rFont val="Calibri"/>
      </rPr>
      <t>SW1(config)#int g0/1</t>
    </r>
    <r>
      <rPr>
        <sz val="11"/>
        <color rgb="FF000000"/>
        <rFont val="Calibri"/>
      </rPr>
      <t xml:space="preserve">
</t>
    </r>
    <r>
      <rPr>
        <sz val="11"/>
        <color rgb="FF000000"/>
        <rFont val="Calibri"/>
      </rPr>
      <t>SW1(config-if)#no lldp transmit</t>
    </r>
  </si>
  <si>
    <r>
      <rPr>
        <sz val="11"/>
        <color rgb="FF000000"/>
        <rFont val="Calibri"/>
      </rPr>
      <t>LLDP is a neighbor discovery protocol used to advertise device capabilities, configuration information, and device identity. LLDP is media-and-protocol-independent as it runs over layer 2; therefore, two network nodes that support different layer 3 protocols can still learn about each other. Allowing LLDP messages to reach external network nodes provides an attacker a method to obtain information of the network infrastructure that can be useful to plan an attack.</t>
    </r>
  </si>
  <si>
    <r>
      <rPr>
        <sz val="11"/>
        <color rgb="FF000000"/>
        <rFont val="Calibri"/>
      </rPr>
      <t xml:space="preserve">Step 1: Verify LLDP is not enabled globally via the command. </t>
    </r>
    <r>
      <rPr>
        <sz val="11"/>
        <color rgb="FF000000"/>
        <rFont val="Calibri"/>
      </rPr>
      <t xml:space="preserve">
</t>
    </r>
    <r>
      <rPr>
        <sz val="11"/>
        <color rgb="FF000000"/>
        <rFont val="Calibri"/>
      </rPr>
      <t>lldp run</t>
    </r>
    <r>
      <rPr>
        <sz val="11"/>
        <color rgb="FF000000"/>
        <rFont val="Calibri"/>
      </rPr>
      <t xml:space="preserve">
</t>
    </r>
    <r>
      <rPr>
        <sz val="11"/>
        <color rgb="FF000000"/>
        <rFont val="Calibri"/>
      </rPr>
      <t>By default LLDP is not enabled globally. If LLDP is enabled, proceed to Step 2.</t>
    </r>
    <r>
      <rPr>
        <sz val="11"/>
        <color rgb="FF000000"/>
        <rFont val="Calibri"/>
      </rPr>
      <t xml:space="preserve">
</t>
    </r>
    <r>
      <rPr>
        <sz val="11"/>
        <color rgb="FF000000"/>
        <rFont val="Calibri"/>
      </rPr>
      <t>Step 2: Verify LLDP is not enabled on any external interface as shown in the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x.1.12.1 255.255.255.252</t>
    </r>
    <r>
      <rPr>
        <sz val="11"/>
        <color rgb="FF000000"/>
        <rFont val="Calibri"/>
      </rPr>
      <t xml:space="preserve">
</t>
    </r>
    <r>
      <rPr>
        <sz val="11"/>
        <color rgb="FF000000"/>
        <rFont val="Calibri"/>
      </rPr>
      <t xml:space="preserve"> no lldp transmit</t>
    </r>
    <r>
      <rPr>
        <sz val="11"/>
        <color rgb="FF000000"/>
        <rFont val="Calibri"/>
      </rPr>
      <t xml:space="preserve">
</t>
    </r>
    <r>
      <rPr>
        <sz val="11"/>
        <color rgb="FF000000"/>
        <rFont val="Calibri"/>
      </rPr>
      <t>Note: LLDP is enabled by default on all interfaces once it is enabled globally; hence the command "lldp transmit" will not be visible on the interface configuration.</t>
    </r>
    <r>
      <rPr>
        <sz val="11"/>
        <color rgb="FF000000"/>
        <rFont val="Calibri"/>
      </rPr>
      <t xml:space="preserve">
</t>
    </r>
    <r>
      <rPr>
        <sz val="11"/>
        <color rgb="FF000000"/>
        <rFont val="Calibri"/>
      </rPr>
      <t>If LLDP transmit is enabled on any external interface, this is a finding.</t>
    </r>
  </si>
  <si>
    <t>V-221017</t>
  </si>
  <si>
    <r>
      <rPr>
        <sz val="11"/>
        <rFont val="Calibri"/>
      </rPr>
      <t>The Cisco perimeter switch must be configured to have Cisco Discovery Protocol (CDP) disabled on all external interfaces.</t>
    </r>
  </si>
  <si>
    <r>
      <rPr>
        <sz val="11"/>
        <color rgb="FF000000"/>
        <rFont val="Calibri"/>
      </rPr>
      <t>Disable CDP on all external interfaces via no cdp enable command or disable CDP globally via no cdp run command.</t>
    </r>
  </si>
  <si>
    <r>
      <rPr>
        <sz val="11"/>
        <color rgb="FF000000"/>
        <rFont val="Calibri"/>
      </rPr>
      <t>CDP is a Cisco proprietary neighbor discovery protocol used to advertise device capabilities, configuration information, and device identity. CDP is media-and-protocol-independent as it runs over layer 2; therefore, two network nodes that support different layer 3 protocols can still learn about each other. Allowing CDP messages to reach external network nodes provides an attacker a method to obtain information of the network infrastructure that can be useful to plan an attack.</t>
    </r>
  </si>
  <si>
    <r>
      <rPr>
        <sz val="11"/>
        <color rgb="FF000000"/>
        <rFont val="Calibri"/>
      </rPr>
      <t>Step 1: Verify if CDP is enabled globally as shown below:</t>
    </r>
    <r>
      <rPr>
        <sz val="11"/>
        <color rgb="FF000000"/>
        <rFont val="Calibri"/>
      </rPr>
      <t xml:space="preserve">
</t>
    </r>
    <r>
      <rPr>
        <sz val="11"/>
        <color rgb="FF000000"/>
        <rFont val="Calibri"/>
      </rPr>
      <t>cdp run</t>
    </r>
    <r>
      <rPr>
        <sz val="11"/>
        <color rgb="FF000000"/>
        <rFont val="Calibri"/>
      </rPr>
      <t xml:space="preserve">
</t>
    </r>
    <r>
      <rPr>
        <sz val="11"/>
        <color rgb="FF000000"/>
        <rFont val="Calibri"/>
      </rPr>
      <t>By default, CDP is not enabled globally or on any interface. If CDP is enabled globally, proceed to Step 2.</t>
    </r>
    <r>
      <rPr>
        <sz val="11"/>
        <color rgb="FF000000"/>
        <rFont val="Calibri"/>
      </rPr>
      <t xml:space="preserve">
</t>
    </r>
    <r>
      <rPr>
        <sz val="11"/>
        <color rgb="FF000000"/>
        <rFont val="Calibri"/>
      </rPr>
      <t>Step 2: Verify CDP is not enabled on any external interface as shown in the example below:</t>
    </r>
    <r>
      <rPr>
        <sz val="11"/>
        <color rgb="FF000000"/>
        <rFont val="Calibri"/>
      </rPr>
      <t xml:space="preserve">
</t>
    </r>
    <r>
      <rPr>
        <sz val="11"/>
        <color rgb="FF000000"/>
        <rFont val="Calibri"/>
      </rPr>
      <t>interface GigabitEthernet2</t>
    </r>
    <r>
      <rPr>
        <sz val="11"/>
        <color rgb="FF000000"/>
        <rFont val="Calibri"/>
      </rPr>
      <t xml:space="preserve">
</t>
    </r>
    <r>
      <rPr>
        <sz val="11"/>
        <color rgb="FF000000"/>
        <rFont val="Calibri"/>
      </rPr>
      <t xml:space="preserve"> ip address z.1.24.4 255.255.255.252</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cdp enable</t>
    </r>
    <r>
      <rPr>
        <sz val="11"/>
        <color rgb="FF000000"/>
        <rFont val="Calibri"/>
      </rPr>
      <t xml:space="preserve">
</t>
    </r>
    <r>
      <rPr>
        <sz val="11"/>
        <color rgb="FF000000"/>
        <rFont val="Calibri"/>
      </rPr>
      <t>If CDP is enabled on any external interface, this is a finding.</t>
    </r>
  </si>
  <si>
    <t>V-221018</t>
  </si>
  <si>
    <r>
      <rPr>
        <sz val="11"/>
        <rFont val="Calibri"/>
      </rPr>
      <t>The Cisco perimeter switch must be configured to have Proxy ARP disabled on all external interfaces.</t>
    </r>
  </si>
  <si>
    <r>
      <rPr>
        <sz val="11"/>
        <color rgb="FF000000"/>
        <rFont val="Calibri"/>
      </rPr>
      <t>Disable Proxy ARP on all external interfaces as shown in the example below:</t>
    </r>
    <r>
      <rPr>
        <sz val="11"/>
        <color rgb="FF000000"/>
        <rFont val="Calibri"/>
      </rPr>
      <t xml:space="preserve">
</t>
    </r>
    <r>
      <rPr>
        <sz val="11"/>
        <color rgb="FF000000"/>
        <rFont val="Calibri"/>
      </rPr>
      <t xml:space="preserve">SW1(config)#int g0/1 </t>
    </r>
    <r>
      <rPr>
        <sz val="11"/>
        <color rgb="FF000000"/>
        <rFont val="Calibri"/>
      </rPr>
      <t xml:space="preserve">
</t>
    </r>
    <r>
      <rPr>
        <sz val="11"/>
        <color rgb="FF000000"/>
        <rFont val="Calibri"/>
      </rPr>
      <t>SW1(config-if)#no ip proxy-arp</t>
    </r>
  </si>
  <si>
    <r>
      <rPr>
        <sz val="11"/>
        <color rgb="FF000000"/>
        <rFont val="Calibri"/>
      </rPr>
      <t>When Proxy ARP is enabled on a switch, it allows that switch to extend the network (at Layer 2) across multiple interfaces (LAN segments). Because proxy ARP allows hosts from different LAN segments to look like they are on the same segment, proxy ARP is only safe when used between trusted LAN segments. Attackers can leverage the trusting nature of proxy ARP by spoofing a trusted host and then intercepting packets. Proxy ARP should always be disabled on switch interfaces that do not require it, unless the switch is being used as a LAN bridge.</t>
    </r>
  </si>
  <si>
    <r>
      <rPr>
        <sz val="11"/>
        <color rgb="FF000000"/>
        <rFont val="Calibri"/>
      </rPr>
      <t>Review the switch configuration to determine if IP Proxy ARP is disabled on all external interfaces as shown in the example below:</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 address x.1.12.2 255.255.255.252</t>
    </r>
    <r>
      <rPr>
        <sz val="11"/>
        <color rgb="FF000000"/>
        <rFont val="Calibri"/>
      </rPr>
      <t xml:space="preserve">
</t>
    </r>
    <r>
      <rPr>
        <sz val="11"/>
        <color rgb="FF000000"/>
        <rFont val="Calibri"/>
      </rPr>
      <t xml:space="preserve"> no ip proxy-arp</t>
    </r>
    <r>
      <rPr>
        <sz val="11"/>
        <color rgb="FF000000"/>
        <rFont val="Calibri"/>
      </rPr>
      <t xml:space="preserve">
</t>
    </r>
    <r>
      <rPr>
        <sz val="11"/>
        <color rgb="FF000000"/>
        <rFont val="Calibri"/>
      </rPr>
      <t xml:space="preserve">Note: By default Proxy ARP is enabled on all interfaces; hence, if enabled, it will not be shown in the configuration. </t>
    </r>
    <r>
      <rPr>
        <sz val="11"/>
        <color rgb="FF000000"/>
        <rFont val="Calibri"/>
      </rPr>
      <t xml:space="preserve">
</t>
    </r>
    <r>
      <rPr>
        <sz val="11"/>
        <color rgb="FF000000"/>
        <rFont val="Calibri"/>
      </rPr>
      <t>If IP Proxy ARP is enabled on any external interface, this is a finding.</t>
    </r>
  </si>
  <si>
    <t>V-221019</t>
  </si>
  <si>
    <r>
      <rPr>
        <sz val="11"/>
        <rFont val="Calibri"/>
      </rPr>
      <t>The Cisco perimeter switch must be configured to block all outbound management traffic.</t>
    </r>
  </si>
  <si>
    <r>
      <rPr>
        <sz val="11"/>
        <color rgb="FF000000"/>
        <rFont val="Calibri"/>
      </rPr>
      <t>Configure the perimeter switch of the managed network with an outbound ACL on the egress interface to block all management traffic.</t>
    </r>
    <r>
      <rPr>
        <sz val="11"/>
        <color rgb="FF000000"/>
        <rFont val="Calibri"/>
      </rPr>
      <t xml:space="preserve">
</t>
    </r>
    <r>
      <rPr>
        <sz val="11"/>
        <color rgb="FF000000"/>
        <rFont val="Calibri"/>
      </rPr>
      <t>Step 1: Configure an ACL to block egress management traffic.</t>
    </r>
    <r>
      <rPr>
        <sz val="11"/>
        <color rgb="FF000000"/>
        <rFont val="Calibri"/>
      </rPr>
      <t xml:space="preserve">
</t>
    </r>
    <r>
      <rPr>
        <sz val="11"/>
        <color rgb="FF000000"/>
        <rFont val="Calibri"/>
      </rPr>
      <t>SW1(config)#ip access-list extended EXTERNAL_ACL_OUTBOUND</t>
    </r>
    <r>
      <rPr>
        <sz val="11"/>
        <color rgb="FF000000"/>
        <rFont val="Calibri"/>
      </rPr>
      <t xml:space="preserve">
</t>
    </r>
    <r>
      <rPr>
        <sz val="11"/>
        <color rgb="FF000000"/>
        <rFont val="Calibri"/>
      </rPr>
      <t>SW1(config-ext-nacl)#deny tcp any any eq tacacs log-input</t>
    </r>
    <r>
      <rPr>
        <sz val="11"/>
        <color rgb="FF000000"/>
        <rFont val="Calibri"/>
      </rPr>
      <t xml:space="preserve">
</t>
    </r>
    <r>
      <rPr>
        <sz val="11"/>
        <color rgb="FF000000"/>
        <rFont val="Calibri"/>
      </rPr>
      <t>SW1(config-ext-nacl)#deny tcp any any eq 22 log-input</t>
    </r>
    <r>
      <rPr>
        <sz val="11"/>
        <color rgb="FF000000"/>
        <rFont val="Calibri"/>
      </rPr>
      <t xml:space="preserve">
</t>
    </r>
    <r>
      <rPr>
        <sz val="11"/>
        <color rgb="FF000000"/>
        <rFont val="Calibri"/>
      </rPr>
      <t>SW1(config-ext-nacl)#deny udp any any eq snmp log-input</t>
    </r>
    <r>
      <rPr>
        <sz val="11"/>
        <color rgb="FF000000"/>
        <rFont val="Calibri"/>
      </rPr>
      <t xml:space="preserve">
</t>
    </r>
    <r>
      <rPr>
        <sz val="11"/>
        <color rgb="FF000000"/>
        <rFont val="Calibri"/>
      </rPr>
      <t>SW1(config-ext-nacl)#deny udp any any eq snmptrap log-input</t>
    </r>
    <r>
      <rPr>
        <sz val="11"/>
        <color rgb="FF000000"/>
        <rFont val="Calibri"/>
      </rPr>
      <t xml:space="preserve">
</t>
    </r>
    <r>
      <rPr>
        <sz val="11"/>
        <color rgb="FF000000"/>
        <rFont val="Calibri"/>
      </rPr>
      <t>SW1(config-ext-nacl)#deny udp any any eq syslog log-input</t>
    </r>
    <r>
      <rPr>
        <sz val="11"/>
        <color rgb="FF000000"/>
        <rFont val="Calibri"/>
      </rPr>
      <t xml:space="preserve">
</t>
    </r>
    <r>
      <rPr>
        <sz val="11"/>
        <color rgb="FF000000"/>
        <rFont val="Calibri"/>
      </rPr>
      <t>SW1(config-ext-nacl)#permit tcp any any eq www</t>
    </r>
    <r>
      <rPr>
        <sz val="11"/>
        <color rgb="FF000000"/>
        <rFont val="Calibri"/>
      </rPr>
      <t xml:space="preserve">
</t>
    </r>
    <r>
      <rPr>
        <sz val="11"/>
        <color rgb="FF000000"/>
        <rFont val="Calibri"/>
      </rPr>
      <t>SW1(config-ext-nacl)#deny ip any any log-input</t>
    </r>
    <r>
      <rPr>
        <sz val="11"/>
        <color rgb="FF000000"/>
        <rFont val="Calibri"/>
      </rPr>
      <t xml:space="preserve">
</t>
    </r>
    <r>
      <rPr>
        <sz val="11"/>
        <color rgb="FF000000"/>
        <rFont val="Calibri"/>
      </rPr>
      <t>SW1(config-ext-nacl)#exit</t>
    </r>
    <r>
      <rPr>
        <sz val="11"/>
        <color rgb="FF000000"/>
        <rFont val="Calibri"/>
      </rPr>
      <t xml:space="preserve">
</t>
    </r>
    <r>
      <rPr>
        <sz val="11"/>
        <color rgb="FF000000"/>
        <rFont val="Calibri"/>
      </rPr>
      <t>Note: Permit commands would be configured to allow applicable outbound traffic. The example above is allowing web traffic.</t>
    </r>
    <r>
      <rPr>
        <sz val="11"/>
        <color rgb="FF000000"/>
        <rFont val="Calibri"/>
      </rPr>
      <t xml:space="preserve">
</t>
    </r>
    <r>
      <rPr>
        <sz val="11"/>
        <color rgb="FF000000"/>
        <rFont val="Calibri"/>
      </rPr>
      <t>Step 2: Configure the external interfaces with the outbound ACL.</t>
    </r>
    <r>
      <rPr>
        <sz val="11"/>
        <color rgb="FF000000"/>
        <rFont val="Calibri"/>
      </rPr>
      <t xml:space="preserve">
</t>
    </r>
    <r>
      <rPr>
        <sz val="11"/>
        <color rgb="FF000000"/>
        <rFont val="Calibri"/>
      </rPr>
      <t>SW1(config)#int g0/2</t>
    </r>
    <r>
      <rPr>
        <sz val="11"/>
        <color rgb="FF000000"/>
        <rFont val="Calibri"/>
      </rPr>
      <t xml:space="preserve">
</t>
    </r>
    <r>
      <rPr>
        <sz val="11"/>
        <color rgb="FF000000"/>
        <rFont val="Calibri"/>
      </rPr>
      <t>SW1(config-if)#ip access-group EXTERNAL_ACL_OUTBOUND out</t>
    </r>
  </si>
  <si>
    <r>
      <rPr>
        <sz val="11"/>
        <color rgb="FF000000"/>
        <rFont val="Calibri"/>
      </rPr>
      <t>For in-band management, the management network must have its own subnet in order to enforce control and access boundaries provided by Layer 3 network nodes, such as switches and firewalls. Management traffic between the managed network elements and the management network is routed via the same links and nodes as that used for production or operational traffic. Safeguards must be implemented to ensure that the management traffic does not leak past the perimeter of the managed network.</t>
    </r>
  </si>
  <si>
    <r>
      <rPr>
        <sz val="11"/>
        <color rgb="FF000000"/>
        <rFont val="Calibri"/>
      </rPr>
      <t>The perimeter switch of the managed network must be configured with an outbound ACL on the egress interface to block all management traffic as shown in the example below:</t>
    </r>
    <r>
      <rPr>
        <sz val="11"/>
        <color rgb="FF000000"/>
        <rFont val="Calibri"/>
      </rPr>
      <t xml:space="preserve">
</t>
    </r>
    <r>
      <rPr>
        <sz val="11"/>
        <color rgb="FF000000"/>
        <rFont val="Calibri"/>
      </rPr>
      <t>Step 1: Verify that all external interfaces has been configured with an outbound ACL as shown in the example below:</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 address x.11.1.2 255.255.255.254</t>
    </r>
    <r>
      <rPr>
        <sz val="11"/>
        <color rgb="FF000000"/>
        <rFont val="Calibri"/>
      </rPr>
      <t xml:space="preserve">
</t>
    </r>
    <r>
      <rPr>
        <sz val="11"/>
        <color rgb="FF000000"/>
        <rFont val="Calibri"/>
      </rPr>
      <t xml:space="preserve"> ip access-group EXTERNAL_ACL_OUTBOUND out</t>
    </r>
    <r>
      <rPr>
        <sz val="11"/>
        <color rgb="FF000000"/>
        <rFont val="Calibri"/>
      </rPr>
      <t xml:space="preserve">
</t>
    </r>
    <r>
      <rPr>
        <sz val="11"/>
        <color rgb="FF000000"/>
        <rFont val="Calibri"/>
      </rPr>
      <t>Step 2: Verify that the outbound ACL discards management traffic as shown in the example below:</t>
    </r>
    <r>
      <rPr>
        <sz val="11"/>
        <color rgb="FF000000"/>
        <rFont val="Calibri"/>
      </rPr>
      <t xml:space="preserve">
</t>
    </r>
    <r>
      <rPr>
        <sz val="11"/>
        <color rgb="FF000000"/>
        <rFont val="Calibri"/>
      </rPr>
      <t>ip access-list extended EXTERNAL_ACL_OUTBOUND</t>
    </r>
    <r>
      <rPr>
        <sz val="11"/>
        <color rgb="FF000000"/>
        <rFont val="Calibri"/>
      </rPr>
      <t xml:space="preserve">
</t>
    </r>
    <r>
      <rPr>
        <sz val="11"/>
        <color rgb="FF000000"/>
        <rFont val="Calibri"/>
      </rPr>
      <t xml:space="preserve"> deny tcp any any eq tacacs log-input</t>
    </r>
    <r>
      <rPr>
        <sz val="11"/>
        <color rgb="FF000000"/>
        <rFont val="Calibri"/>
      </rPr>
      <t xml:space="preserve">
</t>
    </r>
    <r>
      <rPr>
        <sz val="11"/>
        <color rgb="FF000000"/>
        <rFont val="Calibri"/>
      </rPr>
      <t xml:space="preserve"> deny tcp any any eq 22 log-input</t>
    </r>
    <r>
      <rPr>
        <sz val="11"/>
        <color rgb="FF000000"/>
        <rFont val="Calibri"/>
      </rPr>
      <t xml:space="preserve">
</t>
    </r>
    <r>
      <rPr>
        <sz val="11"/>
        <color rgb="FF000000"/>
        <rFont val="Calibri"/>
      </rPr>
      <t xml:space="preserve"> deny udp any any eq snmp log-input</t>
    </r>
    <r>
      <rPr>
        <sz val="11"/>
        <color rgb="FF000000"/>
        <rFont val="Calibri"/>
      </rPr>
      <t xml:space="preserve">
</t>
    </r>
    <r>
      <rPr>
        <sz val="11"/>
        <color rgb="FF000000"/>
        <rFont val="Calibri"/>
      </rPr>
      <t xml:space="preserve"> deny udp any any eq snmptrap log-input</t>
    </r>
    <r>
      <rPr>
        <sz val="11"/>
        <color rgb="FF000000"/>
        <rFont val="Calibri"/>
      </rPr>
      <t xml:space="preserve">
</t>
    </r>
    <r>
      <rPr>
        <sz val="11"/>
        <color rgb="FF000000"/>
        <rFont val="Calibri"/>
      </rPr>
      <t xml:space="preserve"> deny udp any any eq syslog log-input</t>
    </r>
    <r>
      <rPr>
        <sz val="11"/>
        <color rgb="FF000000"/>
        <rFont val="Calibri"/>
      </rPr>
      <t xml:space="preserve">
</t>
    </r>
    <r>
      <rPr>
        <sz val="11"/>
        <color rgb="FF000000"/>
        <rFont val="Calibri"/>
      </rPr>
      <t xml:space="preserve"> permit tcp any any eq www log-input</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If management traffic is not blocked at the perimeter, this is a finding.</t>
    </r>
  </si>
  <si>
    <t>V-221020</t>
  </si>
  <si>
    <r>
      <rPr>
        <sz val="11"/>
        <rFont val="Calibri"/>
      </rPr>
      <t>The Cisco switch must be configured to only permit management traffic that ingresses and egresses the out-of-band management (OOBM) interface.</t>
    </r>
  </si>
  <si>
    <r>
      <rPr>
        <sz val="11"/>
        <color rgb="FF000000"/>
        <rFont val="Calibri"/>
      </rPr>
      <t>If the management interface is not a dedicated OOBM interface, it must be configured with both an ingress and egress ACL.</t>
    </r>
    <r>
      <rPr>
        <sz val="11"/>
        <color rgb="FF000000"/>
        <rFont val="Calibri"/>
      </rPr>
      <t xml:space="preserve">
</t>
    </r>
    <r>
      <rPr>
        <sz val="11"/>
        <color rgb="FF000000"/>
        <rFont val="Calibri"/>
      </rPr>
      <t>Step 1: Configure an ingress ACL a shown in the example below:</t>
    </r>
    <r>
      <rPr>
        <sz val="11"/>
        <color rgb="FF000000"/>
        <rFont val="Calibri"/>
      </rPr>
      <t xml:space="preserve">
</t>
    </r>
    <r>
      <rPr>
        <sz val="11"/>
        <color rgb="FF000000"/>
        <rFont val="Calibri"/>
      </rPr>
      <t>SW1(config)#ip access-list extended INGRESS_MANAGEMENT_ACL</t>
    </r>
    <r>
      <rPr>
        <sz val="11"/>
        <color rgb="FF000000"/>
        <rFont val="Calibri"/>
      </rPr>
      <t xml:space="preserve">
</t>
    </r>
    <r>
      <rPr>
        <sz val="11"/>
        <color rgb="FF000000"/>
        <rFont val="Calibri"/>
      </rPr>
      <t>SW1(config-ext-nacl)#permit tcp any host 10.11.1.22 eq tacacs</t>
    </r>
    <r>
      <rPr>
        <sz val="11"/>
        <color rgb="FF000000"/>
        <rFont val="Calibri"/>
      </rPr>
      <t xml:space="preserve">
</t>
    </r>
    <r>
      <rPr>
        <sz val="11"/>
        <color rgb="FF000000"/>
        <rFont val="Calibri"/>
      </rPr>
      <t>SW1(config-ext-nacl)#permit tcp any host 10.11.1.22 eq 22</t>
    </r>
    <r>
      <rPr>
        <sz val="11"/>
        <color rgb="FF000000"/>
        <rFont val="Calibri"/>
      </rPr>
      <t xml:space="preserve">
</t>
    </r>
    <r>
      <rPr>
        <sz val="11"/>
        <color rgb="FF000000"/>
        <rFont val="Calibri"/>
      </rPr>
      <t>SW1(config-ext-nacl)#permit udp any host 10.11.1.22 eq snmp</t>
    </r>
    <r>
      <rPr>
        <sz val="11"/>
        <color rgb="FF000000"/>
        <rFont val="Calibri"/>
      </rPr>
      <t xml:space="preserve">
</t>
    </r>
    <r>
      <rPr>
        <sz val="11"/>
        <color rgb="FF000000"/>
        <rFont val="Calibri"/>
      </rPr>
      <t>SW1(config-ext-nacl)#permit udp any host 10.11.1.22 eq snmptrap</t>
    </r>
    <r>
      <rPr>
        <sz val="11"/>
        <color rgb="FF000000"/>
        <rFont val="Calibri"/>
      </rPr>
      <t xml:space="preserve">
</t>
    </r>
    <r>
      <rPr>
        <sz val="11"/>
        <color rgb="FF000000"/>
        <rFont val="Calibri"/>
      </rPr>
      <t>SW1(config-ext-nacl)#permit udp any host 10.11.1.22 eq ntp</t>
    </r>
    <r>
      <rPr>
        <sz val="11"/>
        <color rgb="FF000000"/>
        <rFont val="Calibri"/>
      </rPr>
      <t xml:space="preserve">
</t>
    </r>
    <r>
      <rPr>
        <sz val="11"/>
        <color rgb="FF000000"/>
        <rFont val="Calibri"/>
      </rPr>
      <t>SW1(config-ext-nacl)#permit icmp any host 10.11.1.22</t>
    </r>
    <r>
      <rPr>
        <sz val="11"/>
        <color rgb="FF000000"/>
        <rFont val="Calibri"/>
      </rPr>
      <t xml:space="preserve">
</t>
    </r>
    <r>
      <rPr>
        <sz val="11"/>
        <color rgb="FF000000"/>
        <rFont val="Calibri"/>
      </rPr>
      <t>SW1(config-ext-nacl)#deny ip any any log-input</t>
    </r>
    <r>
      <rPr>
        <sz val="11"/>
        <color rgb="FF000000"/>
        <rFont val="Calibri"/>
      </rPr>
      <t xml:space="preserve">
</t>
    </r>
    <r>
      <rPr>
        <sz val="11"/>
        <color rgb="FF000000"/>
        <rFont val="Calibri"/>
      </rPr>
      <t>SW1(config-ext-nacl)#exit</t>
    </r>
    <r>
      <rPr>
        <sz val="11"/>
        <color rgb="FF000000"/>
        <rFont val="Calibri"/>
      </rPr>
      <t xml:space="preserve">
</t>
    </r>
    <r>
      <rPr>
        <sz val="11"/>
        <color rgb="FF000000"/>
        <rFont val="Calibri"/>
      </rPr>
      <t>Step 2: Configure an egress ACL a shown in the example below:</t>
    </r>
    <r>
      <rPr>
        <sz val="11"/>
        <color rgb="FF000000"/>
        <rFont val="Calibri"/>
      </rPr>
      <t xml:space="preserve">
</t>
    </r>
    <r>
      <rPr>
        <sz val="11"/>
        <color rgb="FF000000"/>
        <rFont val="Calibri"/>
      </rPr>
      <t>SW1(config)#ip access-list extended EGRESS_MANAGEMENT_ACL</t>
    </r>
    <r>
      <rPr>
        <sz val="11"/>
        <color rgb="FF000000"/>
        <rFont val="Calibri"/>
      </rPr>
      <t xml:space="preserve">
</t>
    </r>
    <r>
      <rPr>
        <sz val="11"/>
        <color rgb="FF000000"/>
        <rFont val="Calibri"/>
      </rPr>
      <t>SW1(config-ext-nacl)#deny ip any any log-input</t>
    </r>
    <r>
      <rPr>
        <sz val="11"/>
        <color rgb="FF000000"/>
        <rFont val="Calibri"/>
      </rPr>
      <t xml:space="preserve">
</t>
    </r>
    <r>
      <rPr>
        <sz val="11"/>
        <color rgb="FF000000"/>
        <rFont val="Calibri"/>
      </rPr>
      <t>SW1(config-ext-nacl)#exit</t>
    </r>
    <r>
      <rPr>
        <sz val="11"/>
        <color rgb="FF000000"/>
        <rFont val="Calibri"/>
      </rPr>
      <t xml:space="preserve">
</t>
    </r>
    <r>
      <rPr>
        <sz val="11"/>
        <color rgb="FF000000"/>
        <rFont val="Calibri"/>
      </rPr>
      <t>Step 3: Apply the ACLs to the OOBM interfaces.</t>
    </r>
    <r>
      <rPr>
        <sz val="11"/>
        <color rgb="FF000000"/>
        <rFont val="Calibri"/>
      </rPr>
      <t xml:space="preserve">
</t>
    </r>
    <r>
      <rPr>
        <sz val="11"/>
        <color rgb="FF000000"/>
        <rFont val="Calibri"/>
      </rPr>
      <t>SW1(config)#int g0/7</t>
    </r>
    <r>
      <rPr>
        <sz val="11"/>
        <color rgb="FF000000"/>
        <rFont val="Calibri"/>
      </rPr>
      <t xml:space="preserve">
</t>
    </r>
    <r>
      <rPr>
        <sz val="11"/>
        <color rgb="FF000000"/>
        <rFont val="Calibri"/>
      </rPr>
      <t>SW1(config-if)#ip access-group INGRESS_MANAGEMENT_ACL in</t>
    </r>
    <r>
      <rPr>
        <sz val="11"/>
        <color rgb="FF000000"/>
        <rFont val="Calibri"/>
      </rPr>
      <t xml:space="preserve">
</t>
    </r>
    <r>
      <rPr>
        <sz val="11"/>
        <color rgb="FF000000"/>
        <rFont val="Calibri"/>
      </rPr>
      <t>SW1(config-if)#ip access-group EGRESS_MANAGEMENT_ACL out</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</si>
  <si>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</si>
  <si>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This requirement is only applicable where management access to the switch is via an OOBM interface which is not a true OOBM interface.</t>
    </r>
    <r>
      <rPr>
        <sz val="11"/>
        <color rgb="FF000000"/>
        <rFont val="Calibri"/>
      </rPr>
      <t xml:space="preserve">
</t>
    </r>
    <r>
      <rPr>
        <sz val="11"/>
        <color rgb="FF000000"/>
        <rFont val="Calibri"/>
      </rPr>
      <t xml:space="preserve">Step 1: Verify that the managed interface has an inbound and outbound ACL configured. </t>
    </r>
    <r>
      <rPr>
        <sz val="11"/>
        <color rgb="FF000000"/>
        <rFont val="Calibri"/>
      </rPr>
      <t xml:space="preserve">
</t>
    </r>
    <r>
      <rPr>
        <sz val="11"/>
        <color rgb="FF000000"/>
        <rFont val="Calibri"/>
      </rPr>
      <t>interface GigabitEthernet0/7</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description link to OOBM access switch</t>
    </r>
    <r>
      <rPr>
        <sz val="11"/>
        <color rgb="FF000000"/>
        <rFont val="Calibri"/>
      </rPr>
      <t xml:space="preserve">
</t>
    </r>
    <r>
      <rPr>
        <sz val="11"/>
        <color rgb="FF000000"/>
        <rFont val="Calibri"/>
      </rPr>
      <t xml:space="preserve"> ip address 10.11.1.22 255.255.255.0</t>
    </r>
    <r>
      <rPr>
        <sz val="11"/>
        <color rgb="FF000000"/>
        <rFont val="Calibri"/>
      </rPr>
      <t xml:space="preserve">
</t>
    </r>
    <r>
      <rPr>
        <sz val="11"/>
        <color rgb="FF000000"/>
        <rFont val="Calibri"/>
      </rPr>
      <t xml:space="preserve"> ip access-group INGRESS_MANAGEMENT_ACL in</t>
    </r>
    <r>
      <rPr>
        <sz val="11"/>
        <color rgb="FF000000"/>
        <rFont val="Calibri"/>
      </rPr>
      <t xml:space="preserve">
</t>
    </r>
    <r>
      <rPr>
        <sz val="11"/>
        <color rgb="FF000000"/>
        <rFont val="Calibri"/>
      </rPr>
      <t xml:space="preserve"> ip access-group EGRESS_MANAGEMENT_ACL in</t>
    </r>
    <r>
      <rPr>
        <sz val="11"/>
        <color rgb="FF000000"/>
        <rFont val="Calibri"/>
      </rPr>
      <t xml:space="preserve">
</t>
    </r>
    <r>
      <rPr>
        <sz val="11"/>
        <color rgb="FF000000"/>
        <rFont val="Calibri"/>
      </rPr>
      <t xml:space="preserve">Step 2: Verify that the ingress ACL only allows management and ICMP traffic. </t>
    </r>
    <r>
      <rPr>
        <sz val="11"/>
        <color rgb="FF000000"/>
        <rFont val="Calibri"/>
      </rPr>
      <t xml:space="preserve">
</t>
    </r>
    <r>
      <rPr>
        <sz val="11"/>
        <color rgb="FF000000"/>
        <rFont val="Calibri"/>
      </rPr>
      <t>ip access-list extended INGRESS_MANAGEMENT_ACL</t>
    </r>
    <r>
      <rPr>
        <sz val="11"/>
        <color rgb="FF000000"/>
        <rFont val="Calibri"/>
      </rPr>
      <t xml:space="preserve">
</t>
    </r>
    <r>
      <rPr>
        <sz val="11"/>
        <color rgb="FF000000"/>
        <rFont val="Calibri"/>
      </rPr>
      <t xml:space="preserve"> permit tcp any host 10.11.1.22 eq tacacs</t>
    </r>
    <r>
      <rPr>
        <sz val="11"/>
        <color rgb="FF000000"/>
        <rFont val="Calibri"/>
      </rPr>
      <t xml:space="preserve">
</t>
    </r>
    <r>
      <rPr>
        <sz val="11"/>
        <color rgb="FF000000"/>
        <rFont val="Calibri"/>
      </rPr>
      <t xml:space="preserve"> permit tcp any host 10.11.1.22 eq 22</t>
    </r>
    <r>
      <rPr>
        <sz val="11"/>
        <color rgb="FF000000"/>
        <rFont val="Calibri"/>
      </rPr>
      <t xml:space="preserve">
</t>
    </r>
    <r>
      <rPr>
        <sz val="11"/>
        <color rgb="FF000000"/>
        <rFont val="Calibri"/>
      </rPr>
      <t xml:space="preserve"> permit udp any host 10.11.1.22 eq snmp</t>
    </r>
    <r>
      <rPr>
        <sz val="11"/>
        <color rgb="FF000000"/>
        <rFont val="Calibri"/>
      </rPr>
      <t xml:space="preserve">
</t>
    </r>
    <r>
      <rPr>
        <sz val="11"/>
        <color rgb="FF000000"/>
        <rFont val="Calibri"/>
      </rPr>
      <t xml:space="preserve"> permit udp any host 10.11.1.22 eq snmptrap</t>
    </r>
    <r>
      <rPr>
        <sz val="11"/>
        <color rgb="FF000000"/>
        <rFont val="Calibri"/>
      </rPr>
      <t xml:space="preserve">
</t>
    </r>
    <r>
      <rPr>
        <sz val="11"/>
        <color rgb="FF000000"/>
        <rFont val="Calibri"/>
      </rPr>
      <t xml:space="preserve"> permit udp any host 10.11.1.22 eq ntp</t>
    </r>
    <r>
      <rPr>
        <sz val="11"/>
        <color rgb="FF000000"/>
        <rFont val="Calibri"/>
      </rPr>
      <t xml:space="preserve">
</t>
    </r>
    <r>
      <rPr>
        <sz val="11"/>
        <color rgb="FF000000"/>
        <rFont val="Calibri"/>
      </rPr>
      <t xml:space="preserve"> permit icmp any host 10.11.1.22</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Step 3: Verify that the egress ACL blocks any transit traffic.</t>
    </r>
    <r>
      <rPr>
        <sz val="11"/>
        <color rgb="FF000000"/>
        <rFont val="Calibri"/>
      </rPr>
      <t xml:space="preserve">
</t>
    </r>
    <r>
      <rPr>
        <sz val="11"/>
        <color rgb="FF000000"/>
        <rFont val="Calibri"/>
      </rPr>
      <t>ip access-list extended EGRESS_MANAGEMENT_ACL</t>
    </r>
    <r>
      <rPr>
        <sz val="11"/>
        <color rgb="FF000000"/>
        <rFont val="Calibri"/>
      </rPr>
      <t xml:space="preserve">
</t>
    </r>
    <r>
      <rPr>
        <sz val="11"/>
        <color rgb="FF000000"/>
        <rFont val="Calibri"/>
      </rPr>
      <t xml:space="preserve"> deny ip any any log-input</t>
    </r>
    <r>
      <rPr>
        <sz val="11"/>
        <color rgb="FF000000"/>
        <rFont val="Calibri"/>
      </rPr>
      <t xml:space="preserve">
</t>
    </r>
    <r>
      <rPr>
        <sz val="11"/>
        <color rgb="FF000000"/>
        <rFont val="Calibri"/>
      </rPr>
      <t>Note: On Cisco switches, local generated packets are not inspected by outgoing interface access-lists. Hence, the above configuration would simply drop any packets not generated by the switch; hence, blocking any transit traffic.</t>
    </r>
    <r>
      <rPr>
        <sz val="11"/>
        <color rgb="FF000000"/>
        <rFont val="Calibri"/>
      </rPr>
      <t xml:space="preserve">
</t>
    </r>
    <r>
      <rPr>
        <sz val="11"/>
        <color rgb="FF000000"/>
        <rFont val="Calibri"/>
      </rPr>
      <t>If the switch does not restrict traffic that ingresses and egresses the management interface, this is a finding.</t>
    </r>
  </si>
  <si>
    <t>V-221021</t>
  </si>
  <si>
    <r>
      <rPr>
        <sz val="11"/>
        <rFont val="Calibri"/>
      </rPr>
      <t>The Cisco BGP switch must be configured to enable the Generalized TTL Security Mechanism (GTSM).</t>
    </r>
  </si>
  <si>
    <r>
      <rPr>
        <sz val="11"/>
        <color rgb="FF000000"/>
        <rFont val="Calibri"/>
      </rPr>
      <t>Configure TTL security on all external BGP neighbors as shown in the example below:</t>
    </r>
    <r>
      <rPr>
        <sz val="11"/>
        <color rgb="FF000000"/>
        <rFont val="Calibri"/>
      </rPr>
      <t xml:space="preserve">
</t>
    </r>
    <r>
      <rPr>
        <sz val="11"/>
        <color rgb="FF000000"/>
        <rFont val="Calibri"/>
      </rPr>
      <t>SW1(config)#router bgp xx</t>
    </r>
    <r>
      <rPr>
        <sz val="11"/>
        <color rgb="FF000000"/>
        <rFont val="Calibri"/>
      </rPr>
      <t xml:space="preserve">
</t>
    </r>
    <r>
      <rPr>
        <sz val="11"/>
        <color rgb="FF000000"/>
        <rFont val="Calibri"/>
      </rPr>
      <t>SW1(config-switch)#neighbor x.1.1.9 ttl-security hops 1</t>
    </r>
    <r>
      <rPr>
        <sz val="11"/>
        <color rgb="FF000000"/>
        <rFont val="Calibri"/>
      </rPr>
      <t xml:space="preserve">
</t>
    </r>
    <r>
      <rPr>
        <sz val="11"/>
        <color rgb="FF000000"/>
        <rFont val="Calibri"/>
      </rPr>
      <t>SW1(config-switch)#neighbor x.2.1.7 ttl-security hops 1</t>
    </r>
  </si>
  <si>
    <r>
      <rPr>
        <sz val="11"/>
        <color rgb="FF000000"/>
        <rFont val="Calibri"/>
      </rPr>
      <t xml:space="preserve">As described in RFC 3682, GTSM is designed to protect a switch's IP-based control plane from DoS attacks. Many attacks focused on CPU load and line-card overload can be prevented by implementing GTSM on all Exterior Border Gateway Protocol-speaking switches. </t>
    </r>
    <r>
      <rPr>
        <sz val="11"/>
        <color rgb="FF000000"/>
        <rFont val="Calibri"/>
      </rPr>
      <t xml:space="preserve">
</t>
    </r>
    <r>
      <rPr>
        <sz val="11"/>
        <color rgb="FF000000"/>
        <rFont val="Calibri"/>
      </rPr>
      <t>GTSM is based on the fact that the vast majority of control plane peering is established between adjacent switches; that is, the Exterior Border Gateway Protocol peers are either between connecting interfaces or between loopback interfaces. Since TTL spoofing is considered nearly impossible, a mechanism based on an expected TTL value provides a simple and reasonably robust defense from infrastructure attacks based on forged control plane traffic.</t>
    </r>
  </si>
  <si>
    <r>
      <rPr>
        <sz val="11"/>
        <color rgb="FF000000"/>
        <rFont val="Calibri"/>
      </rPr>
      <t>Review the BGP configuration to verify that TTL security has been configured for each external neighbor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x.1.1.9 remote-as yy</t>
    </r>
    <r>
      <rPr>
        <sz val="11"/>
        <color rgb="FF000000"/>
        <rFont val="Calibri"/>
      </rPr>
      <t xml:space="preserve">
</t>
    </r>
    <r>
      <rPr>
        <sz val="11"/>
        <color rgb="FF000000"/>
        <rFont val="Calibri"/>
      </rPr>
      <t xml:space="preserve"> neighbor x.1.1.9 password xxxxxxxx</t>
    </r>
    <r>
      <rPr>
        <sz val="11"/>
        <color rgb="FF000000"/>
        <rFont val="Calibri"/>
      </rPr>
      <t xml:space="preserve">
</t>
    </r>
    <r>
      <rPr>
        <sz val="11"/>
        <color rgb="FF000000"/>
        <rFont val="Calibri"/>
      </rPr>
      <t xml:space="preserve"> neighbor x.1.1.9 ttl-security hops 1</t>
    </r>
    <r>
      <rPr>
        <sz val="11"/>
        <color rgb="FF000000"/>
        <rFont val="Calibri"/>
      </rPr>
      <t xml:space="preserve">
</t>
    </r>
    <r>
      <rPr>
        <sz val="11"/>
        <color rgb="FF000000"/>
        <rFont val="Calibri"/>
      </rPr>
      <t xml:space="preserve"> neighbor x.2.1.7 remote-as zz</t>
    </r>
    <r>
      <rPr>
        <sz val="11"/>
        <color rgb="FF000000"/>
        <rFont val="Calibri"/>
      </rPr>
      <t xml:space="preserve">
</t>
    </r>
    <r>
      <rPr>
        <sz val="11"/>
        <color rgb="FF000000"/>
        <rFont val="Calibri"/>
      </rPr>
      <t xml:space="preserve"> neighbor x.2.1.7 password xxxxxxxx</t>
    </r>
    <r>
      <rPr>
        <sz val="11"/>
        <color rgb="FF000000"/>
        <rFont val="Calibri"/>
      </rPr>
      <t xml:space="preserve">
</t>
    </r>
    <r>
      <rPr>
        <sz val="11"/>
        <color rgb="FF000000"/>
        <rFont val="Calibri"/>
      </rPr>
      <t xml:space="preserve"> neighbor x.2.1.7 ttl-security hops 1</t>
    </r>
    <r>
      <rPr>
        <sz val="11"/>
        <color rgb="FF000000"/>
        <rFont val="Calibri"/>
      </rPr>
      <t xml:space="preserve">
</t>
    </r>
    <r>
      <rPr>
        <sz val="11"/>
        <color rgb="FF000000"/>
        <rFont val="Calibri"/>
      </rPr>
      <t>If the switch is not configured to use GTSM for all Exterior Border Gateway Protocol peering sessions, this is a finding.</t>
    </r>
  </si>
  <si>
    <t>V-221022</t>
  </si>
  <si>
    <r>
      <rPr>
        <sz val="11"/>
        <rFont val="Calibri"/>
      </rPr>
      <t>The Cisco BGP switch must be configured to use a unique key for each autonomous system (AS) that it peers with.</t>
    </r>
  </si>
  <si>
    <r>
      <rPr>
        <sz val="11"/>
        <color rgb="FF000000"/>
        <rFont val="Calibri"/>
      </rPr>
      <t>Configure the switch to use unique keys for each AS that it peers with as shown in the example below:</t>
    </r>
    <r>
      <rPr>
        <sz val="11"/>
        <color rgb="FF000000"/>
        <rFont val="Calibri"/>
      </rPr>
      <t xml:space="preserve">
</t>
    </r>
    <r>
      <rPr>
        <sz val="11"/>
        <color rgb="FF000000"/>
        <rFont val="Calibri"/>
      </rPr>
      <t>SW1(config)#router bgp xx</t>
    </r>
    <r>
      <rPr>
        <sz val="11"/>
        <color rgb="FF000000"/>
        <rFont val="Calibri"/>
      </rPr>
      <t xml:space="preserve">
</t>
    </r>
    <r>
      <rPr>
        <sz val="11"/>
        <color rgb="FF000000"/>
        <rFont val="Calibri"/>
      </rPr>
      <t xml:space="preserve">SW1(config-switch)#neighbor x.1.1.9 password yyyyyyyy </t>
    </r>
    <r>
      <rPr>
        <sz val="11"/>
        <color rgb="FF000000"/>
        <rFont val="Calibri"/>
      </rPr>
      <t xml:space="preserve">
</t>
    </r>
    <r>
      <rPr>
        <sz val="11"/>
        <color rgb="FF000000"/>
        <rFont val="Calibri"/>
      </rPr>
      <t>SW1(config-switch)#neighbor x.2.1.7 password zzzzzzzzz</t>
    </r>
  </si>
  <si>
    <r>
      <rPr>
        <sz val="11"/>
        <color rgb="FF000000"/>
        <rFont val="Calibri"/>
      </rPr>
      <t>If the same keys are used between eBGP neighbors, the chance of a hacker compromising any of the BGP sessions increases. It is possible that a malicious user exists in one autonomous system who would know the key used for the eBGP session. This user would then be able to hijack BGP sessions with other trusted neighbors.</t>
    </r>
  </si>
  <si>
    <r>
      <rPr>
        <sz val="11"/>
        <color rgb="FF000000"/>
        <rFont val="Calibri"/>
      </rPr>
      <t xml:space="preserve">Review the BGP configuration to determine if it is peering with multiple autonomous systems. Interview the ISSM and switch administrator to determine if unique keys are being used. </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x.1.1.9 remote-as yy</t>
    </r>
    <r>
      <rPr>
        <sz val="11"/>
        <color rgb="FF000000"/>
        <rFont val="Calibri"/>
      </rPr>
      <t xml:space="preserve">
</t>
    </r>
    <r>
      <rPr>
        <sz val="11"/>
        <color rgb="FF000000"/>
        <rFont val="Calibri"/>
      </rPr>
      <t xml:space="preserve"> neighbor x.1.1.9 password yyyyyyyy</t>
    </r>
    <r>
      <rPr>
        <sz val="11"/>
        <color rgb="FF000000"/>
        <rFont val="Calibri"/>
      </rPr>
      <t xml:space="preserve">
</t>
    </r>
    <r>
      <rPr>
        <sz val="11"/>
        <color rgb="FF000000"/>
        <rFont val="Calibri"/>
      </rPr>
      <t xml:space="preserve"> neighbor x.2.1.7 remote-as zz</t>
    </r>
    <r>
      <rPr>
        <sz val="11"/>
        <color rgb="FF000000"/>
        <rFont val="Calibri"/>
      </rPr>
      <t xml:space="preserve">
</t>
    </r>
    <r>
      <rPr>
        <sz val="11"/>
        <color rgb="FF000000"/>
        <rFont val="Calibri"/>
      </rPr>
      <t xml:space="preserve"> neighbor x.2.1.7 password zzzzzzzzz</t>
    </r>
    <r>
      <rPr>
        <sz val="11"/>
        <color rgb="FF000000"/>
        <rFont val="Calibri"/>
      </rPr>
      <t xml:space="preserve">
</t>
    </r>
    <r>
      <rPr>
        <sz val="11"/>
        <color rgb="FF000000"/>
        <rFont val="Calibri"/>
      </rPr>
      <t>If unique keys are not being used, this is a finding.</t>
    </r>
  </si>
  <si>
    <t>V-221023</t>
  </si>
  <si>
    <r>
      <rPr>
        <sz val="11"/>
        <rFont val="Calibri"/>
      </rPr>
      <t>The Cisco BGP switch must be configured to reject inbound route advertisements for any Bogon prefixes.</t>
    </r>
  </si>
  <si>
    <r>
      <rPr>
        <sz val="11"/>
        <color rgb="FF000000"/>
        <rFont val="Calibri"/>
      </rPr>
      <t>Configure the switch to reject inbound route advertisements for any Bogon prefixes.</t>
    </r>
    <r>
      <rPr>
        <sz val="11"/>
        <color rgb="FF000000"/>
        <rFont val="Calibri"/>
      </rPr>
      <t xml:space="preserve">
</t>
    </r>
    <r>
      <rPr>
        <sz val="11"/>
        <color rgb="FF000000"/>
        <rFont val="Calibri"/>
      </rPr>
      <t>Step 1: Configure a prefix list containing the current Bogon prefixes as shown below:</t>
    </r>
    <r>
      <rPr>
        <sz val="11"/>
        <color rgb="FF000000"/>
        <rFont val="Calibri"/>
      </rPr>
      <t xml:space="preserve">
</t>
    </r>
    <r>
      <rPr>
        <sz val="11"/>
        <color rgb="FF000000"/>
        <rFont val="Calibri"/>
      </rPr>
      <t>SW1(config)#ip prefix-list PREFIX_FILTER deny 0.0.0.0/8 le 32</t>
    </r>
    <r>
      <rPr>
        <sz val="11"/>
        <color rgb="FF000000"/>
        <rFont val="Calibri"/>
      </rPr>
      <t xml:space="preserve">
</t>
    </r>
    <r>
      <rPr>
        <sz val="11"/>
        <color rgb="FF000000"/>
        <rFont val="Calibri"/>
      </rPr>
      <t>SW1(config)#ip prefix-list PREFIX_FILTER deny 10.0.0.0/8 le 32</t>
    </r>
    <r>
      <rPr>
        <sz val="11"/>
        <color rgb="FF000000"/>
        <rFont val="Calibri"/>
      </rPr>
      <t xml:space="preserve">
</t>
    </r>
    <r>
      <rPr>
        <sz val="11"/>
        <color rgb="FF000000"/>
        <rFont val="Calibri"/>
      </rPr>
      <t>SW1(config)#ip prefix-list PREFIX_FILTER deny 100.64.0.0/10 le 32</t>
    </r>
    <r>
      <rPr>
        <sz val="11"/>
        <color rgb="FF000000"/>
        <rFont val="Calibri"/>
      </rPr>
      <t xml:space="preserve">
</t>
    </r>
    <r>
      <rPr>
        <sz val="11"/>
        <color rgb="FF000000"/>
        <rFont val="Calibri"/>
      </rPr>
      <t>SW1(config)#ip prefix-list PREFIX_FILTER deny 127.0.0.0/8 le 32</t>
    </r>
    <r>
      <rPr>
        <sz val="11"/>
        <color rgb="FF000000"/>
        <rFont val="Calibri"/>
      </rPr>
      <t xml:space="preserve">
</t>
    </r>
    <r>
      <rPr>
        <sz val="11"/>
        <color rgb="FF000000"/>
        <rFont val="Calibri"/>
      </rPr>
      <t>SW1(config)#ip prefix-list PREFIX_FILTER deny 169.254.0.0/16 le 32</t>
    </r>
    <r>
      <rPr>
        <sz val="11"/>
        <color rgb="FF000000"/>
        <rFont val="Calibri"/>
      </rPr>
      <t xml:space="preserve">
</t>
    </r>
    <r>
      <rPr>
        <sz val="11"/>
        <color rgb="FF000000"/>
        <rFont val="Calibri"/>
      </rPr>
      <t>SW1(config)#ip prefix-list PREFIX_FILTER deny 172.16.0.0/12 le 32</t>
    </r>
    <r>
      <rPr>
        <sz val="11"/>
        <color rgb="FF000000"/>
        <rFont val="Calibri"/>
      </rPr>
      <t xml:space="preserve">
</t>
    </r>
    <r>
      <rPr>
        <sz val="11"/>
        <color rgb="FF000000"/>
        <rFont val="Calibri"/>
      </rPr>
      <t>SW1(config)#ip prefix-list PREFIX_FILTER deny 192.0.2.0/24 le 32</t>
    </r>
    <r>
      <rPr>
        <sz val="11"/>
        <color rgb="FF000000"/>
        <rFont val="Calibri"/>
      </rPr>
      <t xml:space="preserve">
</t>
    </r>
    <r>
      <rPr>
        <sz val="11"/>
        <color rgb="FF000000"/>
        <rFont val="Calibri"/>
      </rPr>
      <t>SW1(config)#ip prefix-list PREFIX_FILTER deny 192.88.99.0/24 le 32</t>
    </r>
    <r>
      <rPr>
        <sz val="11"/>
        <color rgb="FF000000"/>
        <rFont val="Calibri"/>
      </rPr>
      <t xml:space="preserve">
</t>
    </r>
    <r>
      <rPr>
        <sz val="11"/>
        <color rgb="FF000000"/>
        <rFont val="Calibri"/>
      </rPr>
      <t>SW1(config)#ip prefix-list PREFIX_FILTER deny 192.168.0.0/16 le 32</t>
    </r>
    <r>
      <rPr>
        <sz val="11"/>
        <color rgb="FF000000"/>
        <rFont val="Calibri"/>
      </rPr>
      <t xml:space="preserve">
</t>
    </r>
    <r>
      <rPr>
        <sz val="11"/>
        <color rgb="FF000000"/>
        <rFont val="Calibri"/>
      </rPr>
      <t>SW1(config)#ip prefix-list PREFIX_FILTER deny 198.18.0.0/15 le 32</t>
    </r>
    <r>
      <rPr>
        <sz val="11"/>
        <color rgb="FF000000"/>
        <rFont val="Calibri"/>
      </rPr>
      <t xml:space="preserve">
</t>
    </r>
    <r>
      <rPr>
        <sz val="11"/>
        <color rgb="FF000000"/>
        <rFont val="Calibri"/>
      </rPr>
      <t>SW1(config)#ip prefix-list PREFIX_FILTER deny 198.51.100.0/24 le 32</t>
    </r>
    <r>
      <rPr>
        <sz val="11"/>
        <color rgb="FF000000"/>
        <rFont val="Calibri"/>
      </rPr>
      <t xml:space="preserve">
</t>
    </r>
    <r>
      <rPr>
        <sz val="11"/>
        <color rgb="FF000000"/>
        <rFont val="Calibri"/>
      </rPr>
      <t>SW1(config)#ip prefix-list PREFIX_FILTER deny 203.0.113.0/24 le 32</t>
    </r>
    <r>
      <rPr>
        <sz val="11"/>
        <color rgb="FF000000"/>
        <rFont val="Calibri"/>
      </rPr>
      <t xml:space="preserve">
</t>
    </r>
    <r>
      <rPr>
        <sz val="11"/>
        <color rgb="FF000000"/>
        <rFont val="Calibri"/>
      </rPr>
      <t>SW1(config)#ip prefix-list PREFIX_FILTER deny 224.0.0.0/4 le 32</t>
    </r>
    <r>
      <rPr>
        <sz val="11"/>
        <color rgb="FF000000"/>
        <rFont val="Calibri"/>
      </rPr>
      <t xml:space="preserve">
</t>
    </r>
    <r>
      <rPr>
        <sz val="11"/>
        <color rgb="FF000000"/>
        <rFont val="Calibri"/>
      </rPr>
      <t>SW1(config)#ip prefix-list PREFIX_FILTER deny 240.0.0.0/4 le 32</t>
    </r>
    <r>
      <rPr>
        <sz val="11"/>
        <color rgb="FF000000"/>
        <rFont val="Calibri"/>
      </rPr>
      <t xml:space="preserve">
</t>
    </r>
    <r>
      <rPr>
        <sz val="11"/>
        <color rgb="FF000000"/>
        <rFont val="Calibri"/>
      </rPr>
      <t>SW1(config)#ip prefix-list PREFIX_FILTER deny 240.0.0.0/4 le 32</t>
    </r>
    <r>
      <rPr>
        <sz val="11"/>
        <color rgb="FF000000"/>
        <rFont val="Calibri"/>
      </rPr>
      <t xml:space="preserve">
</t>
    </r>
    <r>
      <rPr>
        <sz val="11"/>
        <color rgb="FF000000"/>
        <rFont val="Calibri"/>
      </rPr>
      <t>SW1(config)#ip prefix-list PREFIX_FILTER permit 0.0.0.0/0 ge 8</t>
    </r>
    <r>
      <rPr>
        <sz val="11"/>
        <color rgb="FF000000"/>
        <rFont val="Calibri"/>
      </rPr>
      <t xml:space="preserve">
</t>
    </r>
    <r>
      <rPr>
        <sz val="11"/>
        <color rgb="FF000000"/>
        <rFont val="Calibri"/>
      </rPr>
      <t>Step 2: Apply the prefix list filter inbound to each external BGP neighbor as shown in the example:</t>
    </r>
    <r>
      <rPr>
        <sz val="11"/>
        <color rgb="FF000000"/>
        <rFont val="Calibri"/>
      </rPr>
      <t xml:space="preserve">
</t>
    </r>
    <r>
      <rPr>
        <sz val="11"/>
        <color rgb="FF000000"/>
        <rFont val="Calibri"/>
      </rPr>
      <t>SW1(config)#router bgp xx</t>
    </r>
    <r>
      <rPr>
        <sz val="11"/>
        <color rgb="FF000000"/>
        <rFont val="Calibri"/>
      </rPr>
      <t xml:space="preserve">
</t>
    </r>
    <r>
      <rPr>
        <sz val="11"/>
        <color rgb="FF000000"/>
        <rFont val="Calibri"/>
      </rPr>
      <t>SW1(config-switch)#neighbor x.1.1.9 prefix-list PREFIX_FILTER in</t>
    </r>
    <r>
      <rPr>
        <sz val="11"/>
        <color rgb="FF000000"/>
        <rFont val="Calibri"/>
      </rPr>
      <t xml:space="preserve">
</t>
    </r>
    <r>
      <rPr>
        <sz val="11"/>
        <color rgb="FF000000"/>
        <rFont val="Calibri"/>
      </rPr>
      <t>SW1(config-switch)#neighbor x.2.1.7 prefix-list PREFIX_FILTER in</t>
    </r>
    <r>
      <rPr>
        <sz val="11"/>
        <color rgb="FF000000"/>
        <rFont val="Calibri"/>
      </rPr>
      <t xml:space="preserve">
</t>
    </r>
    <r>
      <rPr>
        <sz val="11"/>
        <color rgb="FF000000"/>
        <rFont val="Calibri"/>
      </rPr>
      <t xml:space="preserve">Route Map Alternative: </t>
    </r>
    <r>
      <rPr>
        <sz val="11"/>
        <color rgb="FF000000"/>
        <rFont val="Calibri"/>
      </rPr>
      <t xml:space="preserve">
</t>
    </r>
    <r>
      <rPr>
        <sz val="11"/>
        <color rgb="FF000000"/>
        <rFont val="Calibri"/>
      </rPr>
      <t>Step 1: Configure the route map referencing the configured prefix list above.</t>
    </r>
    <r>
      <rPr>
        <sz val="11"/>
        <color rgb="FF000000"/>
        <rFont val="Calibri"/>
      </rPr>
      <t xml:space="preserve">
</t>
    </r>
    <r>
      <rPr>
        <sz val="11"/>
        <color rgb="FF000000"/>
        <rFont val="Calibri"/>
      </rPr>
      <t>SW1(config)#route-map FILTER_PREFIX_MAP 10</t>
    </r>
    <r>
      <rPr>
        <sz val="11"/>
        <color rgb="FF000000"/>
        <rFont val="Calibri"/>
      </rPr>
      <t xml:space="preserve">
</t>
    </r>
    <r>
      <rPr>
        <sz val="11"/>
        <color rgb="FF000000"/>
        <rFont val="Calibri"/>
      </rPr>
      <t>SW1(config-route-map)#match ip address prefix-list PREFIX_FILTER</t>
    </r>
    <r>
      <rPr>
        <sz val="11"/>
        <color rgb="FF000000"/>
        <rFont val="Calibri"/>
      </rPr>
      <t xml:space="preserve">
</t>
    </r>
    <r>
      <rPr>
        <sz val="11"/>
        <color rgb="FF000000"/>
        <rFont val="Calibri"/>
      </rPr>
      <t>SW1(config-route-map)#exit</t>
    </r>
    <r>
      <rPr>
        <sz val="11"/>
        <color rgb="FF000000"/>
        <rFont val="Calibri"/>
      </rPr>
      <t xml:space="preserve">
</t>
    </r>
    <r>
      <rPr>
        <sz val="11"/>
        <color rgb="FF000000"/>
        <rFont val="Calibri"/>
      </rPr>
      <t>Step 2: Apply the route-map inbound to each external BGP neighbor as shown in the example:</t>
    </r>
    <r>
      <rPr>
        <sz val="11"/>
        <color rgb="FF000000"/>
        <rFont val="Calibri"/>
      </rPr>
      <t xml:space="preserve">
</t>
    </r>
    <r>
      <rPr>
        <sz val="11"/>
        <color rgb="FF000000"/>
        <rFont val="Calibri"/>
      </rPr>
      <t>SW1(config)#router bgp xx</t>
    </r>
    <r>
      <rPr>
        <sz val="11"/>
        <color rgb="FF000000"/>
        <rFont val="Calibri"/>
      </rPr>
      <t xml:space="preserve">
</t>
    </r>
    <r>
      <rPr>
        <sz val="11"/>
        <color rgb="FF000000"/>
        <rFont val="Calibri"/>
      </rPr>
      <t>SW1(config-switch)#neighbor x.1.1.9 route-map FILTER_PREFIX_MAP in</t>
    </r>
    <r>
      <rPr>
        <sz val="11"/>
        <color rgb="FF000000"/>
        <rFont val="Calibri"/>
      </rPr>
      <t xml:space="preserve">
</t>
    </r>
    <r>
      <rPr>
        <sz val="11"/>
        <color rgb="FF000000"/>
        <rFont val="Calibri"/>
      </rPr>
      <t xml:space="preserve">SW1(config-switch)#neighbor x.2.1.7 route-map FILTER_PREFIX_MAP in </t>
    </r>
    <r>
      <rPr>
        <sz val="11"/>
        <color rgb="FF000000"/>
        <rFont val="Calibri"/>
      </rPr>
      <t xml:space="preserve">
</t>
    </r>
    <r>
      <rPr>
        <sz val="11"/>
        <color rgb="FF000000"/>
        <rFont val="Calibri"/>
      </rPr>
      <t>SW1(config-switch)#end</t>
    </r>
  </si>
  <si>
    <r>
      <rPr>
        <sz val="11"/>
        <color rgb="FF000000"/>
        <rFont val="Calibri"/>
      </rPr>
      <t>Accepting route advertisements for Bogon prefixes can result in the local autonomous system (AS) becoming a transit for malicious traffic as it will in turn advertise these prefixes to neighbor autonomous systems.</t>
    </r>
  </si>
  <si>
    <r>
      <rPr>
        <sz val="11"/>
        <color rgb="FF000000"/>
        <rFont val="Calibri"/>
      </rPr>
      <t>Review the switch configuration to verify that it will reject BGP routes for any Bogon prefixes.</t>
    </r>
    <r>
      <rPr>
        <sz val="11"/>
        <color rgb="FF000000"/>
        <rFont val="Calibri"/>
      </rPr>
      <t xml:space="preserve">
</t>
    </r>
    <r>
      <rPr>
        <sz val="11"/>
        <color rgb="FF000000"/>
        <rFont val="Calibri"/>
      </rPr>
      <t>Step 1: Verify a prefix list has been configured containing the current Bogon prefixes as shown in the example below:</t>
    </r>
    <r>
      <rPr>
        <sz val="11"/>
        <color rgb="FF000000"/>
        <rFont val="Calibri"/>
      </rPr>
      <t xml:space="preserve">
</t>
    </r>
    <r>
      <rPr>
        <sz val="11"/>
        <color rgb="FF000000"/>
        <rFont val="Calibri"/>
      </rPr>
      <t>ip prefix-list PREFIX_FILTER seq 5 deny 0.0.0.0/8 le 32</t>
    </r>
    <r>
      <rPr>
        <sz val="11"/>
        <color rgb="FF000000"/>
        <rFont val="Calibri"/>
      </rPr>
      <t xml:space="preserve">
</t>
    </r>
    <r>
      <rPr>
        <sz val="11"/>
        <color rgb="FF000000"/>
        <rFont val="Calibri"/>
      </rPr>
      <t>ip prefix-list PREFIX_FILTER seq 10 deny 10.0.0.0/8 le 32</t>
    </r>
    <r>
      <rPr>
        <sz val="11"/>
        <color rgb="FF000000"/>
        <rFont val="Calibri"/>
      </rPr>
      <t xml:space="preserve">
</t>
    </r>
    <r>
      <rPr>
        <sz val="11"/>
        <color rgb="FF000000"/>
        <rFont val="Calibri"/>
      </rPr>
      <t>ip prefix-list PREFIX_FILTER seq 15 deny 100.64.0.0/10 le 32</t>
    </r>
    <r>
      <rPr>
        <sz val="11"/>
        <color rgb="FF000000"/>
        <rFont val="Calibri"/>
      </rPr>
      <t xml:space="preserve">
</t>
    </r>
    <r>
      <rPr>
        <sz val="11"/>
        <color rgb="FF000000"/>
        <rFont val="Calibri"/>
      </rPr>
      <t>ip prefix-list PREFIX_FILTER seq 20 deny 127.0.0.0/8 le 32</t>
    </r>
    <r>
      <rPr>
        <sz val="11"/>
        <color rgb="FF000000"/>
        <rFont val="Calibri"/>
      </rPr>
      <t xml:space="preserve">
</t>
    </r>
    <r>
      <rPr>
        <sz val="11"/>
        <color rgb="FF000000"/>
        <rFont val="Calibri"/>
      </rPr>
      <t>ip prefix-list PREFIX_FILTER seq 25 deny 169.254.0.0/16 le 32</t>
    </r>
    <r>
      <rPr>
        <sz val="11"/>
        <color rgb="FF000000"/>
        <rFont val="Calibri"/>
      </rPr>
      <t xml:space="preserve">
</t>
    </r>
    <r>
      <rPr>
        <sz val="11"/>
        <color rgb="FF000000"/>
        <rFont val="Calibri"/>
      </rPr>
      <t>ip prefix-list PREFIX_FILTER seq 30 deny 172.16.0.0/12 le 32</t>
    </r>
    <r>
      <rPr>
        <sz val="11"/>
        <color rgb="FF000000"/>
        <rFont val="Calibri"/>
      </rPr>
      <t xml:space="preserve">
</t>
    </r>
    <r>
      <rPr>
        <sz val="11"/>
        <color rgb="FF000000"/>
        <rFont val="Calibri"/>
      </rPr>
      <t>ip prefix-list PREFIX_FILTER seq 35 deny 192.0.2.0/24 le 32</t>
    </r>
    <r>
      <rPr>
        <sz val="11"/>
        <color rgb="FF000000"/>
        <rFont val="Calibri"/>
      </rPr>
      <t xml:space="preserve">
</t>
    </r>
    <r>
      <rPr>
        <sz val="11"/>
        <color rgb="FF000000"/>
        <rFont val="Calibri"/>
      </rPr>
      <t>ip prefix-list PREFIX_FILTER seq 40 deny 192.88.99.0/24 le 32</t>
    </r>
    <r>
      <rPr>
        <sz val="11"/>
        <color rgb="FF000000"/>
        <rFont val="Calibri"/>
      </rPr>
      <t xml:space="preserve">
</t>
    </r>
    <r>
      <rPr>
        <sz val="11"/>
        <color rgb="FF000000"/>
        <rFont val="Calibri"/>
      </rPr>
      <t>ip prefix-list PREFIX_FILTER seq 45 deny 192.168.0.0/16 le 32</t>
    </r>
    <r>
      <rPr>
        <sz val="11"/>
        <color rgb="FF000000"/>
        <rFont val="Calibri"/>
      </rPr>
      <t xml:space="preserve">
</t>
    </r>
    <r>
      <rPr>
        <sz val="11"/>
        <color rgb="FF000000"/>
        <rFont val="Calibri"/>
      </rPr>
      <t>ip prefix-list PREFIX_FILTER seq 50 deny 198.18.0.0/15 le 32</t>
    </r>
    <r>
      <rPr>
        <sz val="11"/>
        <color rgb="FF000000"/>
        <rFont val="Calibri"/>
      </rPr>
      <t xml:space="preserve">
</t>
    </r>
    <r>
      <rPr>
        <sz val="11"/>
        <color rgb="FF000000"/>
        <rFont val="Calibri"/>
      </rPr>
      <t>ip prefix-list PREFIX_FILTER seq 55 deny 198.51.100.0/24 le 32</t>
    </r>
    <r>
      <rPr>
        <sz val="11"/>
        <color rgb="FF000000"/>
        <rFont val="Calibri"/>
      </rPr>
      <t xml:space="preserve">
</t>
    </r>
    <r>
      <rPr>
        <sz val="11"/>
        <color rgb="FF000000"/>
        <rFont val="Calibri"/>
      </rPr>
      <t>ip prefix-list PREFIX_FILTER seq 60 deny 203.0.113.0/24 le 32</t>
    </r>
    <r>
      <rPr>
        <sz val="11"/>
        <color rgb="FF000000"/>
        <rFont val="Calibri"/>
      </rPr>
      <t xml:space="preserve">
</t>
    </r>
    <r>
      <rPr>
        <sz val="11"/>
        <color rgb="FF000000"/>
        <rFont val="Calibri"/>
      </rPr>
      <t>ip prefix-list PREFIX_FILTER seq 65 deny 224.0.0.0/4 le 32</t>
    </r>
    <r>
      <rPr>
        <sz val="11"/>
        <color rgb="FF000000"/>
        <rFont val="Calibri"/>
      </rPr>
      <t xml:space="preserve">
</t>
    </r>
    <r>
      <rPr>
        <sz val="11"/>
        <color rgb="FF000000"/>
        <rFont val="Calibri"/>
      </rPr>
      <t>ip prefix-list PREFIX_FILTER seq 70 deny 240.0.0.0/4 le 32</t>
    </r>
    <r>
      <rPr>
        <sz val="11"/>
        <color rgb="FF000000"/>
        <rFont val="Calibri"/>
      </rPr>
      <t xml:space="preserve">
</t>
    </r>
    <r>
      <rPr>
        <sz val="11"/>
        <color rgb="FF000000"/>
        <rFont val="Calibri"/>
      </rPr>
      <t>ip prefix-list PREFIX_FILTER seq 75 permit 0.0.0.0/0 ge 8</t>
    </r>
    <r>
      <rPr>
        <sz val="11"/>
        <color rgb="FF000000"/>
        <rFont val="Calibri"/>
      </rPr>
      <t xml:space="preserve">
</t>
    </r>
    <r>
      <rPr>
        <sz val="11"/>
        <color rgb="FF000000"/>
        <rFont val="Calibri"/>
      </rPr>
      <t>Step 2: Verify that the prefix list has been applied to all external BGP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x.1.1.9 remote-as yy</t>
    </r>
    <r>
      <rPr>
        <sz val="11"/>
        <color rgb="FF000000"/>
        <rFont val="Calibri"/>
      </rPr>
      <t xml:space="preserve">
</t>
    </r>
    <r>
      <rPr>
        <sz val="11"/>
        <color rgb="FF000000"/>
        <rFont val="Calibri"/>
      </rPr>
      <t xml:space="preserve"> neighbor x.1.1.9 prefix-list PREFIX_FILTER in</t>
    </r>
    <r>
      <rPr>
        <sz val="11"/>
        <color rgb="FF000000"/>
        <rFont val="Calibri"/>
      </rPr>
      <t xml:space="preserve">
</t>
    </r>
    <r>
      <rPr>
        <sz val="11"/>
        <color rgb="FF000000"/>
        <rFont val="Calibri"/>
      </rPr>
      <t xml:space="preserve"> neighbor x.2.1.7 remote-as zz</t>
    </r>
    <r>
      <rPr>
        <sz val="11"/>
        <color rgb="FF000000"/>
        <rFont val="Calibri"/>
      </rPr>
      <t xml:space="preserve">
</t>
    </r>
    <r>
      <rPr>
        <sz val="11"/>
        <color rgb="FF000000"/>
        <rFont val="Calibri"/>
      </rPr>
      <t xml:space="preserve"> neighbor x.2.1.7 prefix-list PREFIX_FILTER in</t>
    </r>
    <r>
      <rPr>
        <sz val="11"/>
        <color rgb="FF000000"/>
        <rFont val="Calibri"/>
      </rPr>
      <t xml:space="preserve">
</t>
    </r>
    <r>
      <rPr>
        <sz val="11"/>
        <color rgb="FF000000"/>
        <rFont val="Calibri"/>
      </rPr>
      <t xml:space="preserve">Route Map Alternative: </t>
    </r>
    <r>
      <rPr>
        <sz val="11"/>
        <color rgb="FF000000"/>
        <rFont val="Calibri"/>
      </rPr>
      <t xml:space="preserve">
</t>
    </r>
    <r>
      <rPr>
        <sz val="11"/>
        <color rgb="FF000000"/>
        <rFont val="Calibri"/>
      </rPr>
      <t>Verify that the route map applied to the external neighbors references the configured Bogon prefix list shown above.</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x.1.1.9 remote-as yy</t>
    </r>
    <r>
      <rPr>
        <sz val="11"/>
        <color rgb="FF000000"/>
        <rFont val="Calibri"/>
      </rPr>
      <t xml:space="preserve">
</t>
    </r>
    <r>
      <rPr>
        <sz val="11"/>
        <color rgb="FF000000"/>
        <rFont val="Calibri"/>
      </rPr>
      <t xml:space="preserve"> neighbor x.1.1.9 route-map FILTER_PREFIX_MAP</t>
    </r>
    <r>
      <rPr>
        <sz val="11"/>
        <color rgb="FF000000"/>
        <rFont val="Calibri"/>
      </rPr>
      <t xml:space="preserve">
</t>
    </r>
    <r>
      <rPr>
        <sz val="11"/>
        <color rgb="FF000000"/>
        <rFont val="Calibri"/>
      </rPr>
      <t xml:space="preserve"> neighbor x.2.1.7 remote-as zz</t>
    </r>
    <r>
      <rPr>
        <sz val="11"/>
        <color rgb="FF000000"/>
        <rFont val="Calibri"/>
      </rPr>
      <t xml:space="preserve">
</t>
    </r>
    <r>
      <rPr>
        <sz val="11"/>
        <color rgb="FF000000"/>
        <rFont val="Calibri"/>
      </rPr>
      <t xml:space="preserve"> neighbor x.2.1.7 route-map FILTER_PREFIX_MAP</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FILTER_PREFIX_MAP permit 10</t>
    </r>
    <r>
      <rPr>
        <sz val="11"/>
        <color rgb="FF000000"/>
        <rFont val="Calibri"/>
      </rPr>
      <t xml:space="preserve">
</t>
    </r>
    <r>
      <rPr>
        <sz val="11"/>
        <color rgb="FF000000"/>
        <rFont val="Calibri"/>
      </rPr>
      <t xml:space="preserve"> match ip address prefix-list PREFIX_FILTER</t>
    </r>
    <r>
      <rPr>
        <sz val="11"/>
        <color rgb="FF000000"/>
        <rFont val="Calibri"/>
      </rPr>
      <t xml:space="preserve">
</t>
    </r>
    <r>
      <rPr>
        <sz val="11"/>
        <color rgb="FF000000"/>
        <rFont val="Calibri"/>
      </rPr>
      <t>If the switch is not configured to reject inbound route advertisements for any Bogon prefixes, this is a finding.</t>
    </r>
  </si>
  <si>
    <t>V-221024</t>
  </si>
  <si>
    <r>
      <rPr>
        <sz val="11"/>
        <rFont val="Calibri"/>
      </rPr>
      <t>The Cisco BGP switch must be configured to reject inbound route advertisements for any prefixes belonging to the local autonomous system (AS).</t>
    </r>
  </si>
  <si>
    <r>
      <rPr>
        <sz val="11"/>
        <color rgb="FF000000"/>
        <rFont val="Calibri"/>
      </rPr>
      <t>Review the switch configuration to verify that it will reject routes belonging to the local AS.</t>
    </r>
    <r>
      <rPr>
        <sz val="11"/>
        <color rgb="FF000000"/>
        <rFont val="Calibri"/>
      </rPr>
      <t xml:space="preserve">
</t>
    </r>
    <r>
      <rPr>
        <sz val="11"/>
        <color rgb="FF000000"/>
        <rFont val="Calibri"/>
      </rPr>
      <t>Configure the router to reject inbound route advertisements for any prefixes belonging to the local AS.</t>
    </r>
    <r>
      <rPr>
        <sz val="11"/>
        <color rgb="FF000000"/>
        <rFont val="Calibri"/>
      </rPr>
      <t xml:space="preserve">
</t>
    </r>
    <r>
      <rPr>
        <sz val="11"/>
        <color rgb="FF000000"/>
        <rFont val="Calibri"/>
      </rPr>
      <t>Step 1: Add to the prefix filter list those prefixes belonging to the local autonomous system.</t>
    </r>
    <r>
      <rPr>
        <sz val="11"/>
        <color rgb="FF000000"/>
        <rFont val="Calibri"/>
      </rPr>
      <t xml:space="preserve">
</t>
    </r>
    <r>
      <rPr>
        <sz val="11"/>
        <color rgb="FF000000"/>
        <rFont val="Calibri"/>
      </rPr>
      <t>SW1(config)#ip prefix-list PREFIX_FILTER seq 74 deny x.13.1.0/24 le 32</t>
    </r>
    <r>
      <rPr>
        <sz val="11"/>
        <color rgb="FF000000"/>
        <rFont val="Calibri"/>
      </rPr>
      <t xml:space="preserve">
</t>
    </r>
    <r>
      <rPr>
        <sz val="11"/>
        <color rgb="FF000000"/>
        <rFont val="Calibri"/>
      </rPr>
      <t>Step 2: If not already completed to be compliant with previous requirement, apply the prefix list filter inbound to each external BGP neighbor as shown in the example.</t>
    </r>
    <r>
      <rPr>
        <sz val="11"/>
        <color rgb="FF000000"/>
        <rFont val="Calibri"/>
      </rPr>
      <t xml:space="preserve">
</t>
    </r>
    <r>
      <rPr>
        <sz val="11"/>
        <color rgb="FF000000"/>
        <rFont val="Calibri"/>
      </rPr>
      <t>SW1(config)#switch bgp xx</t>
    </r>
    <r>
      <rPr>
        <sz val="11"/>
        <color rgb="FF000000"/>
        <rFont val="Calibri"/>
      </rPr>
      <t xml:space="preserve">
</t>
    </r>
    <r>
      <rPr>
        <sz val="11"/>
        <color rgb="FF000000"/>
        <rFont val="Calibri"/>
      </rPr>
      <t>SW1(config-switch)#neighbor x.1.1.9 prefix-list PREFIX_FILTER in</t>
    </r>
    <r>
      <rPr>
        <sz val="11"/>
        <color rgb="FF000000"/>
        <rFont val="Calibri"/>
      </rPr>
      <t xml:space="preserve">
</t>
    </r>
    <r>
      <rPr>
        <sz val="11"/>
        <color rgb="FF000000"/>
        <rFont val="Calibri"/>
      </rPr>
      <t>SW1(config-switch)#neighbor x.2.1.7 prefix-list PREFIX_FILTER in</t>
    </r>
    <r>
      <rPr>
        <sz val="11"/>
        <color rgb="FF000000"/>
        <rFont val="Calibri"/>
      </rPr>
      <t xml:space="preserve">
</t>
    </r>
    <r>
      <rPr>
        <sz val="11"/>
        <color rgb="FF000000"/>
        <rFont val="Calibri"/>
      </rPr>
      <t>SW1(config-switch)#end</t>
    </r>
  </si>
  <si>
    <r>
      <rPr>
        <sz val="11"/>
        <color rgb="FF000000"/>
        <rFont val="Calibri"/>
      </rPr>
      <t>Accepting route advertisements belonging to the local AS can result in traffic looping or being black-holed, or at a minimum, using a non-optimized path.</t>
    </r>
  </si>
  <si>
    <r>
      <rPr>
        <sz val="11"/>
        <color rgb="FF000000"/>
        <rFont val="Calibri"/>
      </rPr>
      <t>Review the switch configuration to verify that it will reject routes belonging to the local AS.</t>
    </r>
    <r>
      <rPr>
        <sz val="11"/>
        <color rgb="FF000000"/>
        <rFont val="Calibri"/>
      </rPr>
      <t xml:space="preserve">
</t>
    </r>
    <r>
      <rPr>
        <sz val="11"/>
        <color rgb="FF000000"/>
        <rFont val="Calibri"/>
      </rPr>
      <t>Step 1: Verify a prefix list has been configured containing prefixes belonging to the local AS. In the example below x.13.1.0/24 is the global address space allocated to the local AS.</t>
    </r>
    <r>
      <rPr>
        <sz val="11"/>
        <color rgb="FF000000"/>
        <rFont val="Calibri"/>
      </rPr>
      <t xml:space="preserve">
</t>
    </r>
    <r>
      <rPr>
        <sz val="11"/>
        <color rgb="FF000000"/>
        <rFont val="Calibri"/>
      </rPr>
      <t>ip prefix-list PREFIX_FILTER seq 5 deny 0.0.0.0/8 le 32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prefix-list PREFIX_FILTER seq 74 deny x.13.1.0/24 le 32</t>
    </r>
    <r>
      <rPr>
        <sz val="11"/>
        <color rgb="FF000000"/>
        <rFont val="Calibri"/>
      </rPr>
      <t xml:space="preserve">
</t>
    </r>
    <r>
      <rPr>
        <sz val="11"/>
        <color rgb="FF000000"/>
        <rFont val="Calibri"/>
      </rPr>
      <t>ip prefix-list PREFIX_FILTER seq 75 permit 0.0.0.0/0 ge 8</t>
    </r>
    <r>
      <rPr>
        <sz val="11"/>
        <color rgb="FF000000"/>
        <rFont val="Calibri"/>
      </rPr>
      <t xml:space="preserve">
</t>
    </r>
    <r>
      <rPr>
        <sz val="11"/>
        <color rgb="FF000000"/>
        <rFont val="Calibri"/>
      </rPr>
      <t>Step 2: Verify that the prefix list has been applied to all external BGP peers as shown in the example below:</t>
    </r>
    <r>
      <rPr>
        <sz val="11"/>
        <color rgb="FF000000"/>
        <rFont val="Calibri"/>
      </rPr>
      <t xml:space="preserve">
</t>
    </r>
    <r>
      <rPr>
        <sz val="11"/>
        <color rgb="FF000000"/>
        <rFont val="Calibri"/>
      </rPr>
      <t xml:space="preserve"> router bgp xx</t>
    </r>
    <r>
      <rPr>
        <sz val="11"/>
        <color rgb="FF000000"/>
        <rFont val="Calibri"/>
      </rPr>
      <t xml:space="preserve">
</t>
    </r>
    <r>
      <rPr>
        <sz val="11"/>
        <color rgb="FF000000"/>
        <rFont val="Calibri"/>
      </rPr>
      <t>no synchronization</t>
    </r>
    <r>
      <rPr>
        <sz val="11"/>
        <color rgb="FF000000"/>
        <rFont val="Calibri"/>
      </rPr>
      <t xml:space="preserve">
</t>
    </r>
    <r>
      <rPr>
        <sz val="11"/>
        <color rgb="FF000000"/>
        <rFont val="Calibri"/>
      </rPr>
      <t>bgp log-neighbor-changes</t>
    </r>
    <r>
      <rPr>
        <sz val="11"/>
        <color rgb="FF000000"/>
        <rFont val="Calibri"/>
      </rPr>
      <t xml:space="preserve">
</t>
    </r>
    <r>
      <rPr>
        <sz val="11"/>
        <color rgb="FF000000"/>
        <rFont val="Calibri"/>
      </rPr>
      <t>neighbor x.1.1.9 remote-as yy</t>
    </r>
    <r>
      <rPr>
        <sz val="11"/>
        <color rgb="FF000000"/>
        <rFont val="Calibri"/>
      </rPr>
      <t xml:space="preserve">
</t>
    </r>
    <r>
      <rPr>
        <sz val="11"/>
        <color rgb="FF000000"/>
        <rFont val="Calibri"/>
      </rPr>
      <t>neighbor x.1.1.9 prefix-list PREFIX_FILTER in</t>
    </r>
    <r>
      <rPr>
        <sz val="11"/>
        <color rgb="FF000000"/>
        <rFont val="Calibri"/>
      </rPr>
      <t xml:space="preserve">
</t>
    </r>
    <r>
      <rPr>
        <sz val="11"/>
        <color rgb="FF000000"/>
        <rFont val="Calibri"/>
      </rPr>
      <t>neighbor x.2.1.7 remote-as zz</t>
    </r>
    <r>
      <rPr>
        <sz val="11"/>
        <color rgb="FF000000"/>
        <rFont val="Calibri"/>
      </rPr>
      <t xml:space="preserve">
</t>
    </r>
    <r>
      <rPr>
        <sz val="11"/>
        <color rgb="FF000000"/>
        <rFont val="Calibri"/>
      </rPr>
      <t>neighbor x.2.1.7 prefix-list PREFIX_FILTER in</t>
    </r>
    <r>
      <rPr>
        <sz val="11"/>
        <color rgb="FF000000"/>
        <rFont val="Calibri"/>
      </rPr>
      <t xml:space="preserve">
</t>
    </r>
    <r>
      <rPr>
        <sz val="11"/>
        <color rgb="FF000000"/>
        <rFont val="Calibri"/>
      </rPr>
      <t>If the switch is not configured to reject inbound route advertisements belonging to the local AS, this is a finding.</t>
    </r>
  </si>
  <si>
    <t>V-221025</t>
  </si>
  <si>
    <r>
      <rPr>
        <sz val="11"/>
        <rFont val="Calibri"/>
      </rPr>
      <t>The Cisco BGP switch must be configured to reject inbound route advertisements from a customer edge (CE) switch for prefixes that are not allocated to that customer.</t>
    </r>
  </si>
  <si>
    <r>
      <rPr>
        <sz val="11"/>
        <color rgb="FF000000"/>
        <rFont val="Calibri"/>
      </rPr>
      <t>Configure the switch to reject inbound route advertisements from each CE switch for prefixes that are not allocated to that customer.</t>
    </r>
    <r>
      <rPr>
        <sz val="11"/>
        <color rgb="FF000000"/>
        <rFont val="Calibri"/>
      </rPr>
      <t xml:space="preserve">
</t>
    </r>
    <r>
      <rPr>
        <sz val="11"/>
        <color rgb="FF000000"/>
        <rFont val="Calibri"/>
      </rPr>
      <t>Step 1: Configure a prefix list for each customer containing prefixes belonging to each.</t>
    </r>
    <r>
      <rPr>
        <sz val="11"/>
        <color rgb="FF000000"/>
        <rFont val="Calibri"/>
      </rPr>
      <t xml:space="preserve">
</t>
    </r>
    <r>
      <rPr>
        <sz val="11"/>
        <color rgb="FF000000"/>
        <rFont val="Calibri"/>
      </rPr>
      <t>SW1(config)#ip prefix-list PREFIX_FILTER_CUST1 permit x.13.1.0/24 le 32</t>
    </r>
    <r>
      <rPr>
        <sz val="11"/>
        <color rgb="FF000000"/>
        <rFont val="Calibri"/>
      </rPr>
      <t xml:space="preserve">
</t>
    </r>
    <r>
      <rPr>
        <sz val="11"/>
        <color rgb="FF000000"/>
        <rFont val="Calibri"/>
      </rPr>
      <t>SW1(config)#ip prefix-list PREFIX_FILTER_CUST1 deny 0.0.0.0/0 ge 8</t>
    </r>
    <r>
      <rPr>
        <sz val="11"/>
        <color rgb="FF000000"/>
        <rFont val="Calibri"/>
      </rPr>
      <t xml:space="preserve">
</t>
    </r>
    <r>
      <rPr>
        <sz val="11"/>
        <color rgb="FF000000"/>
        <rFont val="Calibri"/>
      </rPr>
      <t>SW1(config)#ip prefix-list PREFIX_FILTER_CUST2 permit x.13.2.0/24 le 32</t>
    </r>
    <r>
      <rPr>
        <sz val="11"/>
        <color rgb="FF000000"/>
        <rFont val="Calibri"/>
      </rPr>
      <t xml:space="preserve">
</t>
    </r>
    <r>
      <rPr>
        <sz val="11"/>
        <color rgb="FF000000"/>
        <rFont val="Calibri"/>
      </rPr>
      <t>SW1(config)#ip prefix-list PREFIX_FILTER_CUST2 deny 0.0.0.0/0 ge 8</t>
    </r>
    <r>
      <rPr>
        <sz val="11"/>
        <color rgb="FF000000"/>
        <rFont val="Calibri"/>
      </rPr>
      <t xml:space="preserve">
</t>
    </r>
    <r>
      <rPr>
        <sz val="11"/>
        <color rgb="FF000000"/>
        <rFont val="Calibri"/>
      </rPr>
      <t>Step 2: Apply the prefix list filter inbound to each CE neighbor as shown in the example.</t>
    </r>
    <r>
      <rPr>
        <sz val="11"/>
        <color rgb="FF000000"/>
        <rFont val="Calibri"/>
      </rPr>
      <t xml:space="preserve">
</t>
    </r>
    <r>
      <rPr>
        <sz val="11"/>
        <color rgb="FF000000"/>
        <rFont val="Calibri"/>
      </rPr>
      <t>SW1(config)#router bgp xx</t>
    </r>
    <r>
      <rPr>
        <sz val="11"/>
        <color rgb="FF000000"/>
        <rFont val="Calibri"/>
      </rPr>
      <t xml:space="preserve">
</t>
    </r>
    <r>
      <rPr>
        <sz val="11"/>
        <color rgb="FF000000"/>
        <rFont val="Calibri"/>
      </rPr>
      <t>SW1(config-switch)#neighbor x.12.4.14 prefix-list FILTER_PREFIXES_CUST1 in</t>
    </r>
    <r>
      <rPr>
        <sz val="11"/>
        <color rgb="FF000000"/>
        <rFont val="Calibri"/>
      </rPr>
      <t xml:space="preserve">
</t>
    </r>
    <r>
      <rPr>
        <sz val="11"/>
        <color rgb="FF000000"/>
        <rFont val="Calibri"/>
      </rPr>
      <t>SW1(config-switch)#neighbor x.12.4.16 prefix-list FILTER_PREFIXES_CUST2 in</t>
    </r>
  </si>
  <si>
    <r>
      <rPr>
        <sz val="11"/>
        <color rgb="FF000000"/>
        <rFont val="Calibri"/>
      </rPr>
      <t>As a best practice, a service provider should only accept customer prefixes that have been assigned to that customer and any peering autonomous systems. A multi-homed customer with BGP speaking switches connected to the Internet or other external networks could be breached and used to launch a prefix de-aggregation attack. Without ingress route filtering of customers, the effectiveness of such an attack could impact the entire IP core and its customers.</t>
    </r>
  </si>
  <si>
    <r>
      <rPr>
        <sz val="11"/>
        <color rgb="FF000000"/>
        <rFont val="Calibri"/>
      </rPr>
      <t xml:space="preserve">Review the switch configuration to verify that there are ACLs defined to only accept routes for prefixes that belong to specific customers. </t>
    </r>
    <r>
      <rPr>
        <sz val="11"/>
        <color rgb="FF000000"/>
        <rFont val="Calibri"/>
      </rPr>
      <t xml:space="preserve">
</t>
    </r>
    <r>
      <rPr>
        <sz val="11"/>
        <color rgb="FF000000"/>
        <rFont val="Calibri"/>
      </rPr>
      <t>Step 1: Verify prefix list has been configured for each customer containing prefixes belonging to each customer as shown in the example below:</t>
    </r>
    <r>
      <rPr>
        <sz val="11"/>
        <color rgb="FF000000"/>
        <rFont val="Calibri"/>
      </rPr>
      <t xml:space="preserve">
</t>
    </r>
    <r>
      <rPr>
        <sz val="11"/>
        <color rgb="FF000000"/>
        <rFont val="Calibri"/>
      </rPr>
      <t>ip prefix-list PREFIX_FILTER_CUST1 seq 5 permit x.13.1.0/24 le 32</t>
    </r>
    <r>
      <rPr>
        <sz val="11"/>
        <color rgb="FF000000"/>
        <rFont val="Calibri"/>
      </rPr>
      <t xml:space="preserve">
</t>
    </r>
    <r>
      <rPr>
        <sz val="11"/>
        <color rgb="FF000000"/>
        <rFont val="Calibri"/>
      </rPr>
      <t>ip prefix-list PREFIX_FILTER_CUST1 seq 10 deny 0.0.0.0/0 ge 8</t>
    </r>
    <r>
      <rPr>
        <sz val="11"/>
        <color rgb="FF000000"/>
        <rFont val="Calibri"/>
      </rPr>
      <t xml:space="preserve">
</t>
    </r>
    <r>
      <rPr>
        <sz val="11"/>
        <color rgb="FF000000"/>
        <rFont val="Calibri"/>
      </rPr>
      <t>ip prefix-list PREFIX_FILTER_CUST2 seq 5 permit x.13.2.0/24 le 32</t>
    </r>
    <r>
      <rPr>
        <sz val="11"/>
        <color rgb="FF000000"/>
        <rFont val="Calibri"/>
      </rPr>
      <t xml:space="preserve">
</t>
    </r>
    <r>
      <rPr>
        <sz val="11"/>
        <color rgb="FF000000"/>
        <rFont val="Calibri"/>
      </rPr>
      <t>ip prefix-list PREFIX_FILTER_CUST2 seq 10 deny 0.0.0.0/0 ge 8</t>
    </r>
    <r>
      <rPr>
        <sz val="11"/>
        <color rgb="FF000000"/>
        <rFont val="Calibri"/>
      </rPr>
      <t xml:space="preserve">
</t>
    </r>
    <r>
      <rPr>
        <sz val="11"/>
        <color rgb="FF000000"/>
        <rFont val="Calibri"/>
      </rPr>
      <t>Step 2: Verify that the prefix lists has been applied to all to the applicable CE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x.12.4.14 remote-as 64514</t>
    </r>
    <r>
      <rPr>
        <sz val="11"/>
        <color rgb="FF000000"/>
        <rFont val="Calibri"/>
      </rPr>
      <t xml:space="preserve">
</t>
    </r>
    <r>
      <rPr>
        <sz val="11"/>
        <color rgb="FF000000"/>
        <rFont val="Calibri"/>
      </rPr>
      <t xml:space="preserve"> neighbor x.12.4.14 prefix-list FILTER_PREFIXES_CUST1 in</t>
    </r>
    <r>
      <rPr>
        <sz val="11"/>
        <color rgb="FF000000"/>
        <rFont val="Calibri"/>
      </rPr>
      <t xml:space="preserve">
</t>
    </r>
    <r>
      <rPr>
        <sz val="11"/>
        <color rgb="FF000000"/>
        <rFont val="Calibri"/>
      </rPr>
      <t xml:space="preserve"> neighbor x.12.4.16 remote-as 64516</t>
    </r>
    <r>
      <rPr>
        <sz val="11"/>
        <color rgb="FF000000"/>
        <rFont val="Calibri"/>
      </rPr>
      <t xml:space="preserve">
</t>
    </r>
    <r>
      <rPr>
        <sz val="11"/>
        <color rgb="FF000000"/>
        <rFont val="Calibri"/>
      </rPr>
      <t xml:space="preserve"> neighbor x.12.4.16 prefix-list FILTER_PREFIXES_CUST2 in</t>
    </r>
    <r>
      <rPr>
        <sz val="11"/>
        <color rgb="FF000000"/>
        <rFont val="Calibri"/>
      </rPr>
      <t xml:space="preserve">
</t>
    </r>
    <r>
      <rPr>
        <sz val="11"/>
        <color rgb="FF000000"/>
        <rFont val="Calibri"/>
      </rPr>
      <t>Note: Routes to PE-CE links within a VPN are needed for troubleshooting end-to-end connectivity across the MPLS/IP backbone. Hence, these prefixes are an exception to this requirement.</t>
    </r>
    <r>
      <rPr>
        <sz val="11"/>
        <color rgb="FF000000"/>
        <rFont val="Calibri"/>
      </rPr>
      <t xml:space="preserve">
</t>
    </r>
    <r>
      <rPr>
        <sz val="11"/>
        <color rgb="FF000000"/>
        <rFont val="Calibri"/>
      </rPr>
      <t>If the switch is not configured to reject inbound route advertisements from each CE switch for prefixes that are not allocated to that customer, this is a finding.</t>
    </r>
  </si>
  <si>
    <t>V-221026</t>
  </si>
  <si>
    <r>
      <rPr>
        <sz val="11"/>
        <rFont val="Calibri"/>
      </rPr>
      <t>The Cisco BGP switch must be configured to reject outbound route advertisements for any prefixes that do not belong to any customers or the local autonomous system (AS).</t>
    </r>
  </si>
  <si>
    <r>
      <rPr>
        <sz val="11"/>
        <color rgb="FF000000"/>
        <rFont val="Calibri"/>
      </rPr>
      <t>Step 1: Configure a prefix list for containing all customer and local AS prefixes as shown in the example below:</t>
    </r>
    <r>
      <rPr>
        <sz val="11"/>
        <color rgb="FF000000"/>
        <rFont val="Calibri"/>
      </rPr>
      <t xml:space="preserve">
</t>
    </r>
    <r>
      <rPr>
        <sz val="11"/>
        <color rgb="FF000000"/>
        <rFont val="Calibri"/>
      </rPr>
      <t>SW1(config)#ip prefix-list CE_PREFIX_ADVERTISEMENTS permit x.13.1.0/24 le 32</t>
    </r>
    <r>
      <rPr>
        <sz val="11"/>
        <color rgb="FF000000"/>
        <rFont val="Calibri"/>
      </rPr>
      <t xml:space="preserve">
</t>
    </r>
    <r>
      <rPr>
        <sz val="11"/>
        <color rgb="FF000000"/>
        <rFont val="Calibri"/>
      </rPr>
      <t>SW1(config)#ip prefix-list CE_PREFIX_ADVERTISEMENTS permit x.13.2.0/24 le 32</t>
    </r>
    <r>
      <rPr>
        <sz val="11"/>
        <color rgb="FF000000"/>
        <rFont val="Calibri"/>
      </rPr>
      <t xml:space="preserve">
</t>
    </r>
    <r>
      <rPr>
        <sz val="11"/>
        <color rgb="FF000000"/>
        <rFont val="Calibri"/>
      </rPr>
      <t>SW1(config)#ip prefix-list CE_PREFIX_ADVERTISEMENTS permit x.13.3.0/24 le 32</t>
    </r>
    <r>
      <rPr>
        <sz val="11"/>
        <color rgb="FF000000"/>
        <rFont val="Calibri"/>
      </rPr>
      <t xml:space="preserve">
</t>
    </r>
    <r>
      <rPr>
        <sz val="11"/>
        <color rgb="FF000000"/>
        <rFont val="Calibri"/>
      </rPr>
      <t>SW1(config)#ip prefix-list CE_PREFIX_ADVERTISEMENTS permit x.13.4.0/24 le 32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SW1(config)#ip prefix-list CE_PREFIX_ADVERTISEMENTS deny 0.0.0.0/0 ge 8</t>
    </r>
    <r>
      <rPr>
        <sz val="11"/>
        <color rgb="FF000000"/>
        <rFont val="Calibri"/>
      </rPr>
      <t xml:space="preserve">
</t>
    </r>
    <r>
      <rPr>
        <sz val="11"/>
        <color rgb="FF000000"/>
        <rFont val="Calibri"/>
      </rPr>
      <t>Step 2: Apply the prefix list filter outbound to each CE neighbor as shown in the example.</t>
    </r>
    <r>
      <rPr>
        <sz val="11"/>
        <color rgb="FF000000"/>
        <rFont val="Calibri"/>
      </rPr>
      <t xml:space="preserve">
</t>
    </r>
    <r>
      <rPr>
        <sz val="11"/>
        <color rgb="FF000000"/>
        <rFont val="Calibri"/>
      </rPr>
      <t>SW1(config)#router bgp 64512</t>
    </r>
    <r>
      <rPr>
        <sz val="11"/>
        <color rgb="FF000000"/>
        <rFont val="Calibri"/>
      </rPr>
      <t xml:space="preserve">
</t>
    </r>
    <r>
      <rPr>
        <sz val="11"/>
        <color rgb="FF000000"/>
        <rFont val="Calibri"/>
      </rPr>
      <t>SW1(config-switch)#neighbor x.12.4.14 prefix-list CE_PREFIX_ADVERTISEMENTS out</t>
    </r>
    <r>
      <rPr>
        <sz val="11"/>
        <color rgb="FF000000"/>
        <rFont val="Calibri"/>
      </rPr>
      <t xml:space="preserve">
</t>
    </r>
    <r>
      <rPr>
        <sz val="11"/>
        <color rgb="FF000000"/>
        <rFont val="Calibri"/>
      </rPr>
      <t>SW1(config-switch)#neighbor x.12.4.16 prefix-list CE_PREFIX_ADVERTISEMENTS out</t>
    </r>
  </si>
  <si>
    <r>
      <rPr>
        <sz val="11"/>
        <color rgb="FF000000"/>
        <rFont val="Calibri"/>
      </rPr>
      <t>Advertisement of routes by an autonomous system for networks that do not belong to any of its customers pulls traffic away from the authorized network. This causes a denial of service (DoS) on the network that allocated the block of addresses and may cause a DoS on the network that is inadvertently advertising it as the originator. It is also possible that a misconfigured or compromised switch within the GIG IP core could redistribute Interior Gateway Protocol (IGP) routes into BGP, thereby leaking internal routes.</t>
    </r>
  </si>
  <si>
    <r>
      <rPr>
        <sz val="11"/>
        <color rgb="FF000000"/>
        <rFont val="Calibri"/>
      </rPr>
      <t>Step 1: Verify that a prefix list has been configured containing prefixes belonging to customers as well as the local AS as shown in the example below:</t>
    </r>
    <r>
      <rPr>
        <sz val="11"/>
        <color rgb="FF000000"/>
        <rFont val="Calibri"/>
      </rPr>
      <t xml:space="preserve">
</t>
    </r>
    <r>
      <rPr>
        <sz val="11"/>
        <color rgb="FF000000"/>
        <rFont val="Calibri"/>
      </rPr>
      <t>ip prefix-list CE_PREFIX_ADVERTISEMENTS seq 5 permit x.13.1.0/24 le 32</t>
    </r>
    <r>
      <rPr>
        <sz val="11"/>
        <color rgb="FF000000"/>
        <rFont val="Calibri"/>
      </rPr>
      <t xml:space="preserve">
</t>
    </r>
    <r>
      <rPr>
        <sz val="11"/>
        <color rgb="FF000000"/>
        <rFont val="Calibri"/>
      </rPr>
      <t>ip prefix-list CE_PREFIX_ADVERTISEMENTS seq 10 permit x.13.2.0/24 le 32</t>
    </r>
    <r>
      <rPr>
        <sz val="11"/>
        <color rgb="FF000000"/>
        <rFont val="Calibri"/>
      </rPr>
      <t xml:space="preserve">
</t>
    </r>
    <r>
      <rPr>
        <sz val="11"/>
        <color rgb="FF000000"/>
        <rFont val="Calibri"/>
      </rPr>
      <t>ip prefix-list CE_PREFIX_ADVERTISEMENTS seq 15 permit x.13.3.0/24 le 32</t>
    </r>
    <r>
      <rPr>
        <sz val="11"/>
        <color rgb="FF000000"/>
        <rFont val="Calibri"/>
      </rPr>
      <t xml:space="preserve">
</t>
    </r>
    <r>
      <rPr>
        <sz val="11"/>
        <color rgb="FF000000"/>
        <rFont val="Calibri"/>
      </rPr>
      <t>ip prefix-list CE_PREFIX_ADVERTISEMENTS seq 20 permit x.13.4.0/24 le 32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prefix-list CE_PREFIX_ADVERTISEMENTS seq 80 deny 0.0.0.0/0 ge 8</t>
    </r>
    <r>
      <rPr>
        <sz val="11"/>
        <color rgb="FF000000"/>
        <rFont val="Calibri"/>
      </rPr>
      <t xml:space="preserve">
</t>
    </r>
    <r>
      <rPr>
        <sz val="11"/>
        <color rgb="FF000000"/>
        <rFont val="Calibri"/>
      </rPr>
      <t>Step 2: Verify that the prefix lists has been applied to all CE peers as shown in the example below:</t>
    </r>
    <r>
      <rPr>
        <sz val="11"/>
        <color rgb="FF000000"/>
        <rFont val="Calibri"/>
      </rPr>
      <t xml:space="preserve">
</t>
    </r>
    <r>
      <rPr>
        <sz val="11"/>
        <color rgb="FF000000"/>
        <rFont val="Calibri"/>
      </rPr>
      <t>router bgp 64512</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x.12.4.14 remote-as 64514</t>
    </r>
    <r>
      <rPr>
        <sz val="11"/>
        <color rgb="FF000000"/>
        <rFont val="Calibri"/>
      </rPr>
      <t xml:space="preserve">
</t>
    </r>
    <r>
      <rPr>
        <sz val="11"/>
        <color rgb="FF000000"/>
        <rFont val="Calibri"/>
      </rPr>
      <t xml:space="preserve"> neighbor x.12.4.14 prefix-list CE_PREFIX_ADVERTISEMENTS out</t>
    </r>
    <r>
      <rPr>
        <sz val="11"/>
        <color rgb="FF000000"/>
        <rFont val="Calibri"/>
      </rPr>
      <t xml:space="preserve">
</t>
    </r>
    <r>
      <rPr>
        <sz val="11"/>
        <color rgb="FF000000"/>
        <rFont val="Calibri"/>
      </rPr>
      <t xml:space="preserve"> neighbor x.12.4.16 remote-as 64516</t>
    </r>
    <r>
      <rPr>
        <sz val="11"/>
        <color rgb="FF000000"/>
        <rFont val="Calibri"/>
      </rPr>
      <t xml:space="preserve">
</t>
    </r>
    <r>
      <rPr>
        <sz val="11"/>
        <color rgb="FF000000"/>
        <rFont val="Calibri"/>
      </rPr>
      <t xml:space="preserve"> neighbor x.12.4.16 prefix-list CE_PREFIX_ADVERTISEMENTS out</t>
    </r>
    <r>
      <rPr>
        <sz val="11"/>
        <color rgb="FF000000"/>
        <rFont val="Calibri"/>
      </rPr>
      <t xml:space="preserve">
</t>
    </r>
    <r>
      <rPr>
        <sz val="11"/>
        <color rgb="FF000000"/>
        <rFont val="Calibri"/>
      </rPr>
      <t>If the switch is not configured to reject outbound route advertisements that do not belong to any customers or the local AS, this is a finding.</t>
    </r>
  </si>
  <si>
    <t>V-221027</t>
  </si>
  <si>
    <r>
      <rPr>
        <sz val="11"/>
        <rFont val="Calibri"/>
      </rPr>
      <t>The Cisco BGP switch must be configured to reject outbound route advertisements for any prefixes belonging to the IP core.</t>
    </r>
  </si>
  <si>
    <r>
      <rPr>
        <sz val="11"/>
        <color rgb="FF000000"/>
        <rFont val="Calibri"/>
      </rPr>
      <t>Step 1: Configure a prefix list for containing all customer and local AS prefixes as shown in the example below:</t>
    </r>
    <r>
      <rPr>
        <sz val="11"/>
        <color rgb="FF000000"/>
        <rFont val="Calibri"/>
      </rPr>
      <t xml:space="preserve">
</t>
    </r>
    <r>
      <rPr>
        <sz val="11"/>
        <color rgb="FF000000"/>
        <rFont val="Calibri"/>
      </rPr>
      <t>R1(config)#ip prefix-list FILTER_CORE_PREFIXES deny x.1.1.0/24 le 32</t>
    </r>
    <r>
      <rPr>
        <sz val="11"/>
        <color rgb="FF000000"/>
        <rFont val="Calibri"/>
      </rPr>
      <t xml:space="preserve">
</t>
    </r>
    <r>
      <rPr>
        <sz val="11"/>
        <color rgb="FF000000"/>
        <rFont val="Calibri"/>
      </rPr>
      <t>R1(config)#ip prefix-list FILTER _CORE_PREFIXES deny x.1.2.0/24 le 32</t>
    </r>
    <r>
      <rPr>
        <sz val="11"/>
        <color rgb="FF000000"/>
        <rFont val="Calibri"/>
      </rPr>
      <t xml:space="preserve">
</t>
    </r>
    <r>
      <rPr>
        <sz val="11"/>
        <color rgb="FF000000"/>
        <rFont val="Calibri"/>
      </rPr>
      <t>R1(config)#ip prefix-list FILTER _CORE_PREFIXES permit 0.0.0.0/0 ge 8</t>
    </r>
    <r>
      <rPr>
        <sz val="11"/>
        <color rgb="FF000000"/>
        <rFont val="Calibri"/>
      </rPr>
      <t xml:space="preserve">
</t>
    </r>
    <r>
      <rPr>
        <sz val="11"/>
        <color rgb="FF000000"/>
        <rFont val="Calibri"/>
      </rPr>
      <t>Step 2: Apply the prefix list filter outbound to each CE neighbor as shown in the example.</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neighbor x.1.4.12 prefix-list FILTER _CORE_PREFIXES out</t>
    </r>
  </si>
  <si>
    <r>
      <rPr>
        <sz val="11"/>
        <color rgb="FF000000"/>
        <rFont val="Calibri"/>
      </rPr>
      <t>Outbound route advertisements belonging to the core can result in traffic either looping or being black holed, or at a minimum, using a nonoptimized path.</t>
    </r>
  </si>
  <si>
    <r>
      <rPr>
        <sz val="11"/>
        <color rgb="FF000000"/>
        <rFont val="Calibri"/>
      </rPr>
      <t>Step 1: Verify that a prefix list has been configured containing prefixes belonging to the IP core.</t>
    </r>
    <r>
      <rPr>
        <sz val="11"/>
        <color rgb="FF000000"/>
        <rFont val="Calibri"/>
      </rPr>
      <t xml:space="preserve">
</t>
    </r>
    <r>
      <rPr>
        <sz val="11"/>
        <color rgb="FF000000"/>
        <rFont val="Calibri"/>
      </rPr>
      <t>ip prefix-list FILTER_CORE_PREFIXES seq 5 deny x.1.1.0/24 le 32</t>
    </r>
    <r>
      <rPr>
        <sz val="11"/>
        <color rgb="FF000000"/>
        <rFont val="Calibri"/>
      </rPr>
      <t xml:space="preserve">
</t>
    </r>
    <r>
      <rPr>
        <sz val="11"/>
        <color rgb="FF000000"/>
        <rFont val="Calibri"/>
      </rPr>
      <t>ip prefix-list FILTER _CORE_PREFIXES seq 10 deny x.1.2.0/24 le 32</t>
    </r>
    <r>
      <rPr>
        <sz val="11"/>
        <color rgb="FF000000"/>
        <rFont val="Calibri"/>
      </rPr>
      <t xml:space="preserve">
</t>
    </r>
    <r>
      <rPr>
        <sz val="11"/>
        <color rgb="FF000000"/>
        <rFont val="Calibri"/>
      </rPr>
      <t>ip prefix-list FILTER _CORE_PREFIXES seq 15 permit 0.0.0.0/0 ge 8</t>
    </r>
    <r>
      <rPr>
        <sz val="11"/>
        <color rgb="FF000000"/>
        <rFont val="Calibri"/>
      </rPr>
      <t xml:space="preserve">
</t>
    </r>
    <r>
      <rPr>
        <sz val="11"/>
        <color rgb="FF000000"/>
        <rFont val="Calibri"/>
      </rPr>
      <t>Step 2: Verify that the prefix lists has been applied to all external BGP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neighbor x.1.4.12 remote-as yy</t>
    </r>
    <r>
      <rPr>
        <sz val="11"/>
        <color rgb="FF000000"/>
        <rFont val="Calibri"/>
      </rPr>
      <t xml:space="preserve">
</t>
    </r>
    <r>
      <rPr>
        <sz val="11"/>
        <color rgb="FF000000"/>
        <rFont val="Calibri"/>
      </rPr>
      <t xml:space="preserve"> address-family ipv4 </t>
    </r>
    <r>
      <rPr>
        <sz val="11"/>
        <color rgb="FF000000"/>
        <rFont val="Calibri"/>
      </rPr>
      <t xml:space="preserve">
</t>
    </r>
    <r>
      <rPr>
        <sz val="11"/>
        <color rgb="FF000000"/>
        <rFont val="Calibri"/>
      </rPr>
      <t xml:space="preserve">  neighbor x.1.4.12 prefix-list FILTER _CORE_PREFIXES out</t>
    </r>
    <r>
      <rPr>
        <sz val="11"/>
        <color rgb="FF000000"/>
        <rFont val="Calibri"/>
      </rPr>
      <t xml:space="preserve">
</t>
    </r>
    <r>
      <rPr>
        <sz val="11"/>
        <color rgb="FF000000"/>
        <rFont val="Calibri"/>
      </rPr>
      <t>If the switch is not configured to reject outbound route advertisements for prefixes belonging to the IP core, this is a finding.</t>
    </r>
  </si>
  <si>
    <t>V-221028</t>
  </si>
  <si>
    <r>
      <rPr>
        <sz val="11"/>
        <rFont val="Calibri"/>
      </rPr>
      <t>The Cisco BGP switch must be configured to reject route advertisements from BGP peers that do not list their autonomous system (AS) number as the first AS in the AS_PATH attribute.</t>
    </r>
  </si>
  <si>
    <r>
      <rPr>
        <sz val="11"/>
        <color rgb="FF000000"/>
        <rFont val="Calibri"/>
      </rPr>
      <t>Configure the switch to deny updates received from eBGP peers that do not list their AS number as the first AS in the AS_PATH attribute.</t>
    </r>
    <r>
      <rPr>
        <sz val="11"/>
        <color rgb="FF000000"/>
        <rFont val="Calibri"/>
      </rPr>
      <t xml:space="preserve">
</t>
    </r>
    <r>
      <rPr>
        <sz val="11"/>
        <color rgb="FF000000"/>
        <rFont val="Calibri"/>
      </rPr>
      <t>SW1(config)#router bgp xx</t>
    </r>
    <r>
      <rPr>
        <sz val="11"/>
        <color rgb="FF000000"/>
        <rFont val="Calibri"/>
      </rPr>
      <t xml:space="preserve">
</t>
    </r>
    <r>
      <rPr>
        <sz val="11"/>
        <color rgb="FF000000"/>
        <rFont val="Calibri"/>
      </rPr>
      <t>SW1(config-switch)#bgp enforce-first-as</t>
    </r>
  </si>
  <si>
    <r>
      <rPr>
        <sz val="11"/>
        <color rgb="FF000000"/>
        <rFont val="Calibri"/>
      </rPr>
      <t>Verifying the path a route has traversed will ensure the IP core is not used as a transit network for unauthorized or possibly even internet traffic. All autonomous system boundary switches (ASBRs) must ensure updates received from eBGP peers list their AS number as the first AS in the AS_PATH attribute.</t>
    </r>
  </si>
  <si>
    <r>
      <rPr>
        <sz val="11"/>
        <color rgb="FF000000"/>
        <rFont val="Calibri"/>
      </rPr>
      <t>Review the switch configuration to verify the switch is configured to deny updates received from eBGP peers that do not list their AS number as the first AS in the AS_PATH attribute.</t>
    </r>
    <r>
      <rPr>
        <sz val="11"/>
        <color rgb="FF000000"/>
        <rFont val="Calibri"/>
      </rPr>
      <t xml:space="preserve">
</t>
    </r>
    <r>
      <rPr>
        <sz val="11"/>
        <color rgb="FF000000"/>
        <rFont val="Calibri"/>
      </rPr>
      <t>By default, Cisco IOS enforces the first AS in the AS_PATH attribute for all route advertisements. Review the switch configuration to verify that the command no bgp enforce-first-as is not configured.</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no bgp enforce-first-as</t>
    </r>
    <r>
      <rPr>
        <sz val="11"/>
        <color rgb="FF000000"/>
        <rFont val="Calibri"/>
      </rPr>
      <t xml:space="preserve">
</t>
    </r>
    <r>
      <rPr>
        <sz val="11"/>
        <color rgb="FF000000"/>
        <rFont val="Calibri"/>
      </rPr>
      <t>If the switch is not configured to reject updates from peers that do not list their AS number as the first AS in the AS_PATH attribute, this is a finding.</t>
    </r>
  </si>
  <si>
    <t>V-221029</t>
  </si>
  <si>
    <r>
      <rPr>
        <sz val="11"/>
        <rFont val="Calibri"/>
      </rPr>
      <t>The Cisco BGP switch must be configured to reject route advertisements from CE switches with an originating AS in the AS_PATH attribute that does not belong to that customer.</t>
    </r>
  </si>
  <si>
    <r>
      <rPr>
        <sz val="11"/>
        <color rgb="FF000000"/>
        <rFont val="Calibri"/>
      </rPr>
      <t>Configure the switch to reject updates from CE switches with an originating AS in the AS_PATH attribute that does not belong to that customer.</t>
    </r>
    <r>
      <rPr>
        <sz val="11"/>
        <color rgb="FF000000"/>
        <rFont val="Calibri"/>
      </rPr>
      <t xml:space="preserve">
</t>
    </r>
    <r>
      <rPr>
        <sz val="11"/>
        <color rgb="FF000000"/>
        <rFont val="Calibri"/>
      </rPr>
      <t>Step 1: Configure the as-path ACL as shown in the example below:</t>
    </r>
    <r>
      <rPr>
        <sz val="11"/>
        <color rgb="FF000000"/>
        <rFont val="Calibri"/>
      </rPr>
      <t xml:space="preserve">
</t>
    </r>
    <r>
      <rPr>
        <sz val="11"/>
        <color rgb="FF000000"/>
        <rFont val="Calibri"/>
      </rPr>
      <t>SW1(config)#ip as-path access-list 10 permit ^yy$</t>
    </r>
    <r>
      <rPr>
        <sz val="11"/>
        <color rgb="FF000000"/>
        <rFont val="Calibri"/>
      </rPr>
      <t xml:space="preserve">
</t>
    </r>
    <r>
      <rPr>
        <sz val="11"/>
        <color rgb="FF000000"/>
        <rFont val="Calibri"/>
      </rPr>
      <t>SW1(config)#ip as-path access-list 10 deny .*</t>
    </r>
    <r>
      <rPr>
        <sz val="11"/>
        <color rgb="FF000000"/>
        <rFont val="Calibri"/>
      </rPr>
      <t xml:space="preserve">
</t>
    </r>
    <r>
      <rPr>
        <sz val="11"/>
        <color rgb="FF000000"/>
        <rFont val="Calibri"/>
      </rPr>
      <t>Step 2: Apply the as-path filter inbound as shown in the example below:</t>
    </r>
    <r>
      <rPr>
        <sz val="11"/>
        <color rgb="FF000000"/>
        <rFont val="Calibri"/>
      </rPr>
      <t xml:space="preserve">
</t>
    </r>
    <r>
      <rPr>
        <sz val="11"/>
        <color rgb="FF000000"/>
        <rFont val="Calibri"/>
      </rPr>
      <t>SW1(config)#router bgp xx</t>
    </r>
    <r>
      <rPr>
        <sz val="11"/>
        <color rgb="FF000000"/>
        <rFont val="Calibri"/>
      </rPr>
      <t xml:space="preserve">
</t>
    </r>
    <r>
      <rPr>
        <sz val="11"/>
        <color rgb="FF000000"/>
        <rFont val="Calibri"/>
      </rPr>
      <t>SW1(config-switch)#neighbor x.1.4.12 filter-list 10 in</t>
    </r>
  </si>
  <si>
    <r>
      <rPr>
        <sz val="11"/>
        <color rgb="FF000000"/>
        <rFont val="Calibri"/>
      </rPr>
      <t>Verifying the path a route has traversed will ensure that the local AS is not used as a transit network for unauthorized traffic. To ensure that the local AS does not carry any prefixes that do not belong to any customers, all PE switches must be configured to reject routes with an originating AS other than that belonging to the customer.</t>
    </r>
  </si>
  <si>
    <r>
      <rPr>
        <sz val="11"/>
        <color rgb="FF000000"/>
        <rFont val="Calibri"/>
      </rPr>
      <t>Review the switch configuration to verify the switch is configured to deny updates received from CE switches with an originating AS in the AS_PATH attribute that does not belong to that customer.</t>
    </r>
    <r>
      <rPr>
        <sz val="11"/>
        <color rgb="FF000000"/>
        <rFont val="Calibri"/>
      </rPr>
      <t xml:space="preserve">
</t>
    </r>
    <r>
      <rPr>
        <sz val="11"/>
        <color rgb="FF000000"/>
        <rFont val="Calibri"/>
      </rPr>
      <t>Step 1: Review switch configuration and verify that there is an as-path access-list statement defined to only accept routes from a CE switch whose AS did not originate the route. The configuration should look similar to the following:</t>
    </r>
    <r>
      <rPr>
        <sz val="11"/>
        <color rgb="FF000000"/>
        <rFont val="Calibri"/>
      </rPr>
      <t xml:space="preserve">
</t>
    </r>
    <r>
      <rPr>
        <sz val="11"/>
        <color rgb="FF000000"/>
        <rFont val="Calibri"/>
      </rPr>
      <t>ip as-path access-list 10 permit ^yy$</t>
    </r>
    <r>
      <rPr>
        <sz val="11"/>
        <color rgb="FF000000"/>
        <rFont val="Calibri"/>
      </rPr>
      <t xml:space="preserve">
</t>
    </r>
    <r>
      <rPr>
        <sz val="11"/>
        <color rgb="FF000000"/>
        <rFont val="Calibri"/>
      </rPr>
      <t>ip as-path access-list 10 deny .*</t>
    </r>
    <r>
      <rPr>
        <sz val="11"/>
        <color rgb="FF000000"/>
        <rFont val="Calibri"/>
      </rPr>
      <t xml:space="preserve">
</t>
    </r>
    <r>
      <rPr>
        <sz val="11"/>
        <color rgb="FF000000"/>
        <rFont val="Calibri"/>
      </rPr>
      <t>Note: The characters “^” and “$” representing the beginning and the end of the expression respectively are optional and are implicitly defined if omitted.</t>
    </r>
    <r>
      <rPr>
        <sz val="11"/>
        <color rgb="FF000000"/>
        <rFont val="Calibri"/>
      </rPr>
      <t xml:space="preserve">
</t>
    </r>
    <r>
      <rPr>
        <sz val="11"/>
        <color rgb="FF000000"/>
        <rFont val="Calibri"/>
      </rPr>
      <t>Step 2: Verify that the as-path access-list is referenced by the filter-list inbound for the appropriate BGP neighbors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neighbor x.1.4.12 remote-as yy</t>
    </r>
    <r>
      <rPr>
        <sz val="11"/>
        <color rgb="FF000000"/>
        <rFont val="Calibri"/>
      </rPr>
      <t xml:space="preserve">
</t>
    </r>
    <r>
      <rPr>
        <sz val="11"/>
        <color rgb="FF000000"/>
        <rFont val="Calibri"/>
      </rPr>
      <t>neighbor x.1.4.12 filter-list 10 in</t>
    </r>
    <r>
      <rPr>
        <sz val="11"/>
        <color rgb="FF000000"/>
        <rFont val="Calibri"/>
      </rPr>
      <t xml:space="preserve">
</t>
    </r>
    <r>
      <rPr>
        <sz val="11"/>
        <color rgb="FF000000"/>
        <rFont val="Calibri"/>
      </rPr>
      <t>If the switch is not configured to reject updates from CE switches with an originating AS in the AS_PATH attribute that does not belong to that customer, this is a finding.</t>
    </r>
  </si>
  <si>
    <t>V-221030</t>
  </si>
  <si>
    <r>
      <rPr>
        <sz val="11"/>
        <rFont val="Calibri"/>
      </rPr>
      <t>The Cisco BGP switch must be configured to use the maximum prefixes feature to protect against route table flooding and prefix de-aggregation attacks.</t>
    </r>
  </si>
  <si>
    <r>
      <rPr>
        <sz val="11"/>
        <color rgb="FF000000"/>
        <rFont val="Calibri"/>
      </rPr>
      <t>Configure the switch to use the maximum prefixes feature to protect against route table flooding and prefix de-aggregation attacks as shown in the example below:</t>
    </r>
    <r>
      <rPr>
        <sz val="11"/>
        <color rgb="FF000000"/>
        <rFont val="Calibri"/>
      </rPr>
      <t xml:space="preserve">
</t>
    </r>
    <r>
      <rPr>
        <sz val="11"/>
        <color rgb="FF000000"/>
        <rFont val="Calibri"/>
      </rPr>
      <t>SW1(config)#router bgp xx</t>
    </r>
    <r>
      <rPr>
        <sz val="11"/>
        <color rgb="FF000000"/>
        <rFont val="Calibri"/>
      </rPr>
      <t xml:space="preserve">
</t>
    </r>
    <r>
      <rPr>
        <sz val="11"/>
        <color rgb="FF000000"/>
        <rFont val="Calibri"/>
      </rPr>
      <t>SW1(config-switch)#neighbor x.1.1.9 maximum-prefix nnnnnnn</t>
    </r>
    <r>
      <rPr>
        <sz val="11"/>
        <color rgb="FF000000"/>
        <rFont val="Calibri"/>
      </rPr>
      <t xml:space="preserve">
</t>
    </r>
    <r>
      <rPr>
        <sz val="11"/>
        <color rgb="FF000000"/>
        <rFont val="Calibri"/>
      </rPr>
      <t>SW1(config-switch)#neighbor x.2.1.7 maximum-prefix nnnnnnn</t>
    </r>
  </si>
  <si>
    <r>
      <rPr>
        <sz val="11"/>
        <color rgb="FF000000"/>
        <rFont val="Calibri"/>
      </rPr>
      <t>The effects of prefix de-aggregation can degrade switch performance due to the size of routing tables and also result in black-holing legitimate traffic. Initiated by an attacker or a misconfigured switch, prefix de-aggregation occurs when the announcement of a large prefix is fragmented into a collection of smaller prefix announcements.</t>
    </r>
    <r>
      <rPr>
        <sz val="11"/>
        <color rgb="FF000000"/>
        <rFont val="Calibri"/>
      </rPr>
      <t xml:space="preserve">
</t>
    </r>
    <r>
      <rPr>
        <sz val="11"/>
        <color rgb="FF000000"/>
        <rFont val="Calibri"/>
      </rPr>
      <t>In 1997, misconfigured switches in the Florida Internet Exchange network (AS7007) de-aggregated every prefix in their routing table and started advertising the first /24 block of each of these prefixes as their own. Faced with this additional burden, the internal switches became overloaded and crashed repeatedly. This caused prefixes advertised by these switches to disappear from routing tables and reappear when the switches came back online. As the switches came back after crashing, they were flooded with the routing table information by their neighbors. The flood of information would again overwhelm the switches and cause them to crash. This process of route flapping served to destabilize not only the surrounding network but also the entire Internet. Switches trying to reach those addresses would choose the smaller, more specific /24 blocks first. This caused backbone networks throughout North America and Europe to crash.</t>
    </r>
    <r>
      <rPr>
        <sz val="11"/>
        <color rgb="FF000000"/>
        <rFont val="Calibri"/>
      </rPr>
      <t xml:space="preserve">
</t>
    </r>
    <r>
      <rPr>
        <sz val="11"/>
        <color rgb="FF000000"/>
        <rFont val="Calibri"/>
      </rPr>
      <t>Maximum prefix limits on peer connections combined with aggressive prefix-size filtering of customers' reachability advertisements will effectively mitigate the de-aggregation risk. BGP maximum prefix must be used on all eBGP switches to limit the number of prefixes that it should receive from a particular neighbor, whether customer or peering AS. Consider each neighbor and how many routes they should be advertising and set a threshold slightly higher than the number expected.</t>
    </r>
  </si>
  <si>
    <r>
      <rPr>
        <sz val="11"/>
        <color rgb="FF000000"/>
        <rFont val="Calibri"/>
      </rPr>
      <t>Review the switch configuration to verify that the number of received prefixes from each eBGP neighbor is controlled.</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neighbor x.1.1.9 remote-as yy</t>
    </r>
    <r>
      <rPr>
        <sz val="11"/>
        <color rgb="FF000000"/>
        <rFont val="Calibri"/>
      </rPr>
      <t xml:space="preserve">
</t>
    </r>
    <r>
      <rPr>
        <sz val="11"/>
        <color rgb="FF000000"/>
        <rFont val="Calibri"/>
      </rPr>
      <t>neighbor x.1.1.9 maximum-prefix nnnnnnn</t>
    </r>
    <r>
      <rPr>
        <sz val="11"/>
        <color rgb="FF000000"/>
        <rFont val="Calibri"/>
      </rPr>
      <t xml:space="preserve">
</t>
    </r>
    <r>
      <rPr>
        <sz val="11"/>
        <color rgb="FF000000"/>
        <rFont val="Calibri"/>
      </rPr>
      <t>neighbor x.2.1.7 remote-as zz</t>
    </r>
    <r>
      <rPr>
        <sz val="11"/>
        <color rgb="FF000000"/>
        <rFont val="Calibri"/>
      </rPr>
      <t xml:space="preserve">
</t>
    </r>
    <r>
      <rPr>
        <sz val="11"/>
        <color rgb="FF000000"/>
        <rFont val="Calibri"/>
      </rPr>
      <t xml:space="preserve"> neighbor x.2.1.7 maximum-prefix nnnnnnn</t>
    </r>
    <r>
      <rPr>
        <sz val="11"/>
        <color rgb="FF000000"/>
        <rFont val="Calibri"/>
      </rPr>
      <t xml:space="preserve">
</t>
    </r>
    <r>
      <rPr>
        <sz val="11"/>
        <color rgb="FF000000"/>
        <rFont val="Calibri"/>
      </rPr>
      <t>If the switch is not configured to control the number of prefixes received from each peer to protect against route table flooding and prefix de-aggregation attacks, this is a finding.</t>
    </r>
  </si>
  <si>
    <t>V-221031</t>
  </si>
  <si>
    <r>
      <rPr>
        <sz val="11"/>
        <rFont val="Calibri"/>
      </rPr>
      <t>The Cisco BGP switch must be configured to limit the prefix size on any inbound route advertisement to /24, or the least significant prefixes issued to the customer.</t>
    </r>
  </si>
  <si>
    <r>
      <rPr>
        <sz val="11"/>
        <color rgb="FF000000"/>
        <rFont val="Calibri"/>
      </rPr>
      <t>Configure the switch to limit the prefix size on any route advertisement to /24, or the least significant prefixes issued to the customer.</t>
    </r>
    <r>
      <rPr>
        <sz val="11"/>
        <color rgb="FF000000"/>
        <rFont val="Calibri"/>
      </rPr>
      <t xml:space="preserve">
</t>
    </r>
    <r>
      <rPr>
        <sz val="11"/>
        <color rgb="FF000000"/>
        <rFont val="Calibri"/>
      </rPr>
      <t>Step 1: Configure a prefix list to reject any prefix that is longer than /24.</t>
    </r>
    <r>
      <rPr>
        <sz val="11"/>
        <color rgb="FF000000"/>
        <rFont val="Calibri"/>
      </rPr>
      <t xml:space="preserve">
</t>
    </r>
    <r>
      <rPr>
        <sz val="11"/>
        <color rgb="FF000000"/>
        <rFont val="Calibri"/>
      </rPr>
      <t>SW1(config)#ip prefix-list FILTER_PREFIX_LENGTH permit 0.0.0.0/0 ge 8 le 24</t>
    </r>
    <r>
      <rPr>
        <sz val="11"/>
        <color rgb="FF000000"/>
        <rFont val="Calibri"/>
      </rPr>
      <t xml:space="preserve">
</t>
    </r>
    <r>
      <rPr>
        <sz val="11"/>
        <color rgb="FF000000"/>
        <rFont val="Calibri"/>
      </rPr>
      <t>SW1(config)#ip prefix-list FILTER_PREFIX_LENGTH deny 0.0.0.0/0 le 32</t>
    </r>
    <r>
      <rPr>
        <sz val="11"/>
        <color rgb="FF000000"/>
        <rFont val="Calibri"/>
      </rPr>
      <t xml:space="preserve">
</t>
    </r>
    <r>
      <rPr>
        <sz val="11"/>
        <color rgb="FF000000"/>
        <rFont val="Calibri"/>
      </rPr>
      <t>Step 2: Apply the prefix list to all eBGP peers as shown in the example below:</t>
    </r>
    <r>
      <rPr>
        <sz val="11"/>
        <color rgb="FF000000"/>
        <rFont val="Calibri"/>
      </rPr>
      <t xml:space="preserve">
</t>
    </r>
    <r>
      <rPr>
        <sz val="11"/>
        <color rgb="FF000000"/>
        <rFont val="Calibri"/>
      </rPr>
      <t>SW1(config)#router bgp xx</t>
    </r>
    <r>
      <rPr>
        <sz val="11"/>
        <color rgb="FF000000"/>
        <rFont val="Calibri"/>
      </rPr>
      <t xml:space="preserve">
</t>
    </r>
    <r>
      <rPr>
        <sz val="11"/>
        <color rgb="FF000000"/>
        <rFont val="Calibri"/>
      </rPr>
      <t>SW1(config-switch)#neighbor x.1.1.9 prefix-list FILTER_PREFIX_LENGTH in</t>
    </r>
    <r>
      <rPr>
        <sz val="11"/>
        <color rgb="FF000000"/>
        <rFont val="Calibri"/>
      </rPr>
      <t xml:space="preserve">
</t>
    </r>
    <r>
      <rPr>
        <sz val="11"/>
        <color rgb="FF000000"/>
        <rFont val="Calibri"/>
      </rPr>
      <t>SW1(config-switch)#neighbor x.2.1.7 prefix-list FILTER_PREFIX_LENGTH in</t>
    </r>
  </si>
  <si>
    <r>
      <rPr>
        <sz val="11"/>
        <color rgb="FF000000"/>
        <rFont val="Calibri"/>
      </rPr>
      <t>The effects of prefix de-aggregation can degrade switch performance due to the size of routing tables and also result in black-holing legitimate traffic. Initiated by an attacker or a misconfigured switch, prefix de-aggregation occurs when the announcement of a large prefix is fragmented into a collection of smaller prefix announcements.</t>
    </r>
  </si>
  <si>
    <r>
      <rPr>
        <sz val="11"/>
        <color rgb="FF000000"/>
        <rFont val="Calibri"/>
      </rPr>
      <t>Review the switch configuration to determine if it is compliant with this requirement.</t>
    </r>
    <r>
      <rPr>
        <sz val="11"/>
        <color rgb="FF000000"/>
        <rFont val="Calibri"/>
      </rPr>
      <t xml:space="preserve">
</t>
    </r>
    <r>
      <rPr>
        <sz val="11"/>
        <color rgb="FF000000"/>
        <rFont val="Calibri"/>
      </rPr>
      <t>Step 1: Verify that a route filter has been configured to reject prefixes longer than /24, or the least significant prefixes issued to the customers as shown in the example below:</t>
    </r>
    <r>
      <rPr>
        <sz val="11"/>
        <color rgb="FF000000"/>
        <rFont val="Calibri"/>
      </rPr>
      <t xml:space="preserve">
</t>
    </r>
    <r>
      <rPr>
        <sz val="11"/>
        <color rgb="FF000000"/>
        <rFont val="Calibri"/>
      </rPr>
      <t>ip prefix-list FILTER_PREFIX_LENGTH seq 5 permit 0.0.0.0/0 ge 8 le 24</t>
    </r>
    <r>
      <rPr>
        <sz val="11"/>
        <color rgb="FF000000"/>
        <rFont val="Calibri"/>
      </rPr>
      <t xml:space="preserve">
</t>
    </r>
    <r>
      <rPr>
        <sz val="11"/>
        <color rgb="FF000000"/>
        <rFont val="Calibri"/>
      </rPr>
      <t>ip prefix-list FILTER_PREFIX_LENGTH seq 10 deny 0.0.0.0/0 le 32</t>
    </r>
    <r>
      <rPr>
        <sz val="11"/>
        <color rgb="FF000000"/>
        <rFont val="Calibri"/>
      </rPr>
      <t xml:space="preserve">
</t>
    </r>
    <r>
      <rPr>
        <sz val="11"/>
        <color rgb="FF000000"/>
        <rFont val="Calibri"/>
      </rPr>
      <t>Step 2: Verify that prefix filtering has been applied to each eBGP peer as shown in the example:</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neighbor x.1.1.9 remote-as yy</t>
    </r>
    <r>
      <rPr>
        <sz val="11"/>
        <color rgb="FF000000"/>
        <rFont val="Calibri"/>
      </rPr>
      <t xml:space="preserve">
</t>
    </r>
    <r>
      <rPr>
        <sz val="11"/>
        <color rgb="FF000000"/>
        <rFont val="Calibri"/>
      </rPr>
      <t xml:space="preserve"> neighbor x.1.1.9 prefix-list FILTER_PREFIX_LENGTH in</t>
    </r>
    <r>
      <rPr>
        <sz val="11"/>
        <color rgb="FF000000"/>
        <rFont val="Calibri"/>
      </rPr>
      <t xml:space="preserve">
</t>
    </r>
    <r>
      <rPr>
        <sz val="11"/>
        <color rgb="FF000000"/>
        <rFont val="Calibri"/>
      </rPr>
      <t xml:space="preserve"> neighbor x.2.1.7 remote-as zz</t>
    </r>
    <r>
      <rPr>
        <sz val="11"/>
        <color rgb="FF000000"/>
        <rFont val="Calibri"/>
      </rPr>
      <t xml:space="preserve">
</t>
    </r>
    <r>
      <rPr>
        <sz val="11"/>
        <color rgb="FF000000"/>
        <rFont val="Calibri"/>
      </rPr>
      <t xml:space="preserve"> neighbor x.2.1.7 prefix-list FILTER_PREFIX_LENGTH in</t>
    </r>
    <r>
      <rPr>
        <sz val="11"/>
        <color rgb="FF000000"/>
        <rFont val="Calibri"/>
      </rPr>
      <t xml:space="preserve">
</t>
    </r>
    <r>
      <rPr>
        <sz val="11"/>
        <color rgb="FF000000"/>
        <rFont val="Calibri"/>
      </rPr>
      <t>If the switch is not configured to limit the prefix size on any inbound route advertisement to /24, or the least significant prefixes issued to the customer, this is a finding.</t>
    </r>
  </si>
  <si>
    <t>V-221032</t>
  </si>
  <si>
    <r>
      <rPr>
        <sz val="11"/>
        <rFont val="Calibri"/>
      </rPr>
      <t>The Cisco BGP switch must be configured to use its loopback address as the source address for iBGP peering sessions.</t>
    </r>
  </si>
  <si>
    <r>
      <rPr>
        <sz val="11"/>
        <color rgb="FF000000"/>
        <rFont val="Calibri"/>
      </rPr>
      <t>Configure the switch to use its loopback address as the source address for all iBGP peering.</t>
    </r>
    <r>
      <rPr>
        <sz val="11"/>
        <color rgb="FF000000"/>
        <rFont val="Calibri"/>
      </rPr>
      <t xml:space="preserve">
</t>
    </r>
    <r>
      <rPr>
        <sz val="11"/>
        <color rgb="FF000000"/>
        <rFont val="Calibri"/>
      </rPr>
      <t>SW1(config)#router bgp xx</t>
    </r>
    <r>
      <rPr>
        <sz val="11"/>
        <color rgb="FF000000"/>
        <rFont val="Calibri"/>
      </rPr>
      <t xml:space="preserve">
</t>
    </r>
    <r>
      <rPr>
        <sz val="11"/>
        <color rgb="FF000000"/>
        <rFont val="Calibri"/>
      </rPr>
      <t>SW1(config-switch)#neighbor 10.1.1.1 update-source Loopback0</t>
    </r>
  </si>
  <si>
    <r>
      <rPr>
        <sz val="11"/>
        <color rgb="FF000000"/>
        <rFont val="Calibri"/>
      </rPr>
      <t>Using a loopback address as the source address offers a multitude of uses for security, access, management, and scalability of the BGP switches. It is easier to construct appropriate ingress filters for switch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switch’s loopback address instead of the numerous physical interface addresses.</t>
    </r>
    <r>
      <rPr>
        <sz val="11"/>
        <color rgb="FF000000"/>
        <rFont val="Calibri"/>
      </rPr>
      <t xml:space="preserve">
</t>
    </r>
    <r>
      <rPr>
        <sz val="11"/>
        <color rgb="FF000000"/>
        <rFont val="Calibri"/>
      </rPr>
      <t>When the loopback address is used as the source for eBGP peering, the BGP session will be harder to hijack since the source address to be used is not known globally, making it more difficult for a hacker to spoof an eBGP neighbor. By using traceroute, a hacker can easily determine the addresses for an eBGP speaker when the IP address of an external interface is used as the source address. The switches within the iBGP domain should also use loopback addresses as the source address when establishing BGP sessions.</t>
    </r>
  </si>
  <si>
    <r>
      <rPr>
        <sz val="11"/>
        <color rgb="FF000000"/>
        <rFont val="Calibri"/>
      </rPr>
      <t>Step 1: Review the switch configuration to verify that a loopback address has been configured.</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 xml:space="preserve"> ip address 10.1.1.1 255.255.255.255</t>
    </r>
    <r>
      <rPr>
        <sz val="11"/>
        <color rgb="FF000000"/>
        <rFont val="Calibri"/>
      </rPr>
      <t xml:space="preserve">
</t>
    </r>
    <r>
      <rPr>
        <sz val="11"/>
        <color rgb="FF000000"/>
        <rFont val="Calibri"/>
      </rPr>
      <t>Step 2: Verify that the loopback interface is used as the source address for all iBGP sessions.</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no synchronization</t>
    </r>
    <r>
      <rPr>
        <sz val="11"/>
        <color rgb="FF000000"/>
        <rFont val="Calibri"/>
      </rPr>
      <t xml:space="preserve">
</t>
    </r>
    <r>
      <rPr>
        <sz val="11"/>
        <color rgb="FF000000"/>
        <rFont val="Calibri"/>
      </rPr>
      <t xml:space="preserve"> no bgp enforce-first-as</t>
    </r>
    <r>
      <rPr>
        <sz val="11"/>
        <color rgb="FF000000"/>
        <rFont val="Calibri"/>
      </rPr>
      <t xml:space="preserve">
</t>
    </r>
    <r>
      <rPr>
        <sz val="11"/>
        <color rgb="FF000000"/>
        <rFont val="Calibri"/>
      </rPr>
      <t xml:space="preserve"> bgp log-neighbor-changes</t>
    </r>
    <r>
      <rPr>
        <sz val="11"/>
        <color rgb="FF000000"/>
        <rFont val="Calibri"/>
      </rPr>
      <t xml:space="preserve">
</t>
    </r>
    <r>
      <rPr>
        <sz val="11"/>
        <color rgb="FF000000"/>
        <rFont val="Calibri"/>
      </rPr>
      <t xml:space="preserve"> redistribute static</t>
    </r>
    <r>
      <rPr>
        <sz val="11"/>
        <color rgb="FF000000"/>
        <rFont val="Calibri"/>
      </rPr>
      <t xml:space="preserve">
</t>
    </r>
    <r>
      <rPr>
        <sz val="11"/>
        <color rgb="FF000000"/>
        <rFont val="Calibri"/>
      </rPr>
      <t xml:space="preserve"> neighbor 10.1.1.1 remote-as xx</t>
    </r>
    <r>
      <rPr>
        <sz val="11"/>
        <color rgb="FF000000"/>
        <rFont val="Calibri"/>
      </rPr>
      <t xml:space="preserve">
</t>
    </r>
    <r>
      <rPr>
        <sz val="11"/>
        <color rgb="FF000000"/>
        <rFont val="Calibri"/>
      </rPr>
      <t xml:space="preserve"> neighbor 10.1.1.1 password xxxxxxxx</t>
    </r>
    <r>
      <rPr>
        <sz val="11"/>
        <color rgb="FF000000"/>
        <rFont val="Calibri"/>
      </rPr>
      <t xml:space="preserve">
</t>
    </r>
    <r>
      <rPr>
        <sz val="11"/>
        <color rgb="FF000000"/>
        <rFont val="Calibri"/>
      </rPr>
      <t xml:space="preserve"> neighbor 10.1.1.1 update-source Loopback0</t>
    </r>
    <r>
      <rPr>
        <sz val="11"/>
        <color rgb="FF000000"/>
        <rFont val="Calibri"/>
      </rPr>
      <t xml:space="preserve">
</t>
    </r>
    <r>
      <rPr>
        <sz val="11"/>
        <color rgb="FF000000"/>
        <rFont val="Calibri"/>
      </rPr>
      <t>If the switch does not use its loopback address as the source address for all iBGP sessions, this is a finding.</t>
    </r>
  </si>
  <si>
    <t>V-221033</t>
  </si>
  <si>
    <r>
      <rPr>
        <sz val="11"/>
        <rFont val="Calibri"/>
      </rPr>
      <t>The Cisco MPLS switch must be configured to use its loopback address as the source address for LDP peering sessions.</t>
    </r>
  </si>
  <si>
    <r>
      <rPr>
        <sz val="11"/>
        <color rgb="FF000000"/>
        <rFont val="Calibri"/>
      </rPr>
      <t xml:space="preserve">Configure the switch to use their loopback address as the source address for LDP peering sessions. As noted in the check content, the default behavior is to use its loopback address. </t>
    </r>
    <r>
      <rPr>
        <sz val="11"/>
        <color rgb="FF000000"/>
        <rFont val="Calibri"/>
      </rPr>
      <t xml:space="preserve">
</t>
    </r>
    <r>
      <rPr>
        <sz val="11"/>
        <color rgb="FF000000"/>
        <rFont val="Calibri"/>
      </rPr>
      <t>SW1(config)#mpls ldp router-id lo0</t>
    </r>
  </si>
  <si>
    <r>
      <rPr>
        <sz val="11"/>
        <color rgb="FF000000"/>
        <rFont val="Calibri"/>
      </rPr>
      <t>Using a loopback address as the source address offers a multitude of uses for security, access, management, and scalability of backbone switches. It is easier to construct appropriate ingress filters for switch management plane traffic destined to the network management subnet since the source addresses will be from the range used for loopback interfaces instead of from a larger range of addresses used for physical interfaces. Log information recorded by authentication and syslog servers will record the switch's loopback address instead of the numerous physical interface addresses.</t>
    </r>
  </si>
  <si>
    <r>
      <rPr>
        <sz val="11"/>
        <color rgb="FF000000"/>
        <rFont val="Calibri"/>
      </rPr>
      <t>Review the switch configuration to determine if it is compliant with this requirement.</t>
    </r>
    <r>
      <rPr>
        <sz val="11"/>
        <color rgb="FF000000"/>
        <rFont val="Calibri"/>
      </rPr>
      <t xml:space="preserve">
</t>
    </r>
    <r>
      <rPr>
        <sz val="11"/>
        <color rgb="FF000000"/>
        <rFont val="Calibri"/>
      </rPr>
      <t>Verify that a loopback address has been configured as shown in the example below:</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 xml:space="preserve"> ip address 10.1.1.1 255.255.255.255</t>
    </r>
    <r>
      <rPr>
        <sz val="11"/>
        <color rgb="FF000000"/>
        <rFont val="Calibri"/>
      </rPr>
      <t xml:space="preserve">
</t>
    </r>
    <r>
      <rPr>
        <sz val="11"/>
        <color rgb="FF000000"/>
        <rFont val="Calibri"/>
      </rPr>
      <t>By default, switches will use its loopback address for LDP peering. If an address has not be configured on the loopback interface, it will use its physical interface connecting to the LDP peer. If the router-id command is specified that overrides this default behavior, verify that it is a loopback interface as shown in the example below:</t>
    </r>
    <r>
      <rPr>
        <sz val="11"/>
        <color rgb="FF000000"/>
        <rFont val="Calibri"/>
      </rPr>
      <t xml:space="preserve">
</t>
    </r>
    <r>
      <rPr>
        <sz val="11"/>
        <color rgb="FF000000"/>
        <rFont val="Calibri"/>
      </rPr>
      <t>mpls ldp router-id Loopback0</t>
    </r>
    <r>
      <rPr>
        <sz val="11"/>
        <color rgb="FF000000"/>
        <rFont val="Calibri"/>
      </rPr>
      <t xml:space="preserve">
</t>
    </r>
    <r>
      <rPr>
        <sz val="11"/>
        <color rgb="FF000000"/>
        <rFont val="Calibri"/>
      </rPr>
      <t>If the switch is not configured to use its loopback address for LDP peering, this is a finding.</t>
    </r>
  </si>
  <si>
    <t>V-221034</t>
  </si>
  <si>
    <r>
      <rPr>
        <sz val="11"/>
        <rFont val="Calibri"/>
      </rPr>
      <t>The Cisco MPLS switch must be configured to synchronize Interior Gateway Protocol (IGP) and LDP to minimize packet loss when an IGP adjacency is established prior to LDP peers completing label exchange.</t>
    </r>
  </si>
  <si>
    <r>
      <rPr>
        <sz val="11"/>
        <color rgb="FF000000"/>
        <rFont val="Calibri"/>
      </rPr>
      <t>Configure the MPLS switch to synchronize IGP and LDP, minimizing packet loss when an IGP adjacency is established prior to LDP peers completing label exchange.</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SW2(config)#router ospf 1</t>
    </r>
    <r>
      <rPr>
        <sz val="11"/>
        <color rgb="FF000000"/>
        <rFont val="Calibri"/>
      </rPr>
      <t xml:space="preserve">
</t>
    </r>
    <r>
      <rPr>
        <sz val="11"/>
        <color rgb="FF000000"/>
        <rFont val="Calibri"/>
      </rPr>
      <t>SW2(config-switch)#mpls ldp sync</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SW1(config)#router isis</t>
    </r>
    <r>
      <rPr>
        <sz val="11"/>
        <color rgb="FF000000"/>
        <rFont val="Calibri"/>
      </rPr>
      <t xml:space="preserve">
</t>
    </r>
    <r>
      <rPr>
        <sz val="11"/>
        <color rgb="FF000000"/>
        <rFont val="Calibri"/>
      </rPr>
      <t>SW1(config-switch)#mpls ldp sync</t>
    </r>
  </si>
  <si>
    <r>
      <rPr>
        <sz val="11"/>
        <color rgb="FF000000"/>
        <rFont val="Calibri"/>
      </rPr>
      <t>Packet loss can occur when an IGP adjacency is established and the switch begins forwarding packets using the new adjacency before the LDP label exchange completes between the peers on that link. Packet loss can also occur if an LDP session closes and the switch continues to forward traffic using the link associated with the LDP peer rather than an alternate pathway with a fully synchronized LDP session. The MPLS LDP-IGP Synchronization feature provides a means to synchronize LDP with OSPF or IS-IS to minimize MPLS packet loss. When an IGP adjacency is established on a link but LDP-IGP synchronization is not yet achieved or is lost, the IGP will advertise the max-metric on that link.</t>
    </r>
  </si>
  <si>
    <r>
      <rPr>
        <sz val="11"/>
        <color rgb="FF000000"/>
        <rFont val="Calibri"/>
      </rPr>
      <t>Review the switch OSPF or IS-IS configuration and verify that LDP will synchronize with the link-state routing protocol as shown in the example below:</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mpls ldp sync</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router isis</t>
    </r>
    <r>
      <rPr>
        <sz val="11"/>
        <color rgb="FF000000"/>
        <rFont val="Calibri"/>
      </rPr>
      <t xml:space="preserve">
</t>
    </r>
    <r>
      <rPr>
        <sz val="11"/>
        <color rgb="FF000000"/>
        <rFont val="Calibri"/>
      </rPr>
      <t xml:space="preserve"> mpls ldp sync</t>
    </r>
    <r>
      <rPr>
        <sz val="11"/>
        <color rgb="FF000000"/>
        <rFont val="Calibri"/>
      </rPr>
      <t xml:space="preserve">
</t>
    </r>
    <r>
      <rPr>
        <sz val="11"/>
        <color rgb="FF000000"/>
        <rFont val="Calibri"/>
      </rPr>
      <t xml:space="preserve"> net 49.0001.1234.1600.5531.00</t>
    </r>
    <r>
      <rPr>
        <sz val="11"/>
        <color rgb="FF000000"/>
        <rFont val="Calibri"/>
      </rPr>
      <t xml:space="preserve">
</t>
    </r>
    <r>
      <rPr>
        <sz val="11"/>
        <color rgb="FF000000"/>
        <rFont val="Calibri"/>
      </rPr>
      <t>If the switch is not configured to synchronize IGP and LDP, this is a finding.</t>
    </r>
  </si>
  <si>
    <t>V-221035</t>
  </si>
  <si>
    <r>
      <rPr>
        <sz val="11"/>
        <rFont val="Calibri"/>
      </rPr>
      <t>The MPLS switch with RSVP-TE enabled must be configured with message pacing to adjust maximum burst and maximum number of RSVP messages to an output queue based on the link speed and input queue size of adjacent core switches.</t>
    </r>
  </si>
  <si>
    <r>
      <rPr>
        <sz val="11"/>
        <color rgb="FF000000"/>
        <rFont val="Calibri"/>
      </rPr>
      <t>Configure the switch to rate limit RSVP messages per interface as shown in the example.</t>
    </r>
    <r>
      <rPr>
        <sz val="11"/>
        <color rgb="FF000000"/>
        <rFont val="Calibri"/>
      </rPr>
      <t xml:space="preserve">
</t>
    </r>
    <r>
      <rPr>
        <sz val="11"/>
        <color rgb="FF000000"/>
        <rFont val="Calibri"/>
      </rPr>
      <t>SW2(config)#ip rsvp signalling rate-limit burst 9 maxsize 2100 period 30 limit 50</t>
    </r>
  </si>
  <si>
    <r>
      <rPr>
        <sz val="11"/>
        <color rgb="FF000000"/>
        <rFont val="Calibri"/>
      </rPr>
      <t>RSVP-TE can be used to perform constraint-based routing when building LSP tunnels within the network core that will support QoS and traffic engineering requirements. RSVP-TE is also used to enable MPLS Fast Reroute, a network restoration mechanism that will reroute traffic onto a backup LSP in case of a node or link failure along the primary path. When there is a disruption in the MPLS core, such as a link flap or switch reboot, the result is a significant amount of RSVP signaling, such as "PathErr" and "ResvErr" messages that need to be sent for every LSP using that link.</t>
    </r>
    <r>
      <rPr>
        <sz val="11"/>
        <color rgb="FF000000"/>
        <rFont val="Calibri"/>
      </rPr>
      <t xml:space="preserve">
</t>
    </r>
    <r>
      <rPr>
        <sz val="11"/>
        <color rgb="FF000000"/>
        <rFont val="Calibri"/>
      </rPr>
      <t>When RSVP messages are sent out, they are sent either hop by hop or with the switch alert bit set in the IP header. This means that every switch along the path must examine the packet to determine if additional processing is required for these RSVP messages. If there is enough signaling traffic in the network, it is possible for an interface to receive more packets for its input queue than it can hold, resulting in dropped RSVP messages and hence slower RSVP convergence. Increasing the size of the interface input queue can help prevent dropping packets; however, there is still the risk of having a burst of signaling traffic that can fill the queue. Solutions to mitigate this risk are RSVP message pacing or refresh reduction to control the rate at which RSVP messages are sent. RSVP refresh reduction includes the following features: RSVP message bundling, RSVP Message ID to reduce message processing overhead, reliable delivery of RSVP messages using Message ID, and summary refresh to reduce the amount of information transmitted every refresh interval.</t>
    </r>
  </si>
  <si>
    <r>
      <rPr>
        <sz val="11"/>
        <color rgb="FF000000"/>
        <rFont val="Calibri"/>
      </rPr>
      <t>Review the switch configuration to determine RSVP messages are rate limited.</t>
    </r>
    <r>
      <rPr>
        <sz val="11"/>
        <color rgb="FF000000"/>
        <rFont val="Calibri"/>
      </rPr>
      <t xml:space="preserve">
</t>
    </r>
    <r>
      <rPr>
        <sz val="11"/>
        <color rgb="FF000000"/>
        <rFont val="Calibri"/>
      </rPr>
      <t xml:space="preserve">Step 1: Determine if MPLS TE is enabled globally and at least one interface as shown in the example below: </t>
    </r>
    <r>
      <rPr>
        <sz val="11"/>
        <color rgb="FF000000"/>
        <rFont val="Calibri"/>
      </rPr>
      <t xml:space="preserve">
</t>
    </r>
    <r>
      <rPr>
        <sz val="11"/>
        <color rgb="FF000000"/>
        <rFont val="Calibri"/>
      </rPr>
      <t>mpls traffic-eng tunnels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x.x.x.x 255.255.255.0</t>
    </r>
    <r>
      <rPr>
        <sz val="11"/>
        <color rgb="FF000000"/>
        <rFont val="Calibri"/>
      </rPr>
      <t xml:space="preserve">
</t>
    </r>
    <r>
      <rPr>
        <sz val="11"/>
        <color rgb="FF000000"/>
        <rFont val="Calibri"/>
      </rPr>
      <t xml:space="preserve"> mpls traffic-eng tunnels</t>
    </r>
    <r>
      <rPr>
        <sz val="11"/>
        <color rgb="FF000000"/>
        <rFont val="Calibri"/>
      </rPr>
      <t xml:space="preserve">
</t>
    </r>
    <r>
      <rPr>
        <sz val="11"/>
        <color rgb="FF000000"/>
        <rFont val="Calibri"/>
      </rPr>
      <t xml:space="preserve"> mpls ip</t>
    </r>
    <r>
      <rPr>
        <sz val="11"/>
        <color rgb="FF000000"/>
        <rFont val="Calibri"/>
      </rPr>
      <t xml:space="preserve">
</t>
    </r>
    <r>
      <rPr>
        <sz val="11"/>
        <color rgb="FF000000"/>
        <rFont val="Calibri"/>
      </rPr>
      <t>Step 2: If MPLS TE is enabled, verify that message pacing is enabled.</t>
    </r>
    <r>
      <rPr>
        <sz val="11"/>
        <color rgb="FF000000"/>
        <rFont val="Calibri"/>
      </rPr>
      <t xml:space="preserve">
</t>
    </r>
    <r>
      <rPr>
        <sz val="11"/>
        <color rgb="FF000000"/>
        <rFont val="Calibri"/>
      </rPr>
      <t>ip rsvp signalling rate-limit period 30 burst 9 maxsize 2100 limit 50</t>
    </r>
    <r>
      <rPr>
        <sz val="11"/>
        <color rgb="FF000000"/>
        <rFont val="Calibri"/>
      </rPr>
      <t xml:space="preserve">
</t>
    </r>
    <r>
      <rPr>
        <sz val="11"/>
        <color rgb="FF000000"/>
        <rFont val="Calibri"/>
      </rPr>
      <t xml:space="preserve">Note: The command "ip rsvp msg-pacing" has been deprecated by the command "ip rsvp signalling rate-limit". </t>
    </r>
    <r>
      <rPr>
        <sz val="11"/>
        <color rgb="FF000000"/>
        <rFont val="Calibri"/>
      </rPr>
      <t xml:space="preserve">
</t>
    </r>
    <r>
      <rPr>
        <sz val="11"/>
        <color rgb="FF000000"/>
        <rFont val="Calibri"/>
      </rPr>
      <t>If the switch with RSVP-TE enabled does not rate limit RSVP messages based on the link speed and input queue size of adjacent core switches, this is a finding.</t>
    </r>
  </si>
  <si>
    <t>V-221036</t>
  </si>
  <si>
    <r>
      <rPr>
        <sz val="11"/>
        <rFont val="Calibri"/>
      </rPr>
      <t>The Cisco MPLS switch must be configured to have TTL Propagation disabled.</t>
    </r>
  </si>
  <si>
    <r>
      <rPr>
        <sz val="11"/>
        <color rgb="FF000000"/>
        <rFont val="Calibri"/>
      </rPr>
      <t>Configure the MPLS switch to disable TTL propagation as shown in the example below:</t>
    </r>
    <r>
      <rPr>
        <sz val="11"/>
        <color rgb="FF000000"/>
        <rFont val="Calibri"/>
      </rPr>
      <t xml:space="preserve">
</t>
    </r>
    <r>
      <rPr>
        <sz val="11"/>
        <color rgb="FF000000"/>
        <rFont val="Calibri"/>
      </rPr>
      <t>SW1(config)#no mpls ip propagate-ttl</t>
    </r>
  </si>
  <si>
    <r>
      <rPr>
        <sz val="11"/>
        <color rgb="FF000000"/>
        <rFont val="Calibri"/>
      </rPr>
      <t>The head end of the label-switched path (LSP), the label edge switch (LER) will decrement the IP packet's time-to-live (TTL) value by one and then copy the value to the MPLS TTL field. At each label-switched switch (LSR) hop, the MPLS TTL value is decremented by one. The MPLS switch that pops the label (either the penultimate LSR or the egress LER) will copy the packet's MPLS TTL value to the IP TTL field and decrement it by one.</t>
    </r>
    <r>
      <rPr>
        <sz val="11"/>
        <color rgb="FF000000"/>
        <rFont val="Calibri"/>
      </rPr>
      <t xml:space="preserve">
</t>
    </r>
    <r>
      <rPr>
        <sz val="11"/>
        <color rgb="FF000000"/>
        <rFont val="Calibri"/>
      </rPr>
      <t>This TTL propagation is the default behavior. Because the MPLS TTL is propagated from the IP TTL, a traceroute will list every hop in the path, be it routed or label switched, thereby exposing core nodes. With TTL propagation disabled, LER decrements the IP packet's TTL value by one and then places a value of 255 in the packet's MPLS TTL field, which is then decremented by one as the packet passes through each LSR in the MPLS core. Because the MPLS TTL never drops to zero, none of the LSP hops triggers an ICMP TTL exceeded message, and consequently, these hops are not recorded in a traceroute. Hence, nodes within the MPLS core cannot be discovered by an attacker.</t>
    </r>
  </si>
  <si>
    <r>
      <rPr>
        <sz val="11"/>
        <color rgb="FF000000"/>
        <rFont val="Calibri"/>
      </rPr>
      <t>Review the switch configuration to verify that TTL propagation is disabled as shown in the example below:</t>
    </r>
    <r>
      <rPr>
        <sz val="11"/>
        <color rgb="FF000000"/>
        <rFont val="Calibri"/>
      </rPr>
      <t xml:space="preserve">
</t>
    </r>
    <r>
      <rPr>
        <sz val="11"/>
        <color rgb="FF000000"/>
        <rFont val="Calibri"/>
      </rPr>
      <t>no mpls ip propagate-ttl</t>
    </r>
    <r>
      <rPr>
        <sz val="11"/>
        <color rgb="FF000000"/>
        <rFont val="Calibri"/>
      </rPr>
      <t xml:space="preserve">
</t>
    </r>
    <r>
      <rPr>
        <sz val="11"/>
        <color rgb="FF000000"/>
        <rFont val="Calibri"/>
      </rPr>
      <t>If the MPLS switch is not configured to disable TTL propagation, this is a finding.</t>
    </r>
  </si>
  <si>
    <t>V-221037</t>
  </si>
  <si>
    <r>
      <rPr>
        <sz val="11"/>
        <rFont val="Calibri"/>
      </rPr>
      <t>The Cisco PE switch must be configured to have each Virtual Routing and Forwarding (VRF) instance bound to the appropriate physical or logical interfaces to maintain traffic separation between all MPLS L3VPNs.</t>
    </r>
  </si>
  <si>
    <r>
      <rPr>
        <sz val="11"/>
        <color rgb="FF000000"/>
        <rFont val="Calibri"/>
      </rPr>
      <t>Configure the PE switch to have each VRF bound to the appropriate physical or logical interfaces to maintain traffic separation between all MPLS L3VPNs.</t>
    </r>
  </si>
  <si>
    <r>
      <rPr>
        <sz val="11"/>
        <color rgb="FF000000"/>
        <rFont val="Calibri"/>
      </rPr>
      <t>The primary security model for an MPLS L3VPN infrastructure is traffic separation. The service provider must guarantee the customer that traffic from one VPN does not leak into another VPN or into the core, and that core traffic must not leak into any VPN. Hence, it is imperative that each CE-facing interface can only be associated to one VRF—that alone is the fundamental framework for traffic separation.</t>
    </r>
  </si>
  <si>
    <r>
      <rPr>
        <sz val="11"/>
        <color rgb="FF000000"/>
        <rFont val="Calibri"/>
      </rPr>
      <t xml:space="preserve">Step 1: Review the design plan for deploying L3VPN and VRF-lite. </t>
    </r>
    <r>
      <rPr>
        <sz val="11"/>
        <color rgb="FF000000"/>
        <rFont val="Calibri"/>
      </rPr>
      <t xml:space="preserve">
</t>
    </r>
    <r>
      <rPr>
        <sz val="11"/>
        <color rgb="FF000000"/>
        <rFont val="Calibri"/>
      </rPr>
      <t>Step 2: Review the design plan for deploying L3VPN and VRF-lite. Review all CE-facing interfaces and verify that the proper VRF is defined via the "ip vrf forwarding" command. In the example below, COI1 is bound to interface GigabitEthernet0/1, while COI2 is bound to GigabitEthernet0/2.</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description link to COI1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vrf forwarding COI1</t>
    </r>
    <r>
      <rPr>
        <sz val="11"/>
        <color rgb="FF000000"/>
        <rFont val="Calibri"/>
      </rPr>
      <t xml:space="preserve">
</t>
    </r>
    <r>
      <rPr>
        <sz val="11"/>
        <color rgb="FF000000"/>
        <rFont val="Calibri"/>
      </rPr>
      <t xml:space="preserve"> ip address x.1.0.1 255.255.255.0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description link to COI2</t>
    </r>
    <r>
      <rPr>
        <sz val="11"/>
        <color rgb="FF000000"/>
        <rFont val="Calibri"/>
      </rPr>
      <t xml:space="preserve">
</t>
    </r>
    <r>
      <rPr>
        <sz val="11"/>
        <color rgb="FF000000"/>
        <rFont val="Calibri"/>
      </rPr>
      <t>no switchport</t>
    </r>
    <r>
      <rPr>
        <sz val="11"/>
        <color rgb="FF000000"/>
        <rFont val="Calibri"/>
      </rPr>
      <t xml:space="preserve">
</t>
    </r>
    <r>
      <rPr>
        <sz val="11"/>
        <color rgb="FF000000"/>
        <rFont val="Calibri"/>
      </rPr>
      <t xml:space="preserve"> ip vrf forwarding COI2</t>
    </r>
    <r>
      <rPr>
        <sz val="11"/>
        <color rgb="FF000000"/>
        <rFont val="Calibri"/>
      </rPr>
      <t xml:space="preserve">
</t>
    </r>
    <r>
      <rPr>
        <sz val="11"/>
        <color rgb="FF000000"/>
        <rFont val="Calibri"/>
      </rPr>
      <t xml:space="preserve"> ip address x.2.0.2 255.255.255.0</t>
    </r>
    <r>
      <rPr>
        <sz val="11"/>
        <color rgb="FF000000"/>
        <rFont val="Calibri"/>
      </rPr>
      <t xml:space="preserve">
</t>
    </r>
    <r>
      <rPr>
        <sz val="11"/>
        <color rgb="FF000000"/>
        <rFont val="Calibri"/>
      </rPr>
      <t>If any VRFs are not bound to the appropriate physical or logical interface, this is a finding.</t>
    </r>
  </si>
  <si>
    <t>V-221038</t>
  </si>
  <si>
    <r>
      <rPr>
        <sz val="11"/>
        <rFont val="Calibri"/>
      </rPr>
      <t>The Cisco PE switch must be configured to have each Virtual Routing and Forwarding (VRF) instance with the appropriate Route Target (RT).</t>
    </r>
  </si>
  <si>
    <r>
      <rPr>
        <sz val="11"/>
        <color rgb="FF000000"/>
        <rFont val="Calibri"/>
      </rPr>
      <t>Configure the switch to have each VRF instance defined with the correct RT.</t>
    </r>
    <r>
      <rPr>
        <sz val="11"/>
        <color rgb="FF000000"/>
        <rFont val="Calibri"/>
      </rPr>
      <t xml:space="preserve">
</t>
    </r>
    <r>
      <rPr>
        <sz val="11"/>
        <color rgb="FF000000"/>
        <rFont val="Calibri"/>
      </rPr>
      <t>SW1(config)#ip vrf CUST1</t>
    </r>
    <r>
      <rPr>
        <sz val="11"/>
        <color rgb="FF000000"/>
        <rFont val="Calibri"/>
      </rPr>
      <t xml:space="preserve">
</t>
    </r>
    <r>
      <rPr>
        <sz val="11"/>
        <color rgb="FF000000"/>
        <rFont val="Calibri"/>
      </rPr>
      <t>SW1(config-vrf)#route-target import 13:13</t>
    </r>
    <r>
      <rPr>
        <sz val="11"/>
        <color rgb="FF000000"/>
        <rFont val="Calibri"/>
      </rPr>
      <t xml:space="preserve">
</t>
    </r>
    <r>
      <rPr>
        <sz val="11"/>
        <color rgb="FF000000"/>
        <rFont val="Calibri"/>
      </rPr>
      <t>SW1(config-vrf)#route-target export 13:13</t>
    </r>
    <r>
      <rPr>
        <sz val="11"/>
        <color rgb="FF000000"/>
        <rFont val="Calibri"/>
      </rPr>
      <t xml:space="preserve">
</t>
    </r>
    <r>
      <rPr>
        <sz val="11"/>
        <color rgb="FF000000"/>
        <rFont val="Calibri"/>
      </rPr>
      <t>SW1(config-vrf)#end</t>
    </r>
  </si>
  <si>
    <r>
      <rPr>
        <sz val="11"/>
        <color rgb="FF000000"/>
        <rFont val="Calibri"/>
      </rPr>
      <t>The primary security model for an MPLS L3VPN as well as a VRF-lite infrastructure is traffic separation. Each interface can only be associated to one VRF, which is the fundamental framework for traffic separation. Forwarding decisions are made based on the routing table belonging to the VRF. Control of what routes are imported into or exported from a VRF is based on the RT. It is critical that traffic does not leak from one COI tenant or L3VPN to another; hence, it is imperative that the correct RT is configured for each VRF.</t>
    </r>
  </si>
  <si>
    <r>
      <rPr>
        <sz val="11"/>
        <color rgb="FF000000"/>
        <rFont val="Calibri"/>
      </rPr>
      <t>Review the design plan for MPLS/L3VPN and VRF-lite to determine what RTs have been assigned for each VRF. Review the switch configuration and verify that the correct RT is configured for each VRF. In the example below, route target 13:13 has been configured for customer 1.</t>
    </r>
    <r>
      <rPr>
        <sz val="11"/>
        <color rgb="FF000000"/>
        <rFont val="Calibri"/>
      </rPr>
      <t xml:space="preserve">
</t>
    </r>
    <r>
      <rPr>
        <sz val="11"/>
        <color rgb="FF000000"/>
        <rFont val="Calibri"/>
      </rPr>
      <t>ip vrf CUST1</t>
    </r>
    <r>
      <rPr>
        <sz val="11"/>
        <color rgb="FF000000"/>
        <rFont val="Calibri"/>
      </rPr>
      <t xml:space="preserve">
</t>
    </r>
    <r>
      <rPr>
        <sz val="11"/>
        <color rgb="FF000000"/>
        <rFont val="Calibri"/>
      </rPr>
      <t xml:space="preserve"> rd 13:13</t>
    </r>
    <r>
      <rPr>
        <sz val="11"/>
        <color rgb="FF000000"/>
        <rFont val="Calibri"/>
      </rPr>
      <t xml:space="preserve">
</t>
    </r>
    <r>
      <rPr>
        <sz val="11"/>
        <color rgb="FF000000"/>
        <rFont val="Calibri"/>
      </rPr>
      <t xml:space="preserve"> route-target export 13:13</t>
    </r>
    <r>
      <rPr>
        <sz val="11"/>
        <color rgb="FF000000"/>
        <rFont val="Calibri"/>
      </rPr>
      <t xml:space="preserve">
</t>
    </r>
    <r>
      <rPr>
        <sz val="11"/>
        <color rgb="FF000000"/>
        <rFont val="Calibri"/>
      </rPr>
      <t xml:space="preserve"> route-target import 13:13</t>
    </r>
    <r>
      <rPr>
        <sz val="11"/>
        <color rgb="FF000000"/>
        <rFont val="Calibri"/>
      </rPr>
      <t xml:space="preserve">
</t>
    </r>
    <r>
      <rPr>
        <sz val="11"/>
        <color rgb="FF000000"/>
        <rFont val="Calibri"/>
      </rPr>
      <t>If there are VRFs configured with the wrong RT, this is a finding.</t>
    </r>
  </si>
  <si>
    <t>V-221039</t>
  </si>
  <si>
    <r>
      <rPr>
        <sz val="11"/>
        <rFont val="Calibri"/>
      </rPr>
      <t>The Cisco PE switch must be configured to have each VRF with the appropriate Route Distinguisher (RD).</t>
    </r>
  </si>
  <si>
    <r>
      <rPr>
        <sz val="11"/>
        <color rgb="FF000000"/>
        <rFont val="Calibri"/>
      </rPr>
      <t>Configure the correct RD for each VRF.</t>
    </r>
    <r>
      <rPr>
        <sz val="11"/>
        <color rgb="FF000000"/>
        <rFont val="Calibri"/>
      </rPr>
      <t xml:space="preserve">
</t>
    </r>
    <r>
      <rPr>
        <sz val="11"/>
        <color rgb="FF000000"/>
        <rFont val="Calibri"/>
      </rPr>
      <t>SW1(config)#ip vrf CUST1</t>
    </r>
    <r>
      <rPr>
        <sz val="11"/>
        <color rgb="FF000000"/>
        <rFont val="Calibri"/>
      </rPr>
      <t xml:space="preserve">
</t>
    </r>
    <r>
      <rPr>
        <sz val="11"/>
        <color rgb="FF000000"/>
        <rFont val="Calibri"/>
      </rPr>
      <t>SW1(config-vrf)#rd 13:13</t>
    </r>
    <r>
      <rPr>
        <sz val="11"/>
        <color rgb="FF000000"/>
        <rFont val="Calibri"/>
      </rPr>
      <t xml:space="preserve">
</t>
    </r>
    <r>
      <rPr>
        <sz val="11"/>
        <color rgb="FF000000"/>
        <rFont val="Calibri"/>
      </rPr>
      <t>SW1(config-vrf)#end</t>
    </r>
  </si>
  <si>
    <r>
      <rPr>
        <sz val="11"/>
        <color rgb="FF000000"/>
        <rFont val="Calibri"/>
      </rPr>
      <t>An RD provides uniqueness to the customer address spaces within the MPLS L3VPN infrastructure. The concept of the VPN-IPv4 and VPN-IPv6 address families consists of the RD prepended before the IP address. Hence, if the same IP prefix is used in several different L3VPNs, it is possible for BGP to carry several completely different routes for that prefix, one for each VPN.</t>
    </r>
    <r>
      <rPr>
        <sz val="11"/>
        <color rgb="FF000000"/>
        <rFont val="Calibri"/>
      </rPr>
      <t xml:space="preserve">
</t>
    </r>
    <r>
      <rPr>
        <sz val="11"/>
        <color rgb="FF000000"/>
        <rFont val="Calibri"/>
      </rPr>
      <t>Since VPN-IPv4 addresses and IPv4 addresses are different address families, BGP never treats them as comparable addresses. The purpose of the RD is to create distinct routes for common IPv4 address prefixes. On any given PE switch, a single RD can define a VRF in which the entire address space may be used independently, regardless of the makeup of other VPN address spaces. Hence, it is imperative that a unique RD is assigned to each L3VPN and that the proper RD is configured for each VRF.</t>
    </r>
  </si>
  <si>
    <r>
      <rPr>
        <sz val="11"/>
        <color rgb="FF000000"/>
        <rFont val="Calibri"/>
      </rPr>
      <t>Review the design plan for MPLS/L3VPN to determine what RD has been assigned for each VRF. Review the switch configuration and verify that the correct RD is configured for each VRF. In the example below, route distinguisher 13:13 has been configured for customer 1.</t>
    </r>
    <r>
      <rPr>
        <sz val="11"/>
        <color rgb="FF000000"/>
        <rFont val="Calibri"/>
      </rPr>
      <t xml:space="preserve">
</t>
    </r>
    <r>
      <rPr>
        <sz val="11"/>
        <color rgb="FF000000"/>
        <rFont val="Calibri"/>
      </rPr>
      <t>ip vrf CUST1</t>
    </r>
    <r>
      <rPr>
        <sz val="11"/>
        <color rgb="FF000000"/>
        <rFont val="Calibri"/>
      </rPr>
      <t xml:space="preserve">
</t>
    </r>
    <r>
      <rPr>
        <sz val="11"/>
        <color rgb="FF000000"/>
        <rFont val="Calibri"/>
      </rPr>
      <t xml:space="preserve"> rd 13:13</t>
    </r>
    <r>
      <rPr>
        <sz val="11"/>
        <color rgb="FF000000"/>
        <rFont val="Calibri"/>
      </rPr>
      <t xml:space="preserve">
</t>
    </r>
    <r>
      <rPr>
        <sz val="11"/>
        <color rgb="FF000000"/>
        <rFont val="Calibri"/>
      </rPr>
      <t>Note: This requirement is only applicable for MPLS L3VPN implementations.</t>
    </r>
    <r>
      <rPr>
        <sz val="11"/>
        <color rgb="FF000000"/>
        <rFont val="Calibri"/>
      </rPr>
      <t xml:space="preserve">
</t>
    </r>
    <r>
      <rPr>
        <sz val="11"/>
        <color rgb="FF000000"/>
        <rFont val="Calibri"/>
      </rPr>
      <t>If the wrong RD has been configured for any VRF, this is a finding.</t>
    </r>
  </si>
  <si>
    <t>V-221040</t>
  </si>
  <si>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</si>
  <si>
    <r>
      <rPr>
        <sz val="11"/>
        <color rgb="FF000000"/>
        <rFont val="Calibri"/>
      </rPr>
      <t>The severity level can be downgraded to a category 3 if the switch is configured to authenticate targeted LDP sessions using MD5 as shown in the example below:</t>
    </r>
    <r>
      <rPr>
        <sz val="11"/>
        <color rgb="FF000000"/>
        <rFont val="Calibri"/>
      </rPr>
      <t xml:space="preserve">
</t>
    </r>
    <r>
      <rPr>
        <sz val="11"/>
        <color rgb="FF000000"/>
        <rFont val="Calibri"/>
      </rPr>
      <t>SW1(config)#mpls ldp neighbor 10.1.1.2 password xxxxxxxx</t>
    </r>
  </si>
  <si>
    <r>
      <rPr>
        <sz val="11"/>
        <color rgb="FF000000"/>
        <rFont val="Calibri"/>
      </rPr>
      <t>LDP provides the signaling required for setting up and tearing down pseudowires (virtual circuits used to transport Layer 2 frames) across an MPLS IP core network. Using a targeted LDP session, each PE switch advertises a virtual circuit label mapping that is used as part of the label stack imposed on the frames by the ingress PE switch during packet forwarding. Authentication provides protection against spoofed TCP segments that can be introduced into the LDP sessions.</t>
    </r>
  </si>
  <si>
    <r>
      <rPr>
        <sz val="11"/>
        <color rgb="FF000000"/>
        <rFont val="Calibri"/>
      </rPr>
      <t>The Cisco switch is not compliant with this requirement; hence, it is a finding. However, the severity level can be downgraded to a category 3 if the switch is configured to authenticate targeted LDP sessions using MD5 as shown in the configuration example below:</t>
    </r>
    <r>
      <rPr>
        <sz val="11"/>
        <color rgb="FF000000"/>
        <rFont val="Calibri"/>
      </rPr>
      <t xml:space="preserve">
</t>
    </r>
    <r>
      <rPr>
        <sz val="11"/>
        <color rgb="FF000000"/>
        <rFont val="Calibri"/>
      </rPr>
      <t>mpls ldp neighbor 10.1.1.2 password xxxxxxx</t>
    </r>
    <r>
      <rPr>
        <sz val="11"/>
        <color rgb="FF000000"/>
        <rFont val="Calibri"/>
      </rPr>
      <t xml:space="preserve">
</t>
    </r>
    <r>
      <rPr>
        <sz val="11"/>
        <color rgb="FF000000"/>
        <rFont val="Calibri"/>
      </rPr>
      <t>mpls label protocol ldp</t>
    </r>
    <r>
      <rPr>
        <sz val="11"/>
        <color rgb="FF000000"/>
        <rFont val="Calibri"/>
      </rPr>
      <t xml:space="preserve">
</t>
    </r>
    <r>
      <rPr>
        <sz val="11"/>
        <color rgb="FF000000"/>
        <rFont val="Calibri"/>
      </rPr>
      <t>If the switch is not configured to authenticate targeted LDP sessions using MD5, the finding will remain as a CAT II.</t>
    </r>
  </si>
  <si>
    <t>V-221041</t>
  </si>
  <si>
    <r>
      <rPr>
        <sz val="11"/>
        <rFont val="Calibri"/>
      </rPr>
      <t>The Cisco PE switch providing MPLS Virtual Private Wire Service (VPWS) must be configured to have the appropriate virtual circuit identification (VC ID) for each attachment circuit.</t>
    </r>
  </si>
  <si>
    <r>
      <rPr>
        <sz val="11"/>
        <color rgb="FF000000"/>
        <rFont val="Calibri"/>
      </rPr>
      <t>Assign globally unique VC IDs for each virtual circuit and configure the attachment circuits with the appropriate VC ID.</t>
    </r>
  </si>
  <si>
    <r>
      <rPr>
        <sz val="11"/>
        <color rgb="FF000000"/>
        <rFont val="Calibri"/>
      </rPr>
      <t xml:space="preserve">VPWS is an L2VPN technology that provides a virtual circuit between two PE switches to forward Layer 2 frames between two customer-edge switches or switches through an MPLS-enabled IP core. The ingress PE switch (virtual circuit head-end) encapsulates Ethernet frames inside MPLS packets using label stacking and forwards them across the MPLS network to the egress PE switch (virtual circuit tail-end). During a virtual circuit setup, the PE switches exchange VC label bindings for the specified VC ID. The VC ID specifies a pseudowire associated with an ingress and egress PE switch and the customer-facing attachment circuits. </t>
    </r>
    <r>
      <rPr>
        <sz val="11"/>
        <color rgb="FF000000"/>
        <rFont val="Calibri"/>
      </rPr>
      <t xml:space="preserve">
</t>
    </r>
    <r>
      <rPr>
        <sz val="11"/>
        <color rgb="FF000000"/>
        <rFont val="Calibri"/>
      </rPr>
      <t>To guarantee that all frames are forwarded onto the correct pseudowire and to the correct customer and attachment circuits, it is imperative that the correct VC ID is configured for each attachment circuit.</t>
    </r>
  </si>
  <si>
    <r>
      <rPr>
        <sz val="11"/>
        <color rgb="FF000000"/>
        <rFont val="Calibri"/>
      </rPr>
      <t>Verify that the correct and unique VCID has been configured for the appropriate attachment circuit. In the example below, GigabitEthernet0/1 is the CE-facing interface that is configured for VPWS with the VCID of 55.</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xconnect x.2.2.12 55 encapsulation mpls</t>
    </r>
    <r>
      <rPr>
        <sz val="11"/>
        <color rgb="FF000000"/>
        <rFont val="Calibri"/>
      </rPr>
      <t xml:space="preserve">
</t>
    </r>
    <r>
      <rPr>
        <sz val="11"/>
        <color rgb="FF000000"/>
        <rFont val="Calibri"/>
      </rPr>
      <t>If the correct VC ID has not been configured on both switches, this is a finding.</t>
    </r>
  </si>
  <si>
    <t>V-221042</t>
  </si>
  <si>
    <r>
      <rPr>
        <sz val="11"/>
        <rFont val="Calibri"/>
      </rPr>
      <t>The Cisco PE switch providing Virtual Private LAN Services (VPLS) must be configured to have all attachment circuits defined to the virtual forwarding instance (VFI) with the globally unique VPN ID assigned for each customer VLAN.</t>
    </r>
  </si>
  <si>
    <r>
      <rPr>
        <sz val="11"/>
        <color rgb="FF000000"/>
        <rFont val="Calibri"/>
      </rPr>
      <t>Assign globally unique VPN IDs for each customer bridge domain using VPLS for carrier Ethernet services between multiple sites, and configure the attachment circuits to the appropriate VFI.</t>
    </r>
    <r>
      <rPr>
        <sz val="11"/>
        <color rgb="FF000000"/>
        <rFont val="Calibri"/>
      </rPr>
      <t xml:space="preserve">
</t>
    </r>
    <r>
      <rPr>
        <sz val="11"/>
        <color rgb="FF000000"/>
        <rFont val="Calibri"/>
      </rPr>
      <t>SW1(config)#l2 vfi VPLS_A manual</t>
    </r>
    <r>
      <rPr>
        <sz val="11"/>
        <color rgb="FF000000"/>
        <rFont val="Calibri"/>
      </rPr>
      <t xml:space="preserve">
</t>
    </r>
    <r>
      <rPr>
        <sz val="11"/>
        <color rgb="FF000000"/>
        <rFont val="Calibri"/>
      </rPr>
      <t>SW1(config-vfi)#vpn id 110</t>
    </r>
    <r>
      <rPr>
        <sz val="11"/>
        <color rgb="FF000000"/>
        <rFont val="Calibri"/>
      </rPr>
      <t xml:space="preserve">
</t>
    </r>
    <r>
      <rPr>
        <sz val="11"/>
        <color rgb="FF000000"/>
        <rFont val="Calibri"/>
      </rPr>
      <t>SW1(config-vfi)#neighbor 10.3.3.3 encapsulation mpls</t>
    </r>
    <r>
      <rPr>
        <sz val="11"/>
        <color rgb="FF000000"/>
        <rFont val="Calibri"/>
      </rPr>
      <t xml:space="preserve">
</t>
    </r>
    <r>
      <rPr>
        <sz val="11"/>
        <color rgb="FF000000"/>
        <rFont val="Calibri"/>
      </rPr>
      <t>SW1(config-vfi)#bridge-domain 100</t>
    </r>
    <r>
      <rPr>
        <sz val="11"/>
        <color rgb="FF000000"/>
        <rFont val="Calibri"/>
      </rPr>
      <t xml:space="preserve">
</t>
    </r>
    <r>
      <rPr>
        <sz val="11"/>
        <color rgb="FF000000"/>
        <rFont val="Calibri"/>
      </rPr>
      <t>SW1(config-vfi)#exit</t>
    </r>
    <r>
      <rPr>
        <sz val="11"/>
        <color rgb="FF000000"/>
        <rFont val="Calibri"/>
      </rPr>
      <t xml:space="preserve">
</t>
    </r>
    <r>
      <rPr>
        <sz val="11"/>
        <color rgb="FF000000"/>
        <rFont val="Calibri"/>
      </rPr>
      <t>SW1(config)#int g0/1</t>
    </r>
    <r>
      <rPr>
        <sz val="11"/>
        <color rgb="FF000000"/>
        <rFont val="Calibri"/>
      </rPr>
      <t xml:space="preserve">
</t>
    </r>
    <r>
      <rPr>
        <sz val="11"/>
        <color rgb="FF000000"/>
        <rFont val="Calibri"/>
      </rPr>
      <t>SW1(config-if)#service instance 10 ethernet</t>
    </r>
    <r>
      <rPr>
        <sz val="11"/>
        <color rgb="FF000000"/>
        <rFont val="Calibri"/>
      </rPr>
      <t xml:space="preserve">
</t>
    </r>
    <r>
      <rPr>
        <sz val="11"/>
        <color rgb="FF000000"/>
        <rFont val="Calibri"/>
      </rPr>
      <t xml:space="preserve">SW1(config-if-srv)#encapsulation untagged </t>
    </r>
    <r>
      <rPr>
        <sz val="11"/>
        <color rgb="FF000000"/>
        <rFont val="Calibri"/>
      </rPr>
      <t xml:space="preserve">
</t>
    </r>
    <r>
      <rPr>
        <sz val="11"/>
        <color rgb="FF000000"/>
        <rFont val="Calibri"/>
      </rPr>
      <t>SW1(config-if-srv)#bridge-domain 100</t>
    </r>
    <r>
      <rPr>
        <sz val="11"/>
        <color rgb="FF000000"/>
        <rFont val="Calibri"/>
      </rPr>
      <t xml:space="preserve">
</t>
    </r>
    <r>
      <rPr>
        <sz val="11"/>
        <color rgb="FF000000"/>
        <rFont val="Calibri"/>
      </rPr>
      <t>SW1(config-if-srv)#end</t>
    </r>
  </si>
  <si>
    <r>
      <rPr>
        <sz val="11"/>
        <color rgb="FF000000"/>
        <rFont val="Calibri"/>
      </rPr>
      <t>VPLS defines an architecture that delivers Ethernet multipoint services over an MPLS network. Customer Layer 2 frames are forwarded across the MPLS core via pseudowires using IEEE 802.1q Ethernet bridging principles. A pseudowire is a virtual bidirectional connection between two attachment circuits (virtual connections between PE and CE switches). A pseudowire contains two unidirectional label-switched paths (LSP) between two PE switches. Each MAC virtual forwarding table instance (VFI) is interconnected using pseudowires provisioned for the bridge domain, thereby maintaining privacy and logical separation between each VPLS bridge domain.</t>
    </r>
    <r>
      <rPr>
        <sz val="11"/>
        <color rgb="FF000000"/>
        <rFont val="Calibri"/>
      </rPr>
      <t xml:space="preserve">
</t>
    </r>
    <r>
      <rPr>
        <sz val="11"/>
        <color rgb="FF000000"/>
        <rFont val="Calibri"/>
      </rPr>
      <t>The VFI specifies the pseudowires associated with connecting PE switches and the customer-facing attachment circuits belonging to a given VLAN. Resembling a Layer 2 switch, the VFI is responsible for learning MAC addresses and providing loop-free forwarding of customer traffic to the appropriate end nodes. Each VPLS domain is identified by a globally unique VPN ID; hence, VFIs of the same VPLS domain must be configured with the same VPN ID on all participating PE switches. To guarantee traffic separation for all customer VLANs and that all packets are forwarded to the correct destination, it is imperative that the correct attachment circuits are associated with the appropriate VFI and that each VFI is associated to the unique VPN ID assigned to the customer VLAN.</t>
    </r>
  </si>
  <si>
    <r>
      <rPr>
        <sz val="11"/>
        <color rgb="FF000000"/>
        <rFont val="Calibri"/>
      </rPr>
      <t>Step 1: Review the implementation plan and the VPN IDs assigned to customer VLANs for the VPLS deployment.</t>
    </r>
    <r>
      <rPr>
        <sz val="11"/>
        <color rgb="FF000000"/>
        <rFont val="Calibri"/>
      </rPr>
      <t xml:space="preserve">
</t>
    </r>
    <r>
      <rPr>
        <sz val="11"/>
        <color rgb="FF000000"/>
        <rFont val="Calibri"/>
      </rPr>
      <t>Step 2: Review the PE switch configuration to verify that customer attachment circuits are associated to the appropriate VFI. In the example below, the attached circuit at interface GigabitEthernet0/1 is associated to VPN ID 110.</t>
    </r>
    <r>
      <rPr>
        <sz val="11"/>
        <color rgb="FF000000"/>
        <rFont val="Calibri"/>
      </rPr>
      <t xml:space="preserve">
</t>
    </r>
    <r>
      <rPr>
        <sz val="11"/>
        <color rgb="FF000000"/>
        <rFont val="Calibri"/>
      </rPr>
      <t xml:space="preserve">l2 vfi VPLS_A manual </t>
    </r>
    <r>
      <rPr>
        <sz val="11"/>
        <color rgb="FF000000"/>
        <rFont val="Calibri"/>
      </rPr>
      <t xml:space="preserve">
</t>
    </r>
    <r>
      <rPr>
        <sz val="11"/>
        <color rgb="FF000000"/>
        <rFont val="Calibri"/>
      </rPr>
      <t xml:space="preserve"> vpn id 110</t>
    </r>
    <r>
      <rPr>
        <sz val="11"/>
        <color rgb="FF000000"/>
        <rFont val="Calibri"/>
      </rPr>
      <t xml:space="preserve">
</t>
    </r>
    <r>
      <rPr>
        <sz val="11"/>
        <color rgb="FF000000"/>
        <rFont val="Calibri"/>
      </rPr>
      <t xml:space="preserve"> bridge-domain 100</t>
    </r>
    <r>
      <rPr>
        <sz val="11"/>
        <color rgb="FF000000"/>
        <rFont val="Calibri"/>
      </rPr>
      <t xml:space="preserve">
</t>
    </r>
    <r>
      <rPr>
        <sz val="11"/>
        <color rgb="FF000000"/>
        <rFont val="Calibri"/>
      </rPr>
      <t xml:space="preserve"> neighbor 10.3.3.3 encapsulation mpls</t>
    </r>
    <r>
      <rPr>
        <sz val="11"/>
        <color rgb="FF000000"/>
        <rFont val="Calibri"/>
      </rPr>
      <t xml:space="preserve">
</t>
    </r>
    <r>
      <rPr>
        <sz val="11"/>
        <color rgb="FF000000"/>
        <rFont val="Calibri"/>
      </rPr>
      <t xml:space="preserve"> neighbor 10.3.3.4 encapsulation mpls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no ip address</t>
    </r>
    <r>
      <rPr>
        <sz val="11"/>
        <color rgb="FF000000"/>
        <rFont val="Calibri"/>
      </rPr>
      <t xml:space="preserve">
</t>
    </r>
    <r>
      <rPr>
        <sz val="11"/>
        <color rgb="FF000000"/>
        <rFont val="Calibri"/>
      </rPr>
      <t xml:space="preserve"> service instance 10 ethernet</t>
    </r>
    <r>
      <rPr>
        <sz val="11"/>
        <color rgb="FF000000"/>
        <rFont val="Calibri"/>
      </rPr>
      <t xml:space="preserve">
</t>
    </r>
    <r>
      <rPr>
        <sz val="11"/>
        <color rgb="FF000000"/>
        <rFont val="Calibri"/>
      </rPr>
      <t xml:space="preserve"> encapsulation untagged</t>
    </r>
    <r>
      <rPr>
        <sz val="11"/>
        <color rgb="FF000000"/>
        <rFont val="Calibri"/>
      </rPr>
      <t xml:space="preserve">
</t>
    </r>
    <r>
      <rPr>
        <sz val="11"/>
        <color rgb="FF000000"/>
        <rFont val="Calibri"/>
      </rPr>
      <t xml:space="preserve"> bridge-domain 100</t>
    </r>
    <r>
      <rPr>
        <sz val="11"/>
        <color rgb="FF000000"/>
        <rFont val="Calibri"/>
      </rPr>
      <t xml:space="preserve">
</t>
    </r>
    <r>
      <rPr>
        <sz val="11"/>
        <color rgb="FF000000"/>
        <rFont val="Calibri"/>
      </rPr>
      <t>If the attachment circuits have not been bound to the VFI configured with the assigned VPN ID for each VLAN, this is a finding.</t>
    </r>
  </si>
  <si>
    <t>V-221043</t>
  </si>
  <si>
    <r>
      <rPr>
        <sz val="11"/>
        <rFont val="Calibri"/>
      </rPr>
      <t>The Cisco PE switch must be configured to enforce the split-horizon rule for all pseudowires within a Virtual Private LAN Services (VPLS) bridge domain.</t>
    </r>
  </si>
  <si>
    <r>
      <rPr>
        <sz val="11"/>
        <color rgb="FF000000"/>
        <rFont val="Calibri"/>
      </rPr>
      <t>Enable split horizon on all PE switches deploying VPLS in a full-mesh configuration.</t>
    </r>
    <r>
      <rPr>
        <sz val="11"/>
        <color rgb="FF000000"/>
        <rFont val="Calibri"/>
      </rPr>
      <t xml:space="preserve">
</t>
    </r>
    <r>
      <rPr>
        <sz val="11"/>
        <color rgb="FF000000"/>
        <rFont val="Calibri"/>
      </rPr>
      <t xml:space="preserve">SW1(config)#l2 vfi VPLS_A manual </t>
    </r>
    <r>
      <rPr>
        <sz val="11"/>
        <color rgb="FF000000"/>
        <rFont val="Calibri"/>
      </rPr>
      <t xml:space="preserve">
</t>
    </r>
    <r>
      <rPr>
        <sz val="11"/>
        <color rgb="FF000000"/>
        <rFont val="Calibri"/>
      </rPr>
      <t>SW1(config-vfi)#neighbor 10.3.3.3 encapsulation mpls</t>
    </r>
  </si>
  <si>
    <r>
      <rPr>
        <sz val="11"/>
        <color rgb="FF000000"/>
        <rFont val="Calibri"/>
      </rPr>
      <t>A virtual forwarding instance (VFI) must be created on each participating PE switch for each customer VLAN using VPLS for carrier Ethernet services. The VFI specifies the VPN ID of a VPLS domain, the addresses of other PE switches in the domain, and the type of tunnel signaling and encapsulation mechanism for each peer PE switch. The set of VFIs formed by the interconnection of the emulated VCs is called a VPLS instance, which forms the logic bridge over the MPLS core network.</t>
    </r>
    <r>
      <rPr>
        <sz val="11"/>
        <color rgb="FF000000"/>
        <rFont val="Calibri"/>
      </rPr>
      <t xml:space="preserve">
</t>
    </r>
    <r>
      <rPr>
        <sz val="11"/>
        <color rgb="FF000000"/>
        <rFont val="Calibri"/>
      </rPr>
      <t>The PE switches use the VFI with a unique VPN ID to establish a full mesh of emulated virtual circuits or pseudowires to all the other PE switches in the VPLS instance. The full-mesh configuration allows the PE switch to maintain a single broadcast domain. With a full-mesh configuration, signaling and packet replication requirements for each provisioned virtual circuit on a PE can be high. To avoid the problem of a packet looping in the provider core, thereby adding more overhead, the PE devices must enforce a split-horizon principle for the emulated virtual circuits; that is, if a packet is received on an emulated virtual circuit, it is not forwarded on any other virtual circuit.</t>
    </r>
  </si>
  <si>
    <r>
      <rPr>
        <sz val="11"/>
        <color rgb="FF000000"/>
        <rFont val="Calibri"/>
      </rPr>
      <t>Review the PE switch configuration to verify that split horizon is enabled. By default, split horizon is enabled; hence, the attribute no-split-horizon should not be seen on the neighbor command as shown in the example below:</t>
    </r>
    <r>
      <rPr>
        <sz val="11"/>
        <color rgb="FF000000"/>
        <rFont val="Calibri"/>
      </rPr>
      <t xml:space="preserve">
</t>
    </r>
    <r>
      <rPr>
        <sz val="11"/>
        <color rgb="FF000000"/>
        <rFont val="Calibri"/>
      </rPr>
      <t xml:space="preserve">l2 vfi VPLS_A manual </t>
    </r>
    <r>
      <rPr>
        <sz val="11"/>
        <color rgb="FF000000"/>
        <rFont val="Calibri"/>
      </rPr>
      <t xml:space="preserve">
</t>
    </r>
    <r>
      <rPr>
        <sz val="11"/>
        <color rgb="FF000000"/>
        <rFont val="Calibri"/>
      </rPr>
      <t xml:space="preserve"> vpn id 110</t>
    </r>
    <r>
      <rPr>
        <sz val="11"/>
        <color rgb="FF000000"/>
        <rFont val="Calibri"/>
      </rPr>
      <t xml:space="preserve">
</t>
    </r>
    <r>
      <rPr>
        <sz val="11"/>
        <color rgb="FF000000"/>
        <rFont val="Calibri"/>
      </rPr>
      <t xml:space="preserve"> bridge-domain 100</t>
    </r>
    <r>
      <rPr>
        <sz val="11"/>
        <color rgb="FF000000"/>
        <rFont val="Calibri"/>
      </rPr>
      <t xml:space="preserve">
</t>
    </r>
    <r>
      <rPr>
        <sz val="11"/>
        <color rgb="FF000000"/>
        <rFont val="Calibri"/>
      </rPr>
      <t xml:space="preserve"> neighbor 10.3.3.3 encapsulation mpls no-split-horizon</t>
    </r>
    <r>
      <rPr>
        <sz val="11"/>
        <color rgb="FF000000"/>
        <rFont val="Calibri"/>
      </rPr>
      <t xml:space="preserve">
</t>
    </r>
    <r>
      <rPr>
        <sz val="11"/>
        <color rgb="FF000000"/>
        <rFont val="Calibri"/>
      </rPr>
      <t>If split horizon is not enabled, this is a finding.</t>
    </r>
    <r>
      <rPr>
        <sz val="11"/>
        <color rgb="FF000000"/>
        <rFont val="Calibri"/>
      </rPr>
      <t xml:space="preserve">
</t>
    </r>
    <r>
      <rPr>
        <sz val="11"/>
        <color rgb="FF000000"/>
        <rFont val="Calibri"/>
      </rPr>
      <t>Note: This requirement is only applicable to a mesh VPLS topology. VPLS solves the loop problem by using a split-horizon rule which states that member PE switches of a VPLS must forward VPLS traffic only to the local attachment circuits when they receive the traffic from the other PE switches. In a ring VPLS, split horizon must be disabled so that a PE switch can forward a packet received from one pseudowire to another pseudowire. To prevent the consequential loop, at least one span in the ring would not have a pseudowire for any given VPLS instance.</t>
    </r>
  </si>
  <si>
    <t>V-221044</t>
  </si>
  <si>
    <r>
      <rPr>
        <sz val="11"/>
        <rFont val="Calibri"/>
      </rPr>
      <t>The Cisco PE switch providing Virtual Private LAN Services (VPLS) must be configured to have traffic storm control thresholds on CE-facing interfaces.</t>
    </r>
  </si>
  <si>
    <r>
      <rPr>
        <sz val="11"/>
        <color rgb="FF000000"/>
        <rFont val="Calibri"/>
      </rPr>
      <t>Configure storm control for each CE-facing interface as shown in the example below:</t>
    </r>
    <r>
      <rPr>
        <sz val="11"/>
        <color rgb="FF000000"/>
        <rFont val="Calibri"/>
      </rPr>
      <t xml:space="preserve">
</t>
    </r>
    <r>
      <rPr>
        <sz val="11"/>
        <color rgb="FF000000"/>
        <rFont val="Calibri"/>
      </rPr>
      <t>SW1(config)#int g3</t>
    </r>
    <r>
      <rPr>
        <sz val="11"/>
        <color rgb="FF000000"/>
        <rFont val="Calibri"/>
      </rPr>
      <t xml:space="preserve">
</t>
    </r>
    <r>
      <rPr>
        <sz val="11"/>
        <color rgb="FF000000"/>
        <rFont val="Calibri"/>
      </rPr>
      <t xml:space="preserve">SW1(config-if)#service instance 10 ethernet </t>
    </r>
    <r>
      <rPr>
        <sz val="11"/>
        <color rgb="FF000000"/>
        <rFont val="Calibri"/>
      </rPr>
      <t xml:space="preserve">
</t>
    </r>
    <r>
      <rPr>
        <sz val="11"/>
        <color rgb="FF000000"/>
        <rFont val="Calibri"/>
      </rPr>
      <t>SW1(config-if-srv)#storm-control broadcast cir 12000000</t>
    </r>
    <r>
      <rPr>
        <sz val="11"/>
        <color rgb="FF000000"/>
        <rFont val="Calibri"/>
      </rPr>
      <t xml:space="preserve">
</t>
    </r>
    <r>
      <rPr>
        <sz val="11"/>
        <color rgb="FF000000"/>
        <rFont val="Calibri"/>
      </rPr>
      <t>SW1(config-if-srv)#end</t>
    </r>
    <r>
      <rPr>
        <sz val="11"/>
        <color rgb="FF000000"/>
        <rFont val="Calibri"/>
      </rPr>
      <t xml:space="preserve">
</t>
    </r>
    <r>
      <rPr>
        <sz val="11"/>
        <color rgb="FF000000"/>
        <rFont val="Calibri"/>
      </rPr>
      <t>Note: The acceptable range is 10000000 -1000000000 for a gigabit ethernet interface, and 100000000-10000000000 for a ten gigabit interface. Storm control is not supported on most FastEthernet interfaces.</t>
    </r>
  </si>
  <si>
    <r>
      <rPr>
        <sz val="11"/>
        <color rgb="FF000000"/>
        <rFont val="Calibri"/>
      </rPr>
      <t>A traffic storm occurs when packets flood a VPLS bridge, creating excessive traffic and degrading network performance. Traffic storm control prevents VPLS bridge disruption by suppressing traffic when the number of packets reaches configured threshold levels. Traffic storm control monitors incoming traffic levels on a port and drops traffic when the number of packets reaches the configured threshold level during any one-second interval.</t>
    </r>
  </si>
  <si>
    <r>
      <rPr>
        <sz val="11"/>
        <color rgb="FF000000"/>
        <rFont val="Calibri"/>
      </rPr>
      <t>Review the switch configuration to verify that storm control is enabled on CE-facing interfaces deploying VPLS as shown in the example below:</t>
    </r>
    <r>
      <rPr>
        <sz val="11"/>
        <color rgb="FF000000"/>
        <rFont val="Calibri"/>
      </rPr>
      <t xml:space="preserve">
</t>
    </r>
    <r>
      <rPr>
        <sz val="11"/>
        <color rgb="FF000000"/>
        <rFont val="Calibri"/>
      </rPr>
      <t>interface GigabitEthernet3</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no ip address</t>
    </r>
    <r>
      <rPr>
        <sz val="11"/>
        <color rgb="FF000000"/>
        <rFont val="Calibri"/>
      </rPr>
      <t xml:space="preserve">
</t>
    </r>
    <r>
      <rPr>
        <sz val="11"/>
        <color rgb="FF000000"/>
        <rFont val="Calibri"/>
      </rPr>
      <t xml:space="preserve"> service instance 10 ethernet</t>
    </r>
    <r>
      <rPr>
        <sz val="11"/>
        <color rgb="FF000000"/>
        <rFont val="Calibri"/>
      </rPr>
      <t xml:space="preserve">
</t>
    </r>
    <r>
      <rPr>
        <sz val="11"/>
        <color rgb="FF000000"/>
        <rFont val="Calibri"/>
      </rPr>
      <t xml:space="preserve"> encapsulation untagged</t>
    </r>
    <r>
      <rPr>
        <sz val="11"/>
        <color rgb="FF000000"/>
        <rFont val="Calibri"/>
      </rPr>
      <t xml:space="preserve">
</t>
    </r>
    <r>
      <rPr>
        <sz val="11"/>
        <color rgb="FF000000"/>
        <rFont val="Calibri"/>
      </rPr>
      <t xml:space="preserve"> bridge-domain 100</t>
    </r>
    <r>
      <rPr>
        <sz val="11"/>
        <color rgb="FF000000"/>
        <rFont val="Calibri"/>
      </rPr>
      <t xml:space="preserve">
</t>
    </r>
    <r>
      <rPr>
        <sz val="11"/>
        <color rgb="FF000000"/>
        <rFont val="Calibri"/>
      </rPr>
      <t xml:space="preserve"> storm-control broadcast cir 12000000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storm control is not enabled at a minimum for broadcast traffic, this is a finding.</t>
    </r>
  </si>
  <si>
    <t>V-221045</t>
  </si>
  <si>
    <r>
      <rPr>
        <sz val="11"/>
        <rFont val="Calibri"/>
      </rPr>
      <t>The Cisco PE switch must be configured to implement Internet Group Management Protocol (IGMP) or Multicast Listener Discovery (MLD) snooping for each Virtual Private LAN Services (VPLS) bridge domain.</t>
    </r>
  </si>
  <si>
    <r>
      <rPr>
        <sz val="11"/>
        <color rgb="FF000000"/>
        <rFont val="Calibri"/>
      </rPr>
      <t>Configure IGMP or MLD snooping for IPv4 and IPv6 multicast traffic respectively for each VPLS bridge domain.</t>
    </r>
    <r>
      <rPr>
        <sz val="11"/>
        <color rgb="FF000000"/>
        <rFont val="Calibri"/>
      </rPr>
      <t xml:space="preserve">
</t>
    </r>
    <r>
      <rPr>
        <sz val="11"/>
        <color rgb="FF000000"/>
        <rFont val="Calibri"/>
      </rPr>
      <t>SW1(config)#bridge-domain 100</t>
    </r>
    <r>
      <rPr>
        <sz val="11"/>
        <color rgb="FF000000"/>
        <rFont val="Calibri"/>
      </rPr>
      <t xml:space="preserve">
</t>
    </r>
    <r>
      <rPr>
        <sz val="11"/>
        <color rgb="FF000000"/>
        <rFont val="Calibri"/>
      </rPr>
      <t xml:space="preserve">SW1(config-bdomain)#ip igmp snooping </t>
    </r>
    <r>
      <rPr>
        <sz val="11"/>
        <color rgb="FF000000"/>
        <rFont val="Calibri"/>
      </rPr>
      <t xml:space="preserve">
</t>
    </r>
    <r>
      <rPr>
        <sz val="11"/>
        <color rgb="FF000000"/>
        <rFont val="Calibri"/>
      </rPr>
      <t>SW1(config-bdomain)#end</t>
    </r>
  </si>
  <si>
    <r>
      <rPr>
        <sz val="11"/>
        <color rgb="FF000000"/>
        <rFont val="Calibri"/>
      </rPr>
      <t>IGMP snooping provides a way to constrain multicast traffic at Layer 2. By monitoring the IGMP membership reports sent by hosts within the bridge domain, the snooping application can set up Layer 2 multicast forwarding tables to deliver traffic only to ports with at least one interested member within the VPLS bridge, thereby significantly reducing the volume of multicast traffic that would otherwise flood an entire VPLS bridge domain. The IGMP snooping operation applies to both access circuits and pseudowires within a VPLS bridge domain.</t>
    </r>
  </si>
  <si>
    <r>
      <rPr>
        <sz val="11"/>
        <color rgb="FF000000"/>
        <rFont val="Calibri"/>
      </rPr>
      <t>Review the switch configuration to verify that IGMP or MLD snooping has been configured for IPv4 and IPv6 multicast traffic respectively for each VPLS bridge domain. The example below are the steps to verify that IGMP snooping is enabled for a VPLS bridge domain.</t>
    </r>
    <r>
      <rPr>
        <sz val="11"/>
        <color rgb="FF000000"/>
        <rFont val="Calibri"/>
      </rPr>
      <t xml:space="preserve">
</t>
    </r>
    <r>
      <rPr>
        <sz val="11"/>
        <color rgb="FF000000"/>
        <rFont val="Calibri"/>
      </rPr>
      <t>Step 1: Verify that IGMP snooping is enabled globally. By default, IGMP snooping is enabled globally; hence, the following command should not be in the switch configuration: no ip igmp snooping</t>
    </r>
    <r>
      <rPr>
        <sz val="11"/>
        <color rgb="FF000000"/>
        <rFont val="Calibri"/>
      </rPr>
      <t xml:space="preserve">
</t>
    </r>
    <r>
      <rPr>
        <sz val="11"/>
        <color rgb="FF000000"/>
        <rFont val="Calibri"/>
      </rPr>
      <t>Step 2: If IGMP snooping is enabled globally, it will also be enabled by default for each VPLS bridge domain. Hence, the command “no ip igmp snooping” should not be configured for any VPLS bridge domain as shown in the example below:</t>
    </r>
    <r>
      <rPr>
        <sz val="11"/>
        <color rgb="FF000000"/>
        <rFont val="Calibri"/>
      </rPr>
      <t xml:space="preserve">
</t>
    </r>
    <r>
      <rPr>
        <sz val="11"/>
        <color rgb="FF000000"/>
        <rFont val="Calibri"/>
      </rPr>
      <t xml:space="preserve">bridge-domain 100 </t>
    </r>
    <r>
      <rPr>
        <sz val="11"/>
        <color rgb="FF000000"/>
        <rFont val="Calibri"/>
      </rPr>
      <t xml:space="preserve">
</t>
    </r>
    <r>
      <rPr>
        <sz val="11"/>
        <color rgb="FF000000"/>
        <rFont val="Calibri"/>
      </rPr>
      <t xml:space="preserve"> no ip igmp snooping</t>
    </r>
    <r>
      <rPr>
        <sz val="11"/>
        <color rgb="FF000000"/>
        <rFont val="Calibri"/>
      </rPr>
      <t xml:space="preserve">
</t>
    </r>
    <r>
      <rPr>
        <sz val="11"/>
        <color rgb="FF000000"/>
        <rFont val="Calibri"/>
      </rPr>
      <t>!</t>
    </r>
    <r>
      <rPr>
        <sz val="11"/>
        <color rgb="FF000000"/>
        <rFont val="Calibri"/>
      </rPr>
      <t xml:space="preserve">
</t>
    </r>
    <r>
      <rPr>
        <sz val="11"/>
        <color rgb="FF000000"/>
        <rFont val="Calibri"/>
      </rPr>
      <t>If the switch is not configured to implement IGMP or MLD snooping for each VPLS bridge domain, this is a finding.</t>
    </r>
  </si>
  <si>
    <t>V-221046</t>
  </si>
  <si>
    <r>
      <rPr>
        <sz val="11"/>
        <rFont val="Calibri"/>
      </rPr>
      <t>The Cisco PE switch must be configured to limit the number of MAC addresses it can learn for each Virtual Private LAN Services (VPLS) bridge domain.</t>
    </r>
  </si>
  <si>
    <r>
      <rPr>
        <sz val="11"/>
        <color rgb="FF000000"/>
        <rFont val="Calibri"/>
      </rPr>
      <t>Configure a MAC address learning limit for each VPLS bridge domain.</t>
    </r>
    <r>
      <rPr>
        <sz val="11"/>
        <color rgb="FF000000"/>
        <rFont val="Calibri"/>
      </rPr>
      <t xml:space="preserve">
</t>
    </r>
    <r>
      <rPr>
        <sz val="11"/>
        <color rgb="FF000000"/>
        <rFont val="Calibri"/>
      </rPr>
      <t>SW1(config-bdomain)#mac limit maximum addresses nnnn</t>
    </r>
  </si>
  <si>
    <r>
      <rPr>
        <sz val="11"/>
        <color rgb="FF000000"/>
        <rFont val="Calibri"/>
      </rPr>
      <t>VPLS defines an architecture that delivers Ethernet multipoint services over an MPLS network. Customer Layer 2 frames are forwarded across the MPLS core via pseudowires using IEEE 802.1q Ethernet bridging principles. A pseudowire is a virtual bidirectional connection between two attachment circuits (virtual connections between PE and CE switches). A pseudowire contains two unidirectional label-switched paths (LSP). Each MAC forwarding table instance is interconnected using domain-specific LSPs, thereby maintaining privacy and logical separation between each VPLS domain.</t>
    </r>
    <r>
      <rPr>
        <sz val="11"/>
        <color rgb="FF000000"/>
        <rFont val="Calibri"/>
      </rPr>
      <t xml:space="preserve">
</t>
    </r>
    <r>
      <rPr>
        <sz val="11"/>
        <color rgb="FF000000"/>
        <rFont val="Calibri"/>
      </rPr>
      <t>When a frame arrives on a bridge port (pseudowire or attachment circuit) and the source MAC address is unknown to the receiving PE switch, the source MAC address is associated with the pseudowire or attachment circuit and the forwarding table is updated accordingly. Frames are forwarded to the appropriate pseudowire or attachment circuit according to the forwarding table entry for the destination MAC address. Ethernet frames sent to broadcast and unknown destination addresses must be flooded out to all interfaces for the bridge domain; hence, a PE switch must replicate packets across both attachment circuits and pseudowires.</t>
    </r>
    <r>
      <rPr>
        <sz val="11"/>
        <color rgb="FF000000"/>
        <rFont val="Calibri"/>
      </rPr>
      <t xml:space="preserve">
</t>
    </r>
    <r>
      <rPr>
        <sz val="11"/>
        <color rgb="FF000000"/>
        <rFont val="Calibri"/>
      </rPr>
      <t>A malicious attacker residing in a customer network could launch a source MAC address spoofing attack by flooding packets to a valid unicast destination, each with a different MAC source address. The PE switch receiving this traffic would try to learn every new MAC address and would quickly run out of space for the VFI forwarding table. Older, valid MAC addresses would be removed from the table, and traffic sent to them would have to be flooded until the storm threshold limit is reached. Hence, it is essential that a limit is established to control the number of MAC addresses that will be learned and recorded into the forwarding table for each bridge domain.</t>
    </r>
  </si>
  <si>
    <r>
      <rPr>
        <sz val="11"/>
        <color rgb="FF000000"/>
        <rFont val="Calibri"/>
      </rPr>
      <t>Review the PE switch configuration to determine if a MAC address limit has been set for each VPLS bridge domain.</t>
    </r>
    <r>
      <rPr>
        <sz val="11"/>
        <color rgb="FF000000"/>
        <rFont val="Calibri"/>
      </rPr>
      <t xml:space="preserve">
</t>
    </r>
    <r>
      <rPr>
        <sz val="11"/>
        <color rgb="FF000000"/>
        <rFont val="Calibri"/>
      </rPr>
      <t xml:space="preserve">bridge-domain 100 </t>
    </r>
    <r>
      <rPr>
        <sz val="11"/>
        <color rgb="FF000000"/>
        <rFont val="Calibri"/>
      </rPr>
      <t xml:space="preserve">
</t>
    </r>
    <r>
      <rPr>
        <sz val="11"/>
        <color rgb="FF000000"/>
        <rFont val="Calibri"/>
      </rPr>
      <t xml:space="preserve"> mac limit maximum addresses nnnnn</t>
    </r>
    <r>
      <rPr>
        <sz val="11"/>
        <color rgb="FF000000"/>
        <rFont val="Calibri"/>
      </rPr>
      <t xml:space="preserve">
</t>
    </r>
    <r>
      <rPr>
        <sz val="11"/>
        <color rgb="FF000000"/>
        <rFont val="Calibri"/>
      </rPr>
      <t>If a limit has not been configured, this is a finding.</t>
    </r>
  </si>
  <si>
    <t>V-221047</t>
  </si>
  <si>
    <r>
      <rPr>
        <sz val="11"/>
        <rFont val="Calibri"/>
      </rPr>
      <t>The Cisco PE switch must be configured to block any traffic that is destined to the IP core infrastructure.</t>
    </r>
  </si>
  <si>
    <r>
      <rPr>
        <sz val="11"/>
        <color rgb="FF000000"/>
        <rFont val="Calibri"/>
      </rPr>
      <t>Configure protection for the IP core to be implemented at the edges by blocking any traffic with a destination address assigned to the IP core infrastructure.</t>
    </r>
    <r>
      <rPr>
        <sz val="11"/>
        <color rgb="FF000000"/>
        <rFont val="Calibri"/>
      </rPr>
      <t xml:space="preserve">
</t>
    </r>
    <r>
      <rPr>
        <sz val="11"/>
        <color rgb="FF000000"/>
        <rFont val="Calibri"/>
      </rPr>
      <t>Step 1: Configure an ingress ACL to discard and log packets destined to the IP core address space.</t>
    </r>
    <r>
      <rPr>
        <sz val="11"/>
        <color rgb="FF000000"/>
        <rFont val="Calibri"/>
      </rPr>
      <t xml:space="preserve">
</t>
    </r>
    <r>
      <rPr>
        <sz val="11"/>
        <color rgb="FF000000"/>
        <rFont val="Calibri"/>
      </rPr>
      <t>SW2(config)#ip access-list extended BLOCK_TO_CORE</t>
    </r>
    <r>
      <rPr>
        <sz val="11"/>
        <color rgb="FF000000"/>
        <rFont val="Calibri"/>
      </rPr>
      <t xml:space="preserve">
</t>
    </r>
    <r>
      <rPr>
        <sz val="11"/>
        <color rgb="FF000000"/>
        <rFont val="Calibri"/>
      </rPr>
      <t>SW2(config-ext-nacl)#deny ip any 10.1.x.0 0.0.255.255 log-input</t>
    </r>
    <r>
      <rPr>
        <sz val="11"/>
        <color rgb="FF000000"/>
        <rFont val="Calibri"/>
      </rPr>
      <t xml:space="preserve">
</t>
    </r>
    <r>
      <rPr>
        <sz val="11"/>
        <color rgb="FF000000"/>
        <rFont val="Calibri"/>
      </rPr>
      <t>SW2(config-ext-nacl)#exit</t>
    </r>
    <r>
      <rPr>
        <sz val="11"/>
        <color rgb="FF000000"/>
        <rFont val="Calibri"/>
      </rPr>
      <t xml:space="preserve">
</t>
    </r>
    <r>
      <rPr>
        <sz val="11"/>
        <color rgb="FF000000"/>
        <rFont val="Calibri"/>
      </rPr>
      <t>Step 2: Apply the ACL inbound to all external or CE-facing interfaces.</t>
    </r>
    <r>
      <rPr>
        <sz val="11"/>
        <color rgb="FF000000"/>
        <rFont val="Calibri"/>
      </rPr>
      <t xml:space="preserve">
</t>
    </r>
    <r>
      <rPr>
        <sz val="11"/>
        <color rgb="FF000000"/>
        <rFont val="Calibri"/>
      </rPr>
      <t>SW2(config)#int SW1(config)#int g0/2</t>
    </r>
    <r>
      <rPr>
        <sz val="11"/>
        <color rgb="FF000000"/>
        <rFont val="Calibri"/>
      </rPr>
      <t xml:space="preserve">
</t>
    </r>
    <r>
      <rPr>
        <sz val="11"/>
        <color rgb="FF000000"/>
        <rFont val="Calibri"/>
      </rPr>
      <t>SW2(config-if)#ip access-group BLOCK_TO_CORE in</t>
    </r>
    <r>
      <rPr>
        <sz val="11"/>
        <color rgb="FF000000"/>
        <rFont val="Calibri"/>
      </rPr>
      <t xml:space="preserve">
</t>
    </r>
    <r>
      <rPr>
        <sz val="11"/>
        <color rgb="FF000000"/>
        <rFont val="Calibri"/>
      </rPr>
      <t>SW2(config-if)#end</t>
    </r>
  </si>
  <si>
    <r>
      <rPr>
        <sz val="11"/>
        <color rgb="FF000000"/>
        <rFont val="Calibri"/>
      </rPr>
      <t>IP addresses can be guessed. Core network elements must not be accessible from any external host. Protecting the core from any attack is vital for the integrity and privacy of customer traffic as well as the availability of transit services. A compromise of the IP core can result in an outage or, at a minimum, non-optimized forwarding of customer traffic. Protecting the core from an outside attack also prevents attackers from using the core to attack any customer. Hence, it is imperative that all switches at the edge deny traffic destined to any address belonging to the IP core infrastructure.</t>
    </r>
  </si>
  <si>
    <r>
      <rPr>
        <sz val="11"/>
        <color rgb="FF000000"/>
        <rFont val="Calibri"/>
      </rPr>
      <t xml:space="preserve">Step 1: Review the switch configuration to verify that an ingress ACL is applied to all external or CE-facing interfaces. </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x.1.12.2 255.255.255.252</t>
    </r>
    <r>
      <rPr>
        <sz val="11"/>
        <color rgb="FF000000"/>
        <rFont val="Calibri"/>
      </rPr>
      <t xml:space="preserve">
</t>
    </r>
    <r>
      <rPr>
        <sz val="11"/>
        <color rgb="FF000000"/>
        <rFont val="Calibri"/>
      </rPr>
      <t xml:space="preserve"> ip access-group BLOCK_TO_CORE in</t>
    </r>
    <r>
      <rPr>
        <sz val="11"/>
        <color rgb="FF000000"/>
        <rFont val="Calibri"/>
      </rPr>
      <t xml:space="preserve">
</t>
    </r>
    <r>
      <rPr>
        <sz val="11"/>
        <color rgb="FF000000"/>
        <rFont val="Calibri"/>
      </rPr>
      <t xml:space="preserve">Step 2: Verify that the ingress ACL discards and logs packets destined to the IP core address space. </t>
    </r>
    <r>
      <rPr>
        <sz val="11"/>
        <color rgb="FF000000"/>
        <rFont val="Calibri"/>
      </rPr>
      <t xml:space="preserve">
</t>
    </r>
    <r>
      <rPr>
        <sz val="11"/>
        <color rgb="FF000000"/>
        <rFont val="Calibri"/>
      </rPr>
      <t>ip access-list extended BLOCK_TO_CORE</t>
    </r>
    <r>
      <rPr>
        <sz val="11"/>
        <color rgb="FF000000"/>
        <rFont val="Calibri"/>
      </rPr>
      <t xml:space="preserve">
</t>
    </r>
    <r>
      <rPr>
        <sz val="11"/>
        <color rgb="FF000000"/>
        <rFont val="Calibri"/>
      </rPr>
      <t xml:space="preserve"> deny ip any 10.1.x.0 0.0.255.255 log-input</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PE switch is not configured to block any traffic with a destination address assigned to the IP core infrastructure, this is a finding.</t>
    </r>
    <r>
      <rPr>
        <sz val="11"/>
        <color rgb="FF000000"/>
        <rFont val="Calibri"/>
      </rPr>
      <t xml:space="preserve">
</t>
    </r>
    <r>
      <rPr>
        <sz val="11"/>
        <color rgb="FF000000"/>
        <rFont val="Calibri"/>
      </rPr>
      <t>Note: Internet Control Message Protocol (ICMP) echo requests and traceroutes will be allowed to the edge from external adjacent neighbors.</t>
    </r>
  </si>
  <si>
    <t>V-221048</t>
  </si>
  <si>
    <r>
      <rPr>
        <sz val="11"/>
        <rFont val="Calibri"/>
      </rPr>
      <t>The Cisco PE switch must be configured with Unicast Reverse Path Forwarding (uRPF) loose mode enabled on all CE-facing interfaces.</t>
    </r>
  </si>
  <si>
    <r>
      <rPr>
        <sz val="11"/>
        <color rgb="FF000000"/>
        <rFont val="Calibri"/>
      </rPr>
      <t>Configure uRPF loose mode on all CE-facing interfaces as shown in the example below:</t>
    </r>
    <r>
      <rPr>
        <sz val="11"/>
        <color rgb="FF000000"/>
        <rFont val="Calibri"/>
      </rPr>
      <t xml:space="preserve">
</t>
    </r>
    <r>
      <rPr>
        <sz val="11"/>
        <color rgb="FF000000"/>
        <rFont val="Calibri"/>
      </rPr>
      <t>SW2(config)#int SW1(config)#int g0/2</t>
    </r>
    <r>
      <rPr>
        <sz val="11"/>
        <color rgb="FF000000"/>
        <rFont val="Calibri"/>
      </rPr>
      <t xml:space="preserve">
</t>
    </r>
    <r>
      <rPr>
        <sz val="11"/>
        <color rgb="FF000000"/>
        <rFont val="Calibri"/>
      </rPr>
      <t>SW2(config-if)#ip verify unicast source reachable-via any</t>
    </r>
    <r>
      <rPr>
        <sz val="11"/>
        <color rgb="FF000000"/>
        <rFont val="Calibri"/>
      </rPr>
      <t xml:space="preserve">
</t>
    </r>
    <r>
      <rPr>
        <sz val="11"/>
        <color rgb="FF000000"/>
        <rFont val="Calibri"/>
      </rPr>
      <t>SW2(config-if)#end</t>
    </r>
  </si>
  <si>
    <r>
      <rPr>
        <sz val="11"/>
        <color rgb="FF000000"/>
        <rFont val="Calibri"/>
      </rPr>
      <t>The uRPF feature is a defense against spoofing and denial-of-service (DoS) attacks by verifying if the source address of any ingress packet is reachable. To mitigate attacks that rely on forged source addresses, all provider edge switches must enable uRPF loose mode to guarantee that all packets received from a CE switch contain source addresses that are in the route table.</t>
    </r>
  </si>
  <si>
    <r>
      <rPr>
        <sz val="11"/>
        <color rgb="FF000000"/>
        <rFont val="Calibri"/>
      </rPr>
      <t>Review the switch configuration to determine if uRPF loose mode is enabled on all CE-facing interfaces.</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x.1.12.2 255.255.255.252</t>
    </r>
    <r>
      <rPr>
        <sz val="11"/>
        <color rgb="FF000000"/>
        <rFont val="Calibri"/>
      </rPr>
      <t xml:space="preserve">
</t>
    </r>
    <r>
      <rPr>
        <sz val="11"/>
        <color rgb="FF000000"/>
        <rFont val="Calibri"/>
      </rPr>
      <t xml:space="preserve"> ip access-group BLOCK_TO_CORE in</t>
    </r>
    <r>
      <rPr>
        <sz val="11"/>
        <color rgb="FF000000"/>
        <rFont val="Calibri"/>
      </rPr>
      <t xml:space="preserve">
</t>
    </r>
    <r>
      <rPr>
        <sz val="11"/>
        <color rgb="FF000000"/>
        <rFont val="Calibri"/>
      </rPr>
      <t xml:space="preserve"> ip verify unicast source reachable-via any</t>
    </r>
    <r>
      <rPr>
        <sz val="11"/>
        <color rgb="FF000000"/>
        <rFont val="Calibri"/>
      </rPr>
      <t xml:space="preserve">
</t>
    </r>
    <r>
      <rPr>
        <sz val="11"/>
        <color rgb="FF000000"/>
        <rFont val="Calibri"/>
      </rPr>
      <t>If uRPF loose mode is not enabled on all CE-facing interfaces, this is a finding.</t>
    </r>
  </si>
  <si>
    <t>V-221049</t>
  </si>
  <si>
    <r>
      <rPr>
        <sz val="11"/>
        <rFont val="Calibri"/>
      </rPr>
      <t>The Cisco PE switch must be configured to ignore or drop all packets with any IP options.</t>
    </r>
  </si>
  <si>
    <r>
      <rPr>
        <sz val="11"/>
        <color rgb="FF000000"/>
        <rFont val="Calibri"/>
      </rPr>
      <t>Configure the switch to ignore or drop all packets with IP options as shown in the examples below:</t>
    </r>
    <r>
      <rPr>
        <sz val="11"/>
        <color rgb="FF000000"/>
        <rFont val="Calibri"/>
      </rPr>
      <t xml:space="preserve">
</t>
    </r>
    <r>
      <rPr>
        <sz val="11"/>
        <color rgb="FF000000"/>
        <rFont val="Calibri"/>
      </rPr>
      <t xml:space="preserve">SW1(config)#ip options ignore </t>
    </r>
    <r>
      <rPr>
        <sz val="11"/>
        <color rgb="FF000000"/>
        <rFont val="Calibri"/>
      </rPr>
      <t xml:space="preserve">
</t>
    </r>
    <r>
      <rPr>
        <sz val="11"/>
        <color rgb="FF000000"/>
        <rFont val="Calibri"/>
      </rPr>
      <t>or</t>
    </r>
    <r>
      <rPr>
        <sz val="11"/>
        <color rgb="FF000000"/>
        <rFont val="Calibri"/>
      </rPr>
      <t xml:space="preserve">
</t>
    </r>
    <r>
      <rPr>
        <sz val="11"/>
        <color rgb="FF000000"/>
        <rFont val="Calibri"/>
      </rPr>
      <t>SW1(config)#ip options drop</t>
    </r>
  </si>
  <si>
    <r>
      <rPr>
        <sz val="11"/>
        <color rgb="FF000000"/>
        <rFont val="Calibri"/>
      </rPr>
      <t>Packets with IP options are not fast-switched and therefore must be punted to the switch processor. Hackers who initiate denial-of-service (DoS) attacks on switches commonly send large streams of packets with IP options. Dropping the packets with IP options reduces the load of IP options packets on the switch. The end result is a reduction in the effects of the DoS attack on the switch and on downstream switches.</t>
    </r>
  </si>
  <si>
    <r>
      <rPr>
        <sz val="11"/>
        <color rgb="FF000000"/>
        <rFont val="Calibri"/>
      </rPr>
      <t>Review the switch configuration to determine if it will ignore or drop all packets with IP options as shown in the examples below:</t>
    </r>
    <r>
      <rPr>
        <sz val="11"/>
        <color rgb="FF000000"/>
        <rFont val="Calibri"/>
      </rPr>
      <t xml:space="preserve">
</t>
    </r>
    <r>
      <rPr>
        <sz val="11"/>
        <color rgb="FF000000"/>
        <rFont val="Calibri"/>
      </rPr>
      <t>ip options drop</t>
    </r>
    <r>
      <rPr>
        <sz val="11"/>
        <color rgb="FF000000"/>
        <rFont val="Calibri"/>
      </rPr>
      <t xml:space="preserve">
</t>
    </r>
    <r>
      <rPr>
        <sz val="11"/>
        <color rgb="FF000000"/>
        <rFont val="Calibri"/>
      </rPr>
      <t>or</t>
    </r>
    <r>
      <rPr>
        <sz val="11"/>
        <color rgb="FF000000"/>
        <rFont val="Calibri"/>
      </rPr>
      <t xml:space="preserve">
</t>
    </r>
    <r>
      <rPr>
        <sz val="11"/>
        <color rgb="FF000000"/>
        <rFont val="Calibri"/>
      </rPr>
      <t>ip options ignore</t>
    </r>
    <r>
      <rPr>
        <sz val="11"/>
        <color rgb="FF000000"/>
        <rFont val="Calibri"/>
      </rPr>
      <t xml:space="preserve">
</t>
    </r>
    <r>
      <rPr>
        <sz val="11"/>
        <color rgb="FF000000"/>
        <rFont val="Calibri"/>
      </rPr>
      <t>If the switch is not configured to drop or block all packets with IP options, this is a finding.</t>
    </r>
  </si>
  <si>
    <t>V-221050</t>
  </si>
  <si>
    <r>
      <rPr>
        <sz val="11"/>
        <rFont val="Calibri"/>
      </rPr>
      <t>The Cisco PE switch must be configured to enforce a Quality-of-Service (QoS) policy to provide preferred treatment for mission-critical applications.</t>
    </r>
  </si>
  <si>
    <r>
      <rPr>
        <sz val="11"/>
        <color rgb="FF000000"/>
        <rFont val="Calibri"/>
      </rPr>
      <t>Configure to enforce a QoS policy to provide preferred treatment for mission-critical applications.</t>
    </r>
    <r>
      <rPr>
        <sz val="11"/>
        <color rgb="FF000000"/>
        <rFont val="Calibri"/>
      </rPr>
      <t xml:space="preserve">
</t>
    </r>
    <r>
      <rPr>
        <sz val="11"/>
        <color rgb="FF000000"/>
        <rFont val="Calibri"/>
      </rPr>
      <t>Step 1: Configure class-maps to match on DSCP values as shown in the configuration example below:</t>
    </r>
    <r>
      <rPr>
        <sz val="11"/>
        <color rgb="FF000000"/>
        <rFont val="Calibri"/>
      </rPr>
      <t xml:space="preserve">
</t>
    </r>
    <r>
      <rPr>
        <sz val="11"/>
        <color rgb="FF000000"/>
        <rFont val="Calibri"/>
      </rPr>
      <t>SW1(config)#class-map match-all PREFERRED_DATA</t>
    </r>
    <r>
      <rPr>
        <sz val="11"/>
        <color rgb="FF000000"/>
        <rFont val="Calibri"/>
      </rPr>
      <t xml:space="preserve">
</t>
    </r>
    <r>
      <rPr>
        <sz val="11"/>
        <color rgb="FF000000"/>
        <rFont val="Calibri"/>
      </rPr>
      <t>SW1(config-cmap)#match ip dscp af33</t>
    </r>
    <r>
      <rPr>
        <sz val="11"/>
        <color rgb="FF000000"/>
        <rFont val="Calibri"/>
      </rPr>
      <t xml:space="preserve">
</t>
    </r>
    <r>
      <rPr>
        <sz val="11"/>
        <color rgb="FF000000"/>
        <rFont val="Calibri"/>
      </rPr>
      <t>SW1(config-cmap)#class-map match-all CONTROL_PLANE</t>
    </r>
    <r>
      <rPr>
        <sz val="11"/>
        <color rgb="FF000000"/>
        <rFont val="Calibri"/>
      </rPr>
      <t xml:space="preserve">
</t>
    </r>
    <r>
      <rPr>
        <sz val="11"/>
        <color rgb="FF000000"/>
        <rFont val="Calibri"/>
      </rPr>
      <t>SW1(config-cmap)#match ip dscp cs6</t>
    </r>
    <r>
      <rPr>
        <sz val="11"/>
        <color rgb="FF000000"/>
        <rFont val="Calibri"/>
      </rPr>
      <t xml:space="preserve">
</t>
    </r>
    <r>
      <rPr>
        <sz val="11"/>
        <color rgb="FF000000"/>
        <rFont val="Calibri"/>
      </rPr>
      <t>SW1(config-cmap)#class-map match-all VIDEO</t>
    </r>
    <r>
      <rPr>
        <sz val="11"/>
        <color rgb="FF000000"/>
        <rFont val="Calibri"/>
      </rPr>
      <t xml:space="preserve">
</t>
    </r>
    <r>
      <rPr>
        <sz val="11"/>
        <color rgb="FF000000"/>
        <rFont val="Calibri"/>
      </rPr>
      <t>SW1(config-cmap)#match ip dscp af41</t>
    </r>
    <r>
      <rPr>
        <sz val="11"/>
        <color rgb="FF000000"/>
        <rFont val="Calibri"/>
      </rPr>
      <t xml:space="preserve">
</t>
    </r>
    <r>
      <rPr>
        <sz val="11"/>
        <color rgb="FF000000"/>
        <rFont val="Calibri"/>
      </rPr>
      <t>SW1(config-cmap)#class-map match-all VOICE</t>
    </r>
    <r>
      <rPr>
        <sz val="11"/>
        <color rgb="FF000000"/>
        <rFont val="Calibri"/>
      </rPr>
      <t xml:space="preserve">
</t>
    </r>
    <r>
      <rPr>
        <sz val="11"/>
        <color rgb="FF000000"/>
        <rFont val="Calibri"/>
      </rPr>
      <t>SW1(config-cmap)#match ip dscp ef</t>
    </r>
    <r>
      <rPr>
        <sz val="11"/>
        <color rgb="FF000000"/>
        <rFont val="Calibri"/>
      </rPr>
      <t xml:space="preserve">
</t>
    </r>
    <r>
      <rPr>
        <sz val="11"/>
        <color rgb="FF000000"/>
        <rFont val="Calibri"/>
      </rPr>
      <t>SW1(config-cmap)#class-map match-all C2_VOICE</t>
    </r>
    <r>
      <rPr>
        <sz val="11"/>
        <color rgb="FF000000"/>
        <rFont val="Calibri"/>
      </rPr>
      <t xml:space="preserve">
</t>
    </r>
    <r>
      <rPr>
        <sz val="11"/>
        <color rgb="FF000000"/>
        <rFont val="Calibri"/>
      </rPr>
      <t>SW1(config-cmap)#match ip dscp 47</t>
    </r>
    <r>
      <rPr>
        <sz val="11"/>
        <color rgb="FF000000"/>
        <rFont val="Calibri"/>
      </rPr>
      <t xml:space="preserve">
</t>
    </r>
    <r>
      <rPr>
        <sz val="11"/>
        <color rgb="FF000000"/>
        <rFont val="Calibri"/>
      </rPr>
      <t>SW1(config-cmap)#exit</t>
    </r>
    <r>
      <rPr>
        <sz val="11"/>
        <color rgb="FF000000"/>
        <rFont val="Calibri"/>
      </rPr>
      <t xml:space="preserve">
</t>
    </r>
    <r>
      <rPr>
        <sz val="11"/>
        <color rgb="FF000000"/>
        <rFont val="Calibri"/>
      </rPr>
      <t>Step 2: Configure a policy map to be applied to the core-layer-facing interface that reserves the bandwidth for each traffic type as shown in the example below:</t>
    </r>
    <r>
      <rPr>
        <sz val="11"/>
        <color rgb="FF000000"/>
        <rFont val="Calibri"/>
      </rPr>
      <t xml:space="preserve">
</t>
    </r>
    <r>
      <rPr>
        <sz val="11"/>
        <color rgb="FF000000"/>
        <rFont val="Calibri"/>
      </rPr>
      <t>SW1(config)#policy-map QOS_POLICY</t>
    </r>
    <r>
      <rPr>
        <sz val="11"/>
        <color rgb="FF000000"/>
        <rFont val="Calibri"/>
      </rPr>
      <t xml:space="preserve">
</t>
    </r>
    <r>
      <rPr>
        <sz val="11"/>
        <color rgb="FF000000"/>
        <rFont val="Calibri"/>
      </rPr>
      <t>SW1(config-pmap)#class CONTROL_PLANE</t>
    </r>
    <r>
      <rPr>
        <sz val="11"/>
        <color rgb="FF000000"/>
        <rFont val="Calibri"/>
      </rPr>
      <t xml:space="preserve">
</t>
    </r>
    <r>
      <rPr>
        <sz val="11"/>
        <color rgb="FF000000"/>
        <rFont val="Calibri"/>
      </rPr>
      <t>SW1(config-pmap-c)#priority percent 10</t>
    </r>
    <r>
      <rPr>
        <sz val="11"/>
        <color rgb="FF000000"/>
        <rFont val="Calibri"/>
      </rPr>
      <t xml:space="preserve">
</t>
    </r>
    <r>
      <rPr>
        <sz val="11"/>
        <color rgb="FF000000"/>
        <rFont val="Calibri"/>
      </rPr>
      <t>SW1(config-pmap-c)#class C2_VOICE</t>
    </r>
    <r>
      <rPr>
        <sz val="11"/>
        <color rgb="FF000000"/>
        <rFont val="Calibri"/>
      </rPr>
      <t xml:space="preserve">
</t>
    </r>
    <r>
      <rPr>
        <sz val="11"/>
        <color rgb="FF000000"/>
        <rFont val="Calibri"/>
      </rPr>
      <t>SW1(config-pmap-c)#priority percent 10</t>
    </r>
    <r>
      <rPr>
        <sz val="11"/>
        <color rgb="FF000000"/>
        <rFont val="Calibri"/>
      </rPr>
      <t xml:space="preserve">
</t>
    </r>
    <r>
      <rPr>
        <sz val="11"/>
        <color rgb="FF000000"/>
        <rFont val="Calibri"/>
      </rPr>
      <t>SW1(config-pmap-c)#class VOICE</t>
    </r>
    <r>
      <rPr>
        <sz val="11"/>
        <color rgb="FF000000"/>
        <rFont val="Calibri"/>
      </rPr>
      <t xml:space="preserve">
</t>
    </r>
    <r>
      <rPr>
        <sz val="11"/>
        <color rgb="FF000000"/>
        <rFont val="Calibri"/>
      </rPr>
      <t>SW1(config-pmap-c)#priority percent 15</t>
    </r>
    <r>
      <rPr>
        <sz val="11"/>
        <color rgb="FF000000"/>
        <rFont val="Calibri"/>
      </rPr>
      <t xml:space="preserve">
</t>
    </r>
    <r>
      <rPr>
        <sz val="11"/>
        <color rgb="FF000000"/>
        <rFont val="Calibri"/>
      </rPr>
      <t>SW1(config-pmap-c)#class VIDEO</t>
    </r>
    <r>
      <rPr>
        <sz val="11"/>
        <color rgb="FF000000"/>
        <rFont val="Calibri"/>
      </rPr>
      <t xml:space="preserve">
</t>
    </r>
    <r>
      <rPr>
        <sz val="11"/>
        <color rgb="FF000000"/>
        <rFont val="Calibri"/>
      </rPr>
      <t>SW1(config-pmap-c)#bandwidth percent 25</t>
    </r>
    <r>
      <rPr>
        <sz val="11"/>
        <color rgb="FF000000"/>
        <rFont val="Calibri"/>
      </rPr>
      <t xml:space="preserve">
</t>
    </r>
    <r>
      <rPr>
        <sz val="11"/>
        <color rgb="FF000000"/>
        <rFont val="Calibri"/>
      </rPr>
      <t>SW1(config-pmap-c)#class PREFERRED_DATA</t>
    </r>
    <r>
      <rPr>
        <sz val="11"/>
        <color rgb="FF000000"/>
        <rFont val="Calibri"/>
      </rPr>
      <t xml:space="preserve">
</t>
    </r>
    <r>
      <rPr>
        <sz val="11"/>
        <color rgb="FF000000"/>
        <rFont val="Calibri"/>
      </rPr>
      <t>SW1(config-pmap-c)#bandwidth percent 25</t>
    </r>
    <r>
      <rPr>
        <sz val="11"/>
        <color rgb="FF000000"/>
        <rFont val="Calibri"/>
      </rPr>
      <t xml:space="preserve">
</t>
    </r>
    <r>
      <rPr>
        <sz val="11"/>
        <color rgb="FF000000"/>
        <rFont val="Calibri"/>
      </rPr>
      <t>SW1(config-pmap-c)#class class-default</t>
    </r>
    <r>
      <rPr>
        <sz val="11"/>
        <color rgb="FF000000"/>
        <rFont val="Calibri"/>
      </rPr>
      <t xml:space="preserve">
</t>
    </r>
    <r>
      <rPr>
        <sz val="11"/>
        <color rgb="FF000000"/>
        <rFont val="Calibri"/>
      </rPr>
      <t>SW1(config-pmap-c)#bandwidth percent 15</t>
    </r>
    <r>
      <rPr>
        <sz val="11"/>
        <color rgb="FF000000"/>
        <rFont val="Calibri"/>
      </rPr>
      <t xml:space="preserve">
</t>
    </r>
    <r>
      <rPr>
        <sz val="11"/>
        <color rgb="FF000000"/>
        <rFont val="Calibri"/>
      </rPr>
      <t>SW1(config-pmap-c)#exit</t>
    </r>
    <r>
      <rPr>
        <sz val="11"/>
        <color rgb="FF000000"/>
        <rFont val="Calibri"/>
      </rPr>
      <t xml:space="preserve">
</t>
    </r>
    <r>
      <rPr>
        <sz val="11"/>
        <color rgb="FF000000"/>
        <rFont val="Calibri"/>
      </rPr>
      <t>SW1(config-pmap)#exit</t>
    </r>
    <r>
      <rPr>
        <sz val="11"/>
        <color rgb="FF000000"/>
        <rFont val="Calibri"/>
      </rPr>
      <t xml:space="preserve">
</t>
    </r>
    <r>
      <rPr>
        <sz val="11"/>
        <color rgb="FF000000"/>
        <rFont val="Calibri"/>
      </rPr>
      <t>Step 3: Apply the output service policy to all interfaces as shown in the configuration example below:</t>
    </r>
    <r>
      <rPr>
        <sz val="11"/>
        <color rgb="FF000000"/>
        <rFont val="Calibri"/>
      </rPr>
      <t xml:space="preserve">
</t>
    </r>
    <r>
      <rPr>
        <sz val="11"/>
        <color rgb="FF000000"/>
        <rFont val="Calibri"/>
      </rPr>
      <t>SW1(config)#int g1/1</t>
    </r>
    <r>
      <rPr>
        <sz val="11"/>
        <color rgb="FF000000"/>
        <rFont val="Calibri"/>
      </rPr>
      <t xml:space="preserve">
</t>
    </r>
    <r>
      <rPr>
        <sz val="11"/>
        <color rgb="FF000000"/>
        <rFont val="Calibri"/>
      </rPr>
      <t>SW1(config-if)#service-policy output QOS_POLICY</t>
    </r>
    <r>
      <rPr>
        <sz val="11"/>
        <color rgb="FF000000"/>
        <rFont val="Calibri"/>
      </rPr>
      <t xml:space="preserve">
</t>
    </r>
    <r>
      <rPr>
        <sz val="11"/>
        <color rgb="FF000000"/>
        <rFont val="Calibri"/>
      </rPr>
      <t>SW1(config-if)#exit</t>
    </r>
    <r>
      <rPr>
        <sz val="11"/>
        <color rgb="FF000000"/>
        <rFont val="Calibri"/>
      </rPr>
      <t xml:space="preserve">
</t>
    </r>
    <r>
      <rPr>
        <sz val="11"/>
        <color rgb="FF000000"/>
        <rFont val="Calibri"/>
      </rPr>
      <t>SW1(config)#int g1/2</t>
    </r>
    <r>
      <rPr>
        <sz val="11"/>
        <color rgb="FF000000"/>
        <rFont val="Calibri"/>
      </rPr>
      <t xml:space="preserve">
</t>
    </r>
    <r>
      <rPr>
        <sz val="11"/>
        <color rgb="FF000000"/>
        <rFont val="Calibri"/>
      </rPr>
      <t>SW1(config-if)#service-policy output QOS_POLICY</t>
    </r>
    <r>
      <rPr>
        <sz val="11"/>
        <color rgb="FF000000"/>
        <rFont val="Calibri"/>
      </rPr>
      <t xml:space="preserve">
</t>
    </r>
    <r>
      <rPr>
        <sz val="11"/>
        <color rgb="FF000000"/>
        <rFont val="Calibri"/>
      </rPr>
      <t>SW1(config-if)#end</t>
    </r>
  </si>
  <si>
    <r>
      <rPr>
        <sz val="11"/>
        <color rgb="FF000000"/>
        <rFont val="Calibri"/>
      </rPr>
      <t>Different applications have unique requirements and toleration levels for delay, jitter, bandwidth, packet loss, and availability. To manage the multitude of applications and services, a network requires a QoS framework to differentiate traffic and provide a method to manage network congestion. The Differentiated Services Model (DiffServ) is based on per-hop behavior by categorizing traffic into different classes and enabling each node to enforce a forwarding treatment to each packet as dictated by a policy.</t>
    </r>
    <r>
      <rPr>
        <sz val="11"/>
        <color rgb="FF000000"/>
        <rFont val="Calibri"/>
      </rPr>
      <t xml:space="preserve">
</t>
    </r>
    <r>
      <rPr>
        <sz val="11"/>
        <color rgb="FF000000"/>
        <rFont val="Calibri"/>
      </rPr>
      <t>Packet markings such as IP Precedence and its successor, Differentiated Services Code Points (DSCP), were defined along with specific per-hop behaviors for key traffic types to enable a scalable QoS solution. DiffServ QoS categorizes network traffic, prioritizes it according to its relative importance, and provides priority treatment based on the classification. It is imperative that end-to-end QoS is implemented within the IP core network to provide preferred treatment for mission-critical applications.</t>
    </r>
  </si>
  <si>
    <r>
      <rPr>
        <sz val="11"/>
        <color rgb="FF000000"/>
        <rFont val="Calibri"/>
      </rPr>
      <t>Review the switch configuration and verify that a QoS policy has been configured to provide preferred treatment for mission-critical applications.</t>
    </r>
    <r>
      <rPr>
        <sz val="11"/>
        <color rgb="FF000000"/>
        <rFont val="Calibri"/>
      </rPr>
      <t xml:space="preserve">
</t>
    </r>
    <r>
      <rPr>
        <sz val="11"/>
        <color rgb="FF000000"/>
        <rFont val="Calibri"/>
      </rPr>
      <t>Step 1: Verify that the class-maps are configured to match on DSCP values as shown in the configuration example below:</t>
    </r>
    <r>
      <rPr>
        <sz val="11"/>
        <color rgb="FF000000"/>
        <rFont val="Calibri"/>
      </rPr>
      <t xml:space="preserve">
</t>
    </r>
    <r>
      <rPr>
        <sz val="11"/>
        <color rgb="FF000000"/>
        <rFont val="Calibri"/>
      </rPr>
      <t>class-map match-all C2_VOICE</t>
    </r>
    <r>
      <rPr>
        <sz val="11"/>
        <color rgb="FF000000"/>
        <rFont val="Calibri"/>
      </rPr>
      <t xml:space="preserve">
</t>
    </r>
    <r>
      <rPr>
        <sz val="11"/>
        <color rgb="FF000000"/>
        <rFont val="Calibri"/>
      </rPr>
      <t xml:space="preserve"> match ip dscp af47</t>
    </r>
    <r>
      <rPr>
        <sz val="11"/>
        <color rgb="FF000000"/>
        <rFont val="Calibri"/>
      </rPr>
      <t xml:space="preserve">
</t>
    </r>
    <r>
      <rPr>
        <sz val="11"/>
        <color rgb="FF000000"/>
        <rFont val="Calibri"/>
      </rPr>
      <t>class-map match-all VOICE</t>
    </r>
    <r>
      <rPr>
        <sz val="11"/>
        <color rgb="FF000000"/>
        <rFont val="Calibri"/>
      </rPr>
      <t xml:space="preserve">
</t>
    </r>
    <r>
      <rPr>
        <sz val="11"/>
        <color rgb="FF000000"/>
        <rFont val="Calibri"/>
      </rPr>
      <t xml:space="preserve"> match ip dscp ef</t>
    </r>
    <r>
      <rPr>
        <sz val="11"/>
        <color rgb="FF000000"/>
        <rFont val="Calibri"/>
      </rPr>
      <t xml:space="preserve">
</t>
    </r>
    <r>
      <rPr>
        <sz val="11"/>
        <color rgb="FF000000"/>
        <rFont val="Calibri"/>
      </rPr>
      <t>class-map match-all VIDEO</t>
    </r>
    <r>
      <rPr>
        <sz val="11"/>
        <color rgb="FF000000"/>
        <rFont val="Calibri"/>
      </rPr>
      <t xml:space="preserve">
</t>
    </r>
    <r>
      <rPr>
        <sz val="11"/>
        <color rgb="FF000000"/>
        <rFont val="Calibri"/>
      </rPr>
      <t xml:space="preserve"> match ip dscp af41</t>
    </r>
    <r>
      <rPr>
        <sz val="11"/>
        <color rgb="FF000000"/>
        <rFont val="Calibri"/>
      </rPr>
      <t xml:space="preserve">
</t>
    </r>
    <r>
      <rPr>
        <sz val="11"/>
        <color rgb="FF000000"/>
        <rFont val="Calibri"/>
      </rPr>
      <t>class-map match-all CONTROL_PLANE</t>
    </r>
    <r>
      <rPr>
        <sz val="11"/>
        <color rgb="FF000000"/>
        <rFont val="Calibri"/>
      </rPr>
      <t xml:space="preserve">
</t>
    </r>
    <r>
      <rPr>
        <sz val="11"/>
        <color rgb="FF000000"/>
        <rFont val="Calibri"/>
      </rPr>
      <t xml:space="preserve"> match ip dscp cs6</t>
    </r>
    <r>
      <rPr>
        <sz val="11"/>
        <color rgb="FF000000"/>
        <rFont val="Calibri"/>
      </rPr>
      <t xml:space="preserve">
</t>
    </r>
    <r>
      <rPr>
        <sz val="11"/>
        <color rgb="FF000000"/>
        <rFont val="Calibri"/>
      </rPr>
      <t>class-map match-all PREFERRED_DATA</t>
    </r>
    <r>
      <rPr>
        <sz val="11"/>
        <color rgb="FF000000"/>
        <rFont val="Calibri"/>
      </rPr>
      <t xml:space="preserve">
</t>
    </r>
    <r>
      <rPr>
        <sz val="11"/>
        <color rgb="FF000000"/>
        <rFont val="Calibri"/>
      </rPr>
      <t xml:space="preserve"> match ip dscp af33</t>
    </r>
    <r>
      <rPr>
        <sz val="11"/>
        <color rgb="FF000000"/>
        <rFont val="Calibri"/>
      </rPr>
      <t xml:space="preserve">
</t>
    </r>
    <r>
      <rPr>
        <sz val="11"/>
        <color rgb="FF000000"/>
        <rFont val="Calibri"/>
      </rPr>
      <t>Step 2: Verify that the policy map reserves the bandwidth for each traffic type as shown in the example below:</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class C2_VOICE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priority percent 15</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class CONTROL_PLANE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PREFERRED_DATA</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Step 3: Verify that an output service policy is bound to all interfaces as shown in the configuration example below:</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10.1.15.1 255.255.255.252</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GigabitEthernet1/2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10.1.15.4 255.255.255.252</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Note: Enclaves must mark or re-mark their traffic to be consistent with the DODIN backbone admission criteria to gain the appropriate level of service. A general DiffServ principle is to mark or trust traffic as close to the source as administratively and technically possible. However, certain traffic types might need to be re-marked before handoff to the DODIN backbone to gain admission to the correct class. If such re-marking is required, it is recommended that the re-marking be performed at the CE egress edge.</t>
    </r>
    <r>
      <rPr>
        <sz val="11"/>
        <color rgb="FF000000"/>
        <rFont val="Calibri"/>
      </rPr>
      <t xml:space="preserve">
</t>
    </r>
    <r>
      <rPr>
        <sz val="11"/>
        <color rgb="FF000000"/>
        <rFont val="Calibri"/>
      </rPr>
      <t xml:space="preserve">Note: The GTP QOS document (GTP-0009) can be downloaded via the following link: </t>
    </r>
    <r>
      <rPr>
        <sz val="11"/>
        <color rgb="FF000000"/>
        <rFont val="Calibri"/>
      </rPr>
      <t xml:space="preserve">
</t>
    </r>
    <r>
      <rPr>
        <sz val="11"/>
        <color rgb="FF000000"/>
        <rFont val="Calibri"/>
      </rPr>
      <t>https://intellipedia.intelink.gov/wiki/Portal:GIG_Technical_Guidance/GTG_GTPs/GTP_Development_List</t>
    </r>
    <r>
      <rPr>
        <sz val="11"/>
        <color rgb="FF000000"/>
        <rFont val="Calibri"/>
      </rPr>
      <t xml:space="preserve">
</t>
    </r>
    <r>
      <rPr>
        <sz val="11"/>
        <color rgb="FF000000"/>
        <rFont val="Calibri"/>
      </rPr>
      <t>If the switch is not configured to enforce a QoS policy in accordance with the QoS GIG Technical Profile, this is a finding.</t>
    </r>
  </si>
  <si>
    <t>V-221051</t>
  </si>
  <si>
    <r>
      <rPr>
        <sz val="11"/>
        <rFont val="Calibri"/>
      </rPr>
      <t>The Cisco P switch must be configured to enforce a Quality-of-Service (QoS) policy to provide preferred treatment for mission-critical applications.</t>
    </r>
  </si>
  <si>
    <r>
      <rPr>
        <sz val="11"/>
        <color rgb="FF000000"/>
        <rFont val="Calibri"/>
      </rPr>
      <t>Review the switch configuration and verify that a QoS policy has been configured to provide preferred treatment for mission-critical applications.</t>
    </r>
    <r>
      <rPr>
        <sz val="11"/>
        <color rgb="FF000000"/>
        <rFont val="Calibri"/>
      </rPr>
      <t xml:space="preserve">
</t>
    </r>
    <r>
      <rPr>
        <sz val="11"/>
        <color rgb="FF000000"/>
        <rFont val="Calibri"/>
      </rPr>
      <t>Step 1: Verify that the class-maps are configured to match on DSCP values as shown in the configuration example below:</t>
    </r>
    <r>
      <rPr>
        <sz val="11"/>
        <color rgb="FF000000"/>
        <rFont val="Calibri"/>
      </rPr>
      <t xml:space="preserve">
</t>
    </r>
    <r>
      <rPr>
        <sz val="11"/>
        <color rgb="FF000000"/>
        <rFont val="Calibri"/>
      </rPr>
      <t>class-map match-all PREFERRED_DATA</t>
    </r>
    <r>
      <rPr>
        <sz val="11"/>
        <color rgb="FF000000"/>
        <rFont val="Calibri"/>
      </rPr>
      <t xml:space="preserve">
</t>
    </r>
    <r>
      <rPr>
        <sz val="11"/>
        <color rgb="FF000000"/>
        <rFont val="Calibri"/>
      </rPr>
      <t xml:space="preserve"> match ip dscp af33</t>
    </r>
    <r>
      <rPr>
        <sz val="11"/>
        <color rgb="FF000000"/>
        <rFont val="Calibri"/>
      </rPr>
      <t xml:space="preserve">
</t>
    </r>
    <r>
      <rPr>
        <sz val="11"/>
        <color rgb="FF000000"/>
        <rFont val="Calibri"/>
      </rPr>
      <t>class-map match-all CONTROL_PLANE</t>
    </r>
    <r>
      <rPr>
        <sz val="11"/>
        <color rgb="FF000000"/>
        <rFont val="Calibri"/>
      </rPr>
      <t xml:space="preserve">
</t>
    </r>
    <r>
      <rPr>
        <sz val="11"/>
        <color rgb="FF000000"/>
        <rFont val="Calibri"/>
      </rPr>
      <t xml:space="preserve"> match ip dscp cs6</t>
    </r>
    <r>
      <rPr>
        <sz val="11"/>
        <color rgb="FF000000"/>
        <rFont val="Calibri"/>
      </rPr>
      <t xml:space="preserve">
</t>
    </r>
    <r>
      <rPr>
        <sz val="11"/>
        <color rgb="FF000000"/>
        <rFont val="Calibri"/>
      </rPr>
      <t>class-map match-all VIDEO</t>
    </r>
    <r>
      <rPr>
        <sz val="11"/>
        <color rgb="FF000000"/>
        <rFont val="Calibri"/>
      </rPr>
      <t xml:space="preserve">
</t>
    </r>
    <r>
      <rPr>
        <sz val="11"/>
        <color rgb="FF000000"/>
        <rFont val="Calibri"/>
      </rPr>
      <t xml:space="preserve"> match ip dscp af41</t>
    </r>
    <r>
      <rPr>
        <sz val="11"/>
        <color rgb="FF000000"/>
        <rFont val="Calibri"/>
      </rPr>
      <t xml:space="preserve">
</t>
    </r>
    <r>
      <rPr>
        <sz val="11"/>
        <color rgb="FF000000"/>
        <rFont val="Calibri"/>
      </rPr>
      <t>class-map match-all VOICE</t>
    </r>
    <r>
      <rPr>
        <sz val="11"/>
        <color rgb="FF000000"/>
        <rFont val="Calibri"/>
      </rPr>
      <t xml:space="preserve">
</t>
    </r>
    <r>
      <rPr>
        <sz val="11"/>
        <color rgb="FF000000"/>
        <rFont val="Calibri"/>
      </rPr>
      <t xml:space="preserve"> match ip dscp ef</t>
    </r>
    <r>
      <rPr>
        <sz val="11"/>
        <color rgb="FF000000"/>
        <rFont val="Calibri"/>
      </rPr>
      <t xml:space="preserve">
</t>
    </r>
    <r>
      <rPr>
        <sz val="11"/>
        <color rgb="FF000000"/>
        <rFont val="Calibri"/>
      </rPr>
      <t>class-map match-all C2_VOICE</t>
    </r>
    <r>
      <rPr>
        <sz val="11"/>
        <color rgb="FF000000"/>
        <rFont val="Calibri"/>
      </rPr>
      <t xml:space="preserve">
</t>
    </r>
    <r>
      <rPr>
        <sz val="11"/>
        <color rgb="FF000000"/>
        <rFont val="Calibri"/>
      </rPr>
      <t xml:space="preserve"> match ip dscp 47</t>
    </r>
    <r>
      <rPr>
        <sz val="11"/>
        <color rgb="FF000000"/>
        <rFont val="Calibri"/>
      </rPr>
      <t xml:space="preserve">
</t>
    </r>
    <r>
      <rPr>
        <sz val="11"/>
        <color rgb="FF000000"/>
        <rFont val="Calibri"/>
      </rPr>
      <t>Step 2: Verify that the policy map reserves the bandwidth for each traffic type as shown in the example below:</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 xml:space="preserve"> class CONTROL_PLANE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C2_VOICE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priority percent 15</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class PREFERRED_DATA</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Step 3: Verify that an output service policy is bound to all interfaces as shown in the configuration example below:</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10.1.15.5 255.255.255.252</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GigabitEthernet1/2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10.1.15.8 255.255.255.252</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 xml:space="preserve">Note: The GTP QOS document (GTP-0009) can be downloaded via the following link: </t>
    </r>
    <r>
      <rPr>
        <sz val="11"/>
        <color rgb="FF000000"/>
        <rFont val="Calibri"/>
      </rPr>
      <t xml:space="preserve">
</t>
    </r>
    <r>
      <rPr>
        <sz val="11"/>
        <color rgb="FF000000"/>
        <rFont val="Calibri"/>
      </rPr>
      <t>https://intellipedia.intelink.gov/wiki/Portal:GIG_Technical_Guidance/GTG_GTPs/GTP_Development_List</t>
    </r>
    <r>
      <rPr>
        <sz val="11"/>
        <color rgb="FF000000"/>
        <rFont val="Calibri"/>
      </rPr>
      <t xml:space="preserve">
</t>
    </r>
    <r>
      <rPr>
        <sz val="11"/>
        <color rgb="FF000000"/>
        <rFont val="Calibri"/>
      </rPr>
      <t>If the switch is not configured to enforce a QoS policy in accordance with the QoS GIG Technical Profile, this is a finding.</t>
    </r>
  </si>
  <si>
    <t>V-221052</t>
  </si>
  <si>
    <r>
      <rPr>
        <sz val="11"/>
        <rFont val="Calibri"/>
      </rPr>
      <t>The Cisco switch must be configured to enforce a Quality-of-Service (QoS) policy to limit the effects of packet flooding denial-of-service (DoS) attacks.</t>
    </r>
  </si>
  <si>
    <r>
      <rPr>
        <sz val="11"/>
        <color rgb="FF000000"/>
        <rFont val="Calibri"/>
      </rPr>
      <t>Step 1: Configure a class map for the SCAVENGER class.</t>
    </r>
    <r>
      <rPr>
        <sz val="11"/>
        <color rgb="FF000000"/>
        <rFont val="Calibri"/>
      </rPr>
      <t xml:space="preserve">
</t>
    </r>
    <r>
      <rPr>
        <sz val="11"/>
        <color rgb="FF000000"/>
        <rFont val="Calibri"/>
      </rPr>
      <t>SW1(config)#class-map match-all SCAVENGER</t>
    </r>
    <r>
      <rPr>
        <sz val="11"/>
        <color rgb="FF000000"/>
        <rFont val="Calibri"/>
      </rPr>
      <t xml:space="preserve">
</t>
    </r>
    <r>
      <rPr>
        <sz val="11"/>
        <color rgb="FF000000"/>
        <rFont val="Calibri"/>
      </rPr>
      <t>SW1(config-cmap)#match ip dscp cs1</t>
    </r>
    <r>
      <rPr>
        <sz val="11"/>
        <color rgb="FF000000"/>
        <rFont val="Calibri"/>
      </rPr>
      <t xml:space="preserve">
</t>
    </r>
    <r>
      <rPr>
        <sz val="11"/>
        <color rgb="FF000000"/>
        <rFont val="Calibri"/>
      </rPr>
      <t>Step 2: Add the SCAVENGER class to the policy map as shown in the example below:</t>
    </r>
    <r>
      <rPr>
        <sz val="11"/>
        <color rgb="FF000000"/>
        <rFont val="Calibri"/>
      </rPr>
      <t xml:space="preserve">
</t>
    </r>
    <r>
      <rPr>
        <sz val="11"/>
        <color rgb="FF000000"/>
        <rFont val="Calibri"/>
      </rPr>
      <t>SW1(config)#policy-map QOS_POLICY</t>
    </r>
    <r>
      <rPr>
        <sz val="11"/>
        <color rgb="FF000000"/>
        <rFont val="Calibri"/>
      </rPr>
      <t xml:space="preserve">
</t>
    </r>
    <r>
      <rPr>
        <sz val="11"/>
        <color rgb="FF000000"/>
        <rFont val="Calibri"/>
      </rPr>
      <t>SW1(config-pmap-c)#no class class-default</t>
    </r>
    <r>
      <rPr>
        <sz val="11"/>
        <color rgb="FF000000"/>
        <rFont val="Calibri"/>
      </rPr>
      <t xml:space="preserve">
</t>
    </r>
    <r>
      <rPr>
        <sz val="11"/>
        <color rgb="FF000000"/>
        <rFont val="Calibri"/>
      </rPr>
      <t>SW1(config-pmap)#class SCAVENGER</t>
    </r>
    <r>
      <rPr>
        <sz val="11"/>
        <color rgb="FF000000"/>
        <rFont val="Calibri"/>
      </rPr>
      <t xml:space="preserve">
</t>
    </r>
    <r>
      <rPr>
        <sz val="11"/>
        <color rgb="FF000000"/>
        <rFont val="Calibri"/>
      </rPr>
      <t>SW1(config-pmap-c)#bandwidth percent 5</t>
    </r>
    <r>
      <rPr>
        <sz val="11"/>
        <color rgb="FF000000"/>
        <rFont val="Calibri"/>
      </rPr>
      <t xml:space="preserve">
</t>
    </r>
    <r>
      <rPr>
        <sz val="11"/>
        <color rgb="FF000000"/>
        <rFont val="Calibri"/>
      </rPr>
      <t>SW1(config-pmap-c)#class class-default</t>
    </r>
    <r>
      <rPr>
        <sz val="11"/>
        <color rgb="FF000000"/>
        <rFont val="Calibri"/>
      </rPr>
      <t xml:space="preserve">
</t>
    </r>
    <r>
      <rPr>
        <sz val="11"/>
        <color rgb="FF000000"/>
        <rFont val="Calibri"/>
      </rPr>
      <t>SW1(config-pmap-c)#bandwidth percent 10</t>
    </r>
    <r>
      <rPr>
        <sz val="11"/>
        <color rgb="FF000000"/>
        <rFont val="Calibri"/>
      </rPr>
      <t xml:space="preserve">
</t>
    </r>
    <r>
      <rPr>
        <sz val="11"/>
        <color rgb="FF000000"/>
        <rFont val="Calibri"/>
      </rPr>
      <t>SW1(config-pmap-c)#end</t>
    </r>
  </si>
  <si>
    <r>
      <rPr>
        <sz val="11"/>
        <color rgb="FF000000"/>
        <rFont val="Calibri"/>
      </rPr>
      <t xml:space="preserve">DoS is a condition when a resource is not available for legitimate users. Packet flooding distributed denial-of-service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using readily available tools such as Low Orbit Ion Cannon or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</si>
  <si>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Review the switch configuration to determine if it is configured to enforce a QoS policy to limit the effects of packet flooding DoS attacks.</t>
    </r>
    <r>
      <rPr>
        <sz val="11"/>
        <color rgb="FF000000"/>
        <rFont val="Calibri"/>
      </rPr>
      <t xml:space="preserve">
</t>
    </r>
    <r>
      <rPr>
        <sz val="11"/>
        <color rgb="FF000000"/>
        <rFont val="Calibri"/>
      </rPr>
      <t>Step 1: Verify that a class map has been configured for the Scavenger class as shown in the example below:</t>
    </r>
    <r>
      <rPr>
        <sz val="11"/>
        <color rgb="FF000000"/>
        <rFont val="Calibri"/>
      </rPr>
      <t xml:space="preserve">
</t>
    </r>
    <r>
      <rPr>
        <sz val="11"/>
        <color rgb="FF000000"/>
        <rFont val="Calibri"/>
      </rPr>
      <t>class-map match-all SCAVENGER</t>
    </r>
    <r>
      <rPr>
        <sz val="11"/>
        <color rgb="FF000000"/>
        <rFont val="Calibri"/>
      </rPr>
      <t xml:space="preserve">
</t>
    </r>
    <r>
      <rPr>
        <sz val="11"/>
        <color rgb="FF000000"/>
        <rFont val="Calibri"/>
      </rPr>
      <t xml:space="preserve"> match ip dscp cs1</t>
    </r>
    <r>
      <rPr>
        <sz val="11"/>
        <color rgb="FF000000"/>
        <rFont val="Calibri"/>
      </rPr>
      <t xml:space="preserve">
</t>
    </r>
    <r>
      <rPr>
        <sz val="11"/>
        <color rgb="FF000000"/>
        <rFont val="Calibri"/>
      </rPr>
      <t xml:space="preserve">Step 2: Verify that the policy map includes the SCAVENGER class with low priority as shown in the example below: </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 xml:space="preserve"> class CONTROL_PLANE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C2_VOICE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priority percent 15</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class PREFERRED_DATA</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class SCAVENGER</t>
    </r>
    <r>
      <rPr>
        <sz val="11"/>
        <color rgb="FF000000"/>
        <rFont val="Calibri"/>
      </rPr>
      <t xml:space="preserve">
</t>
    </r>
    <r>
      <rPr>
        <sz val="11"/>
        <color rgb="FF000000"/>
        <rFont val="Calibri"/>
      </rPr>
      <t xml:space="preserve"> bandwidth percent 5</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10</t>
    </r>
    <r>
      <rPr>
        <sz val="11"/>
        <color rgb="FF000000"/>
        <rFont val="Calibri"/>
      </rPr>
      <t xml:space="preserve">
</t>
    </r>
    <r>
      <rPr>
        <sz val="11"/>
        <color rgb="FF000000"/>
        <rFont val="Calibri"/>
      </rPr>
      <t>Note: Traffic out of profile must be marked at the customer access layer or CE egress edge.</t>
    </r>
    <r>
      <rPr>
        <sz val="11"/>
        <color rgb="FF000000"/>
        <rFont val="Calibri"/>
      </rPr>
      <t xml:space="preserve">
</t>
    </r>
    <r>
      <rPr>
        <sz val="11"/>
        <color rgb="FF000000"/>
        <rFont val="Calibri"/>
      </rPr>
      <t>If the switch is not configured to enforce a QoS policy to limit the effects of packet flooding DoS attacks, this is a finding.</t>
    </r>
  </si>
  <si>
    <t>V-221053</t>
  </si>
  <si>
    <r>
      <rPr>
        <sz val="11"/>
        <rFont val="Calibri"/>
      </rPr>
      <t>The Cisco multicast switch must be configured to disable Protocol Independent Multicast (PIM) on all interfaces that are not required to support multicast routing.</t>
    </r>
  </si>
  <si>
    <r>
      <rPr>
        <sz val="11"/>
        <color rgb="FF000000"/>
        <rFont val="Calibri"/>
      </rPr>
      <t>Document all enabled interfaces for PIM in the network's multicast topology diagram. Disable support for PIM on interfaces that are not required to support it.</t>
    </r>
    <r>
      <rPr>
        <sz val="11"/>
        <color rgb="FF000000"/>
        <rFont val="Calibri"/>
      </rPr>
      <t xml:space="preserve">
</t>
    </r>
    <r>
      <rPr>
        <sz val="11"/>
        <color rgb="FF000000"/>
        <rFont val="Calibri"/>
      </rPr>
      <t>SW1(config)#int g1/1</t>
    </r>
    <r>
      <rPr>
        <sz val="11"/>
        <color rgb="FF000000"/>
        <rFont val="Calibri"/>
      </rPr>
      <t xml:space="preserve">
</t>
    </r>
    <r>
      <rPr>
        <sz val="11"/>
        <color rgb="FF000000"/>
        <rFont val="Calibri"/>
      </rPr>
      <t>SW1(config-if)#no ip pim sparse-mode</t>
    </r>
  </si>
  <si>
    <r>
      <rPr>
        <sz val="11"/>
        <color rgb="FF000000"/>
        <rFont val="Calibri"/>
      </rPr>
      <t xml:space="preserve">If multicast traffic is forwarded beyond the intended boundary, it is possible that it can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switches and passing through some switches to include only some of their interfaces." Therefore, it is imperative that the network engineers have documented their multicast topology and thereby knows which interfaces are enabled for multicast. Once this is done, the zones can be scoped as required.</t>
    </r>
  </si>
  <si>
    <r>
      <rPr>
        <sz val="11"/>
        <color rgb="FF000000"/>
        <rFont val="Calibri"/>
      </rPr>
      <t>Step 1: Review the network's multicast topology diagram.</t>
    </r>
    <r>
      <rPr>
        <sz val="11"/>
        <color rgb="FF000000"/>
        <rFont val="Calibri"/>
      </rPr>
      <t xml:space="preserve">
</t>
    </r>
    <r>
      <rPr>
        <sz val="11"/>
        <color rgb="FF000000"/>
        <rFont val="Calibri"/>
      </rPr>
      <t>Step 2: Review the switch configuration to verify that only the PIM interfaces as shown in the multicast topology diagram are enabled for PIM as shown in the example below:</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10.1.3.3 255.255.255.0</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If an interface is not required to support multicast routing and it is enabled, this is a finding.</t>
    </r>
  </si>
  <si>
    <t>V-221054</t>
  </si>
  <si>
    <r>
      <rPr>
        <sz val="11"/>
        <rFont val="Calibri"/>
      </rPr>
      <t>The Cisco multicast switch must be configured to bind a Protocol Independent Multicast (PIM) neighbor filter to interfaces that have PIM enabled.</t>
    </r>
  </si>
  <si>
    <r>
      <rPr>
        <sz val="11"/>
        <color rgb="FF000000"/>
        <rFont val="Calibri"/>
      </rPr>
      <t>Configure neighbor ACLs to only accept PIM control plane traffic from documented PIM neighbors. Bind neighbor ACLs to all PIM enabled interfaces.</t>
    </r>
    <r>
      <rPr>
        <sz val="11"/>
        <color rgb="FF000000"/>
        <rFont val="Calibri"/>
      </rPr>
      <t xml:space="preserve">
</t>
    </r>
    <r>
      <rPr>
        <sz val="11"/>
        <color rgb="FF000000"/>
        <rFont val="Calibri"/>
      </rPr>
      <t>Step 1: Configure ACL for PIM neighbors.</t>
    </r>
    <r>
      <rPr>
        <sz val="11"/>
        <color rgb="FF000000"/>
        <rFont val="Calibri"/>
      </rPr>
      <t xml:space="preserve">
</t>
    </r>
    <r>
      <rPr>
        <sz val="11"/>
        <color rgb="FF000000"/>
        <rFont val="Calibri"/>
      </rPr>
      <t>SW2(config)#ip access-list standard PIM_NEIGHBORS</t>
    </r>
    <r>
      <rPr>
        <sz val="11"/>
        <color rgb="FF000000"/>
        <rFont val="Calibri"/>
      </rPr>
      <t xml:space="preserve">
</t>
    </r>
    <r>
      <rPr>
        <sz val="11"/>
        <color rgb="FF000000"/>
        <rFont val="Calibri"/>
      </rPr>
      <t>SW2(config-std-nacl)#permit 10.1.2.6</t>
    </r>
    <r>
      <rPr>
        <sz val="11"/>
        <color rgb="FF000000"/>
        <rFont val="Calibri"/>
      </rPr>
      <t xml:space="preserve">
</t>
    </r>
    <r>
      <rPr>
        <sz val="11"/>
        <color rgb="FF000000"/>
        <rFont val="Calibri"/>
      </rPr>
      <t>SW2(config-std-nacl)#exit</t>
    </r>
    <r>
      <rPr>
        <sz val="11"/>
        <color rgb="FF000000"/>
        <rFont val="Calibri"/>
      </rPr>
      <t xml:space="preserve">
</t>
    </r>
    <r>
      <rPr>
        <sz val="11"/>
        <color rgb="FF000000"/>
        <rFont val="Calibri"/>
      </rPr>
      <t>Step 2: Apply the ACL to all interfaces enabled for PIM.</t>
    </r>
    <r>
      <rPr>
        <sz val="11"/>
        <color rgb="FF000000"/>
        <rFont val="Calibri"/>
      </rPr>
      <t xml:space="preserve">
</t>
    </r>
    <r>
      <rPr>
        <sz val="11"/>
        <color rgb="FF000000"/>
        <rFont val="Calibri"/>
      </rPr>
      <t>SW2(config)#int g1/1</t>
    </r>
    <r>
      <rPr>
        <sz val="11"/>
        <color rgb="FF000000"/>
        <rFont val="Calibri"/>
      </rPr>
      <t xml:space="preserve">
</t>
    </r>
    <r>
      <rPr>
        <sz val="11"/>
        <color rgb="FF000000"/>
        <rFont val="Calibri"/>
      </rPr>
      <t>SW2(config-if)#ip pim neighbor-filter PIM_NEIGHBORS</t>
    </r>
  </si>
  <si>
    <r>
      <rPr>
        <sz val="11"/>
        <color rgb="FF000000"/>
        <rFont val="Calibri"/>
      </rPr>
      <t>PIM is a routing protocol used to build multicast distribution trees for forwarding multicast traffic across the network infrastructure. PIM traffic must be limited to only known PIM neighbors by configuring and binding a PIM neighbor filter to those interfaces that have PIM enabled. If a PIM neighbor filter is not applied to those interfaces that have PIM enabled, unauthorized switches can join the PIM domain, discover and use the rendezvous points, and also advertise their rendezvous points into the domain. This can result in a denial of service by traffic flooding or result in the unauthorized transfer of data.</t>
    </r>
  </si>
  <si>
    <r>
      <rPr>
        <sz val="11"/>
        <color rgb="FF000000"/>
        <rFont val="Calibri"/>
      </rPr>
      <t>Step 1: Verify all interfaces enabled for PIM have a neighbor ACL bound to the interface as shown in the example below:</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10.1.2.2 255.255.255.0</t>
    </r>
    <r>
      <rPr>
        <sz val="11"/>
        <color rgb="FF000000"/>
        <rFont val="Calibri"/>
      </rPr>
      <t xml:space="preserve">
</t>
    </r>
    <r>
      <rPr>
        <sz val="11"/>
        <color rgb="FF000000"/>
        <rFont val="Calibri"/>
      </rPr>
      <t xml:space="preserve"> ip pim neighbor-filter PIM_NEIGHBORS</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Step 2: Review the configured ACL for filtering PIM neighbors as shown in the example below:</t>
    </r>
    <r>
      <rPr>
        <sz val="11"/>
        <color rgb="FF000000"/>
        <rFont val="Calibri"/>
      </rPr>
      <t xml:space="preserve">
</t>
    </r>
    <r>
      <rPr>
        <sz val="11"/>
        <color rgb="FF000000"/>
        <rFont val="Calibri"/>
      </rPr>
      <t>ip access-list standard PIM_NEIGHBORS</t>
    </r>
    <r>
      <rPr>
        <sz val="11"/>
        <color rgb="FF000000"/>
        <rFont val="Calibri"/>
      </rPr>
      <t xml:space="preserve">
</t>
    </r>
    <r>
      <rPr>
        <sz val="11"/>
        <color rgb="FF000000"/>
        <rFont val="Calibri"/>
      </rPr>
      <t xml:space="preserve"> permit 10.1.2.6</t>
    </r>
    <r>
      <rPr>
        <sz val="11"/>
        <color rgb="FF000000"/>
        <rFont val="Calibri"/>
      </rPr>
      <t xml:space="preserve">
</t>
    </r>
    <r>
      <rPr>
        <sz val="11"/>
        <color rgb="FF000000"/>
        <rFont val="Calibri"/>
      </rPr>
      <t>If PIM neighbor ACLs are not bound to all interfaces that have PIM enabled, this is a finding.</t>
    </r>
  </si>
  <si>
    <t>V-221055</t>
  </si>
  <si>
    <r>
      <rPr>
        <sz val="11"/>
        <rFont val="Calibri"/>
      </rPr>
      <t>The Cisco multicast edge switch must be configured to establish boundaries for administratively scoped multicast traffic.</t>
    </r>
  </si>
  <si>
    <r>
      <rPr>
        <sz val="11"/>
        <color rgb="FF000000"/>
        <rFont val="Calibri"/>
      </rPr>
      <t>Step 1: Configure the ACL to deny packets with multicast administratively scoped destination addresses as shown in the example below:</t>
    </r>
    <r>
      <rPr>
        <sz val="11"/>
        <color rgb="FF000000"/>
        <rFont val="Calibri"/>
      </rPr>
      <t xml:space="preserve">
</t>
    </r>
    <r>
      <rPr>
        <sz val="11"/>
        <color rgb="FF000000"/>
        <rFont val="Calibri"/>
      </rPr>
      <t>SW2(config)#ip access-list standard MULTICAST_SCOPE</t>
    </r>
    <r>
      <rPr>
        <sz val="11"/>
        <color rgb="FF000000"/>
        <rFont val="Calibri"/>
      </rPr>
      <t xml:space="preserve">
</t>
    </r>
    <r>
      <rPr>
        <sz val="11"/>
        <color rgb="FF000000"/>
        <rFont val="Calibri"/>
      </rPr>
      <t>SW2(config-std-nacl)#deny 239.0.0.0 0.255.255.255</t>
    </r>
    <r>
      <rPr>
        <sz val="11"/>
        <color rgb="FF000000"/>
        <rFont val="Calibri"/>
      </rPr>
      <t xml:space="preserve">
</t>
    </r>
    <r>
      <rPr>
        <sz val="11"/>
        <color rgb="FF000000"/>
        <rFont val="Calibri"/>
      </rPr>
      <t>SW2(config-std-nacl)#permit any</t>
    </r>
    <r>
      <rPr>
        <sz val="11"/>
        <color rgb="FF000000"/>
        <rFont val="Calibri"/>
      </rPr>
      <t xml:space="preserve">
</t>
    </r>
    <r>
      <rPr>
        <sz val="11"/>
        <color rgb="FF000000"/>
        <rFont val="Calibri"/>
      </rPr>
      <t>SW2(config-std-nacl)#exit</t>
    </r>
    <r>
      <rPr>
        <sz val="11"/>
        <color rgb="FF000000"/>
        <rFont val="Calibri"/>
      </rPr>
      <t xml:space="preserve">
</t>
    </r>
    <r>
      <rPr>
        <sz val="11"/>
        <color rgb="FF000000"/>
        <rFont val="Calibri"/>
      </rPr>
      <t>Step 2: Apply the multicast boundary at the appropriate interfaces as shown in the example below:</t>
    </r>
    <r>
      <rPr>
        <sz val="11"/>
        <color rgb="FF000000"/>
        <rFont val="Calibri"/>
      </rPr>
      <t xml:space="preserve">
</t>
    </r>
    <r>
      <rPr>
        <sz val="11"/>
        <color rgb="FF000000"/>
        <rFont val="Calibri"/>
      </rPr>
      <t>SW2(config)#int g1/2</t>
    </r>
    <r>
      <rPr>
        <sz val="11"/>
        <color rgb="FF000000"/>
        <rFont val="Calibri"/>
      </rPr>
      <t xml:space="preserve">
</t>
    </r>
    <r>
      <rPr>
        <sz val="11"/>
        <color rgb="FF000000"/>
        <rFont val="Calibri"/>
      </rPr>
      <t>SW2(config-if)#ip multicast boundary MULTICAST_SCOPE</t>
    </r>
    <r>
      <rPr>
        <sz val="11"/>
        <color rgb="FF000000"/>
        <rFont val="Calibri"/>
      </rPr>
      <t xml:space="preserve">
</t>
    </r>
    <r>
      <rPr>
        <sz val="11"/>
        <color rgb="FF000000"/>
        <rFont val="Calibri"/>
      </rPr>
      <t>SW2(config-if)#end</t>
    </r>
  </si>
  <si>
    <r>
      <rPr>
        <sz val="11"/>
        <color rgb="FF000000"/>
        <rFont val="Calibri"/>
      </rPr>
      <t>If multicast traffic is forwarded beyond the intended boundary, it is possible that it can be intercepted by unauthorized or unintended personnel.</t>
    </r>
    <r>
      <rPr>
        <sz val="11"/>
        <color rgb="FF000000"/>
        <rFont val="Calibri"/>
      </rPr>
      <t xml:space="preserve">
</t>
    </r>
    <r>
      <rPr>
        <sz val="11"/>
        <color rgb="FF000000"/>
        <rFont val="Calibri"/>
      </rPr>
      <t>Administrative scoped multicast addresses are locally assigned and are to be used exclusively by the enterprise network or enclave. Administrative scoped multicast traffic must not cross the enclave perimeter in either direction. Restricting multicast traffic makes it more difficult for a malicious user to access sensitive traffic.</t>
    </r>
    <r>
      <rPr>
        <sz val="11"/>
        <color rgb="FF000000"/>
        <rFont val="Calibri"/>
      </rPr>
      <t xml:space="preserve">
</t>
    </r>
    <r>
      <rPr>
        <sz val="11"/>
        <color rgb="FF000000"/>
        <rFont val="Calibri"/>
      </rPr>
      <t>Admin-Local scope is encouraged for any multicast traffic within a network intended for network management, as well as for control plane traffic that must reach beyond link-local destinations.</t>
    </r>
  </si>
  <si>
    <r>
      <rPr>
        <sz val="11"/>
        <color rgb="FF000000"/>
        <rFont val="Calibri"/>
      </rPr>
      <t>Review the switch configuration and verify that admin-scope multicast traffic is blocked at the external edge as shown in the example below:</t>
    </r>
    <r>
      <rPr>
        <sz val="11"/>
        <color rgb="FF000000"/>
        <rFont val="Calibri"/>
      </rPr>
      <t xml:space="preserve">
</t>
    </r>
    <r>
      <rPr>
        <sz val="11"/>
        <color rgb="FF000000"/>
        <rFont val="Calibri"/>
      </rPr>
      <t>interface GigabitEthernet1/2</t>
    </r>
    <r>
      <rPr>
        <sz val="11"/>
        <color rgb="FF000000"/>
        <rFont val="Calibri"/>
      </rPr>
      <t xml:space="preserve">
</t>
    </r>
    <r>
      <rPr>
        <sz val="11"/>
        <color rgb="FF000000"/>
        <rFont val="Calibri"/>
      </rPr>
      <t xml:space="preserve"> ip address x.1.12.2 255.255.255.252</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multicast boundary MULTICAST_SCOPE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MULTICAST_SCOPE</t>
    </r>
    <r>
      <rPr>
        <sz val="11"/>
        <color rgb="FF000000"/>
        <rFont val="Calibri"/>
      </rPr>
      <t xml:space="preserve">
</t>
    </r>
    <r>
      <rPr>
        <sz val="11"/>
        <color rgb="FF000000"/>
        <rFont val="Calibri"/>
      </rPr>
      <t xml:space="preserve"> deny 239.0.0.0 0.255.255.255</t>
    </r>
    <r>
      <rPr>
        <sz val="11"/>
        <color rgb="FF000000"/>
        <rFont val="Calibri"/>
      </rPr>
      <t xml:space="preserve">
</t>
    </r>
    <r>
      <rPr>
        <sz val="11"/>
        <color rgb="FF000000"/>
        <rFont val="Calibri"/>
      </rPr>
      <t xml:space="preserve"> permit any</t>
    </r>
    <r>
      <rPr>
        <sz val="11"/>
        <color rgb="FF000000"/>
        <rFont val="Calibri"/>
      </rPr>
      <t xml:space="preserve">
</t>
    </r>
    <r>
      <rPr>
        <sz val="11"/>
        <color rgb="FF000000"/>
        <rFont val="Calibri"/>
      </rPr>
      <t>If the switch is not configured to establish boundaries for administratively scoped multicast traffic, this is a finding.</t>
    </r>
  </si>
  <si>
    <t>V-221056</t>
  </si>
  <si>
    <r>
      <rPr>
        <sz val="11"/>
        <rFont val="Calibri"/>
      </rPr>
      <t>The Cisco multicast Rendezvous Point (RP) switch must be configured to limit the multicast forwarding cache so that its resources are not saturated by managing an overwhelming number of Protocol Independent Multicast (PIM) and Multicast Source Discovery Protocol (MSDP) source-active entries.</t>
    </r>
  </si>
  <si>
    <r>
      <rPr>
        <sz val="11"/>
        <color rgb="FF000000"/>
        <rFont val="Calibri"/>
      </rPr>
      <t xml:space="preserve">The risk associated with this requirement can be fully mitigated by configuring the switch to filter PIM register messages, rate limiting the number of PIM register messages, and accept MSDP packets only from known MSDP peers. </t>
    </r>
    <r>
      <rPr>
        <sz val="11"/>
        <color rgb="FF000000"/>
        <rFont val="Calibri"/>
      </rPr>
      <t xml:space="preserve">
</t>
    </r>
    <r>
      <rPr>
        <sz val="11"/>
        <color rgb="FF000000"/>
        <rFont val="Calibri"/>
      </rPr>
      <t xml:space="preserve">Step 1: Configure the switch to filter PIM register messages received from a multicast DR for any undesirable multicast groups and sources. The example below will deny any multicast streams for groups 239.5.0.0/16 and allow from only sources x.1.2.6 and x.1.2.7. </t>
    </r>
    <r>
      <rPr>
        <sz val="11"/>
        <color rgb="FF000000"/>
        <rFont val="Calibri"/>
      </rPr>
      <t xml:space="preserve">
</t>
    </r>
    <r>
      <rPr>
        <sz val="11"/>
        <color rgb="FF000000"/>
        <rFont val="Calibri"/>
      </rPr>
      <t xml:space="preserve">SW1(config)#ip access-list extended PIM_REGISTER_FILTER </t>
    </r>
    <r>
      <rPr>
        <sz val="11"/>
        <color rgb="FF000000"/>
        <rFont val="Calibri"/>
      </rPr>
      <t xml:space="preserve">
</t>
    </r>
    <r>
      <rPr>
        <sz val="11"/>
        <color rgb="FF000000"/>
        <rFont val="Calibri"/>
      </rPr>
      <t xml:space="preserve">SW1(config-ext-nacl)#deny ip any 239.5.0.0 0.0.255.255 </t>
    </r>
    <r>
      <rPr>
        <sz val="11"/>
        <color rgb="FF000000"/>
        <rFont val="Calibri"/>
      </rPr>
      <t xml:space="preserve">
</t>
    </r>
    <r>
      <rPr>
        <sz val="11"/>
        <color rgb="FF000000"/>
        <rFont val="Calibri"/>
      </rPr>
      <t xml:space="preserve">SW1(config-ext-nacl)#permit ip host x.1.2.6 any </t>
    </r>
    <r>
      <rPr>
        <sz val="11"/>
        <color rgb="FF000000"/>
        <rFont val="Calibri"/>
      </rPr>
      <t xml:space="preserve">
</t>
    </r>
    <r>
      <rPr>
        <sz val="11"/>
        <color rgb="FF000000"/>
        <rFont val="Calibri"/>
      </rPr>
      <t xml:space="preserve">SW1(config-ext-nacl)#permit ip host x.1.2.7 any </t>
    </r>
    <r>
      <rPr>
        <sz val="11"/>
        <color rgb="FF000000"/>
        <rFont val="Calibri"/>
      </rPr>
      <t xml:space="preserve">
</t>
    </r>
    <r>
      <rPr>
        <sz val="11"/>
        <color rgb="FF000000"/>
        <rFont val="Calibri"/>
      </rPr>
      <t xml:space="preserve">SW1(config-ext-nacl)#deny ip any any </t>
    </r>
    <r>
      <rPr>
        <sz val="11"/>
        <color rgb="FF000000"/>
        <rFont val="Calibri"/>
      </rPr>
      <t xml:space="preserve">
</t>
    </r>
    <r>
      <rPr>
        <sz val="11"/>
        <color rgb="FF000000"/>
        <rFont val="Calibri"/>
      </rPr>
      <t xml:space="preserve">SW1(config-ext-nacl)#exit </t>
    </r>
    <r>
      <rPr>
        <sz val="11"/>
        <color rgb="FF000000"/>
        <rFont val="Calibri"/>
      </rPr>
      <t xml:space="preserve">
</t>
    </r>
    <r>
      <rPr>
        <sz val="11"/>
        <color rgb="FF000000"/>
        <rFont val="Calibri"/>
      </rPr>
      <t xml:space="preserve">SW1(config)#ip pim accept-register list PIM_REGISTER_FILTER </t>
    </r>
    <r>
      <rPr>
        <sz val="11"/>
        <color rgb="FF000000"/>
        <rFont val="Calibri"/>
      </rPr>
      <t xml:space="preserve">
</t>
    </r>
    <r>
      <rPr>
        <sz val="11"/>
        <color rgb="FF000000"/>
        <rFont val="Calibri"/>
      </rPr>
      <t xml:space="preserve">SW1(config)#end </t>
    </r>
    <r>
      <rPr>
        <sz val="11"/>
        <color rgb="FF000000"/>
        <rFont val="Calibri"/>
      </rPr>
      <t xml:space="preserve">
</t>
    </r>
    <r>
      <rPr>
        <sz val="11"/>
        <color rgb="FF000000"/>
        <rFont val="Calibri"/>
      </rPr>
      <t xml:space="preserve">Step 2: Configure the RP to rate limit the number of multicast register messages. </t>
    </r>
    <r>
      <rPr>
        <sz val="11"/>
        <color rgb="FF000000"/>
        <rFont val="Calibri"/>
      </rPr>
      <t xml:space="preserve">
</t>
    </r>
    <r>
      <rPr>
        <sz val="11"/>
        <color rgb="FF000000"/>
        <rFont val="Calibri"/>
      </rPr>
      <t xml:space="preserve">SW1(config)#ip pim register-rate-limit nn </t>
    </r>
    <r>
      <rPr>
        <sz val="11"/>
        <color rgb="FF000000"/>
        <rFont val="Calibri"/>
      </rPr>
      <t xml:space="preserve">
</t>
    </r>
    <r>
      <rPr>
        <sz val="11"/>
        <color rgb="FF000000"/>
        <rFont val="Calibri"/>
      </rPr>
      <t xml:space="preserve">Step 3: Configure the receive path or interface ACLs to only accept MSDP packets from known MSDP peers. </t>
    </r>
    <r>
      <rPr>
        <sz val="11"/>
        <color rgb="FF000000"/>
        <rFont val="Calibri"/>
      </rPr>
      <t xml:space="preserve">
</t>
    </r>
    <r>
      <rPr>
        <sz val="11"/>
        <color rgb="FF000000"/>
        <rFont val="Calibri"/>
      </rPr>
      <t xml:space="preserve">SW1(config)#ip access-list extended EXTERNAL_ACL_INBOUND </t>
    </r>
    <r>
      <rPr>
        <sz val="11"/>
        <color rgb="FF000000"/>
        <rFont val="Calibri"/>
      </rPr>
      <t xml:space="preserve">
</t>
    </r>
    <r>
      <rPr>
        <sz val="11"/>
        <color rgb="FF000000"/>
        <rFont val="Calibri"/>
      </rPr>
      <t xml:space="preserve">SW1(config-ext-nacl)#permit tcp any any established </t>
    </r>
    <r>
      <rPr>
        <sz val="11"/>
        <color rgb="FF000000"/>
        <rFont val="Calibri"/>
      </rPr>
      <t xml:space="preserve">
</t>
    </r>
    <r>
      <rPr>
        <sz val="11"/>
        <color rgb="FF000000"/>
        <rFont val="Calibri"/>
      </rPr>
      <t xml:space="preserve">SW1(config-ext-nacl)#permit tcp host x.1.28.2 host x.1.28.8 eq 639 </t>
    </r>
    <r>
      <rPr>
        <sz val="11"/>
        <color rgb="FF000000"/>
        <rFont val="Calibri"/>
      </rPr>
      <t xml:space="preserve">
</t>
    </r>
    <r>
      <rPr>
        <sz val="11"/>
        <color rgb="FF000000"/>
        <rFont val="Calibri"/>
      </rPr>
      <t xml:space="preserve">SW1(config-ext-nacl)#deny tcp any host x.1.28.8 eq 639 </t>
    </r>
    <r>
      <rPr>
        <sz val="11"/>
        <color rgb="FF000000"/>
        <rFont val="Calibri"/>
      </rPr>
      <t xml:space="preserve">
</t>
    </r>
    <r>
      <rPr>
        <sz val="11"/>
        <color rgb="FF000000"/>
        <rFont val="Calibri"/>
      </rPr>
      <t xml:space="preserve">SW1(config-ext-nacl)#permit tcp host x.1.28.2 host x.1.28.8 eq bgp </t>
    </r>
    <r>
      <rPr>
        <sz val="11"/>
        <color rgb="FF000000"/>
        <rFont val="Calibri"/>
      </rPr>
      <t xml:space="preserve">
</t>
    </r>
    <r>
      <rPr>
        <sz val="11"/>
        <color rgb="FF000000"/>
        <rFont val="Calibri"/>
      </rPr>
      <t xml:space="preserve">SW1(config-ext-nacl)#permit tcp host x.1.28.2 eq bgp host x.1.28.8 </t>
    </r>
    <r>
      <rPr>
        <sz val="11"/>
        <color rgb="FF000000"/>
        <rFont val="Calibri"/>
      </rPr>
      <t xml:space="preserve">
</t>
    </r>
    <r>
      <rPr>
        <sz val="11"/>
        <color rgb="FF000000"/>
        <rFont val="Calibri"/>
      </rPr>
      <t xml:space="preserve">SW1(config-ext-nacl)#permit pim host x.1.28.2 host x.1.28.8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SW1(config-ext-nacl)#deny ip any any</t>
    </r>
  </si>
  <si>
    <r>
      <rPr>
        <sz val="11"/>
        <color rgb="FF000000"/>
        <rFont val="Calibri"/>
      </rPr>
      <t>MSDP peering between networks enables sharing of multicast source information. Enclaves with an existing multicast topology using PIM-SM can configure their RP switches to peer with MSDP switches. As a first step of defense against a denial-of-service (DoS) attack, all RP switches must limit the multicast forwarding cache to ensure that switch resources are not saturated managing an overwhelming number of PIM and MSDP source-active entries.</t>
    </r>
  </si>
  <si>
    <r>
      <rPr>
        <sz val="11"/>
        <color rgb="FF000000"/>
        <rFont val="Calibri"/>
      </rPr>
      <t xml:space="preserve">The Cisco switch does not have a mechanism to limit the multicast forwarding cache. However, the risk associated with this requirement can be fully mitigated by configuring the switch to: </t>
    </r>
    <r>
      <rPr>
        <sz val="11"/>
        <color rgb="FF000000"/>
        <rFont val="Calibri"/>
      </rPr>
      <t xml:space="preserve">
</t>
    </r>
    <r>
      <rPr>
        <sz val="11"/>
        <color rgb="FF000000"/>
        <rFont val="Calibri"/>
      </rPr>
      <t xml:space="preserve">1. Filter PIM register messages. </t>
    </r>
    <r>
      <rPr>
        <sz val="11"/>
        <color rgb="FF000000"/>
        <rFont val="Calibri"/>
      </rPr>
      <t xml:space="preserve">
</t>
    </r>
    <r>
      <rPr>
        <sz val="11"/>
        <color rgb="FF000000"/>
        <rFont val="Calibri"/>
      </rPr>
      <t xml:space="preserve">2. Rate limiting the number of PIM register messages. </t>
    </r>
    <r>
      <rPr>
        <sz val="11"/>
        <color rgb="FF000000"/>
        <rFont val="Calibri"/>
      </rPr>
      <t xml:space="preserve">
</t>
    </r>
    <r>
      <rPr>
        <sz val="11"/>
        <color rgb="FF000000"/>
        <rFont val="Calibri"/>
      </rPr>
      <t xml:space="preserve">3. Accept MSDP packets only from known MSDP peers. </t>
    </r>
    <r>
      <rPr>
        <sz val="11"/>
        <color rgb="FF000000"/>
        <rFont val="Calibri"/>
      </rPr>
      <t xml:space="preserve">
</t>
    </r>
    <r>
      <rPr>
        <sz val="11"/>
        <color rgb="FF000000"/>
        <rFont val="Calibri"/>
      </rPr>
      <t xml:space="preserve">Step 1: Verify that the RP is configured to filter PIM register messages for any undesirable multicast groups and sources. The example below will deny any multicast streams for groups 239.5.0.0/16 and allow from only sources x.1.2.6 and x.1.2.7. </t>
    </r>
    <r>
      <rPr>
        <sz val="11"/>
        <color rgb="FF000000"/>
        <rFont val="Calibri"/>
      </rPr>
      <t xml:space="preserve">
</t>
    </r>
    <r>
      <rPr>
        <sz val="11"/>
        <color rgb="FF000000"/>
        <rFont val="Calibri"/>
      </rPr>
      <t xml:space="preserve">ip pim rp-address 10.1.12.3 </t>
    </r>
    <r>
      <rPr>
        <sz val="11"/>
        <color rgb="FF000000"/>
        <rFont val="Calibri"/>
      </rPr>
      <t xml:space="preserve">
</t>
    </r>
    <r>
      <rPr>
        <sz val="11"/>
        <color rgb="FF000000"/>
        <rFont val="Calibri"/>
      </rPr>
      <t xml:space="preserve">ip pim accept-register list PIM_REGISTER_FILTER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ip access-list extended PIM_REGISTER_FILTER </t>
    </r>
    <r>
      <rPr>
        <sz val="11"/>
        <color rgb="FF000000"/>
        <rFont val="Calibri"/>
      </rPr>
      <t xml:space="preserve">
</t>
    </r>
    <r>
      <rPr>
        <sz val="11"/>
        <color rgb="FF000000"/>
        <rFont val="Calibri"/>
      </rPr>
      <t xml:space="preserve">deny ip any 239.5.0.0 0.0.255.255 </t>
    </r>
    <r>
      <rPr>
        <sz val="11"/>
        <color rgb="FF000000"/>
        <rFont val="Calibri"/>
      </rPr>
      <t xml:space="preserve">
</t>
    </r>
    <r>
      <rPr>
        <sz val="11"/>
        <color rgb="FF000000"/>
        <rFont val="Calibri"/>
      </rPr>
      <t xml:space="preserve">permit ip host x.1.2.6 any </t>
    </r>
    <r>
      <rPr>
        <sz val="11"/>
        <color rgb="FF000000"/>
        <rFont val="Calibri"/>
      </rPr>
      <t xml:space="preserve">
</t>
    </r>
    <r>
      <rPr>
        <sz val="11"/>
        <color rgb="FF000000"/>
        <rFont val="Calibri"/>
      </rPr>
      <t xml:space="preserve">permit ip host x.1.2.7 any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Step 2: Verify that the RP is configured to rate limiting the number of PIM register messages as shown in the example below: </t>
    </r>
    <r>
      <rPr>
        <sz val="11"/>
        <color rgb="FF000000"/>
        <rFont val="Calibri"/>
      </rPr>
      <t xml:space="preserve">
</t>
    </r>
    <r>
      <rPr>
        <sz val="11"/>
        <color rgb="FF000000"/>
        <rFont val="Calibri"/>
      </rPr>
      <t xml:space="preserve">ip pim rp-address 10.2.2.2 </t>
    </r>
    <r>
      <rPr>
        <sz val="11"/>
        <color rgb="FF000000"/>
        <rFont val="Calibri"/>
      </rPr>
      <t xml:space="preserve">
</t>
    </r>
    <r>
      <rPr>
        <sz val="11"/>
        <color rgb="FF000000"/>
        <rFont val="Calibri"/>
      </rPr>
      <t xml:space="preserve">ip pim register-rate-limit nn </t>
    </r>
    <r>
      <rPr>
        <sz val="11"/>
        <color rgb="FF000000"/>
        <rFont val="Calibri"/>
      </rPr>
      <t xml:space="preserve">
</t>
    </r>
    <r>
      <rPr>
        <sz val="11"/>
        <color rgb="FF000000"/>
        <rFont val="Calibri"/>
      </rPr>
      <t xml:space="preserve">Step 3: Review the switch configuration to determine if there is a receive path or interface filter to only accept MSDP packets from known MSDP peers as shown in the example below: </t>
    </r>
    <r>
      <rPr>
        <sz val="11"/>
        <color rgb="FF000000"/>
        <rFont val="Calibri"/>
      </rPr>
      <t xml:space="preserve">
</t>
    </r>
    <r>
      <rPr>
        <sz val="11"/>
        <color rgb="FF000000"/>
        <rFont val="Calibri"/>
      </rPr>
      <t xml:space="preserve">Step 3a: Verify that interfaces used for MSDP peering have an inbound ACL as shown in the example. </t>
    </r>
    <r>
      <rPr>
        <sz val="11"/>
        <color rgb="FF000000"/>
        <rFont val="Calibri"/>
      </rPr>
      <t xml:space="preserve">
</t>
    </r>
    <r>
      <rPr>
        <sz val="11"/>
        <color rgb="FF000000"/>
        <rFont val="Calibri"/>
      </rPr>
      <t xml:space="preserve">interface GigabitEthernet1/1 </t>
    </r>
    <r>
      <rPr>
        <sz val="11"/>
        <color rgb="FF000000"/>
        <rFont val="Calibri"/>
      </rPr>
      <t xml:space="preserve">
</t>
    </r>
    <r>
      <rPr>
        <sz val="11"/>
        <color rgb="FF000000"/>
        <rFont val="Calibri"/>
      </rPr>
      <t xml:space="preserve">ip address x.1.28.8 255.255.255.0 </t>
    </r>
    <r>
      <rPr>
        <sz val="11"/>
        <color rgb="FF000000"/>
        <rFont val="Calibri"/>
      </rPr>
      <t xml:space="preserve">
</t>
    </r>
    <r>
      <rPr>
        <sz val="11"/>
        <color rgb="FF000000"/>
        <rFont val="Calibri"/>
      </rPr>
      <t xml:space="preserve">ip access-group EXTERNAL_ACL_INBOUND in </t>
    </r>
    <r>
      <rPr>
        <sz val="11"/>
        <color rgb="FF000000"/>
        <rFont val="Calibri"/>
      </rPr>
      <t xml:space="preserve">
</t>
    </r>
    <r>
      <rPr>
        <sz val="11"/>
        <color rgb="FF000000"/>
        <rFont val="Calibri"/>
      </rPr>
      <t xml:space="preserve">ip pim sparse-mode </t>
    </r>
    <r>
      <rPr>
        <sz val="11"/>
        <color rgb="FF000000"/>
        <rFont val="Calibri"/>
      </rPr>
      <t xml:space="preserve">
</t>
    </r>
    <r>
      <rPr>
        <sz val="11"/>
        <color rgb="FF000000"/>
        <rFont val="Calibri"/>
      </rPr>
      <t xml:space="preserve">Step 3b: Verify that the ACL restricts MSDP peering to only known sources. </t>
    </r>
    <r>
      <rPr>
        <sz val="11"/>
        <color rgb="FF000000"/>
        <rFont val="Calibri"/>
      </rPr>
      <t xml:space="preserve">
</t>
    </r>
    <r>
      <rPr>
        <sz val="11"/>
        <color rgb="FF000000"/>
        <rFont val="Calibri"/>
      </rPr>
      <t xml:space="preserve">ip access-list extended EXTERNAL_ACL_INBOUND </t>
    </r>
    <r>
      <rPr>
        <sz val="11"/>
        <color rgb="FF000000"/>
        <rFont val="Calibri"/>
      </rPr>
      <t xml:space="preserve">
</t>
    </r>
    <r>
      <rPr>
        <sz val="11"/>
        <color rgb="FF000000"/>
        <rFont val="Calibri"/>
      </rPr>
      <t xml:space="preserve">permit tcp any any established </t>
    </r>
    <r>
      <rPr>
        <sz val="11"/>
        <color rgb="FF000000"/>
        <rFont val="Calibri"/>
      </rPr>
      <t xml:space="preserve">
</t>
    </r>
    <r>
      <rPr>
        <sz val="11"/>
        <color rgb="FF000000"/>
        <rFont val="Calibri"/>
      </rPr>
      <t xml:space="preserve">permit tcp host x.1.28.2 host x.1.28.8 eq 639 </t>
    </r>
    <r>
      <rPr>
        <sz val="11"/>
        <color rgb="FF000000"/>
        <rFont val="Calibri"/>
      </rPr>
      <t xml:space="preserve">
</t>
    </r>
    <r>
      <rPr>
        <sz val="11"/>
        <color rgb="FF000000"/>
        <rFont val="Calibri"/>
      </rPr>
      <t xml:space="preserve">deny tcp any host x.1.28.8 eq 639 log </t>
    </r>
    <r>
      <rPr>
        <sz val="11"/>
        <color rgb="FF000000"/>
        <rFont val="Calibri"/>
      </rPr>
      <t xml:space="preserve">
</t>
    </r>
    <r>
      <rPr>
        <sz val="11"/>
        <color rgb="FF000000"/>
        <rFont val="Calibri"/>
      </rPr>
      <t xml:space="preserve">permit tcp host x.1.28.2 host 10.1.28.8 eq bgp </t>
    </r>
    <r>
      <rPr>
        <sz val="11"/>
        <color rgb="FF000000"/>
        <rFont val="Calibri"/>
      </rPr>
      <t xml:space="preserve">
</t>
    </r>
    <r>
      <rPr>
        <sz val="11"/>
        <color rgb="FF000000"/>
        <rFont val="Calibri"/>
      </rPr>
      <t xml:space="preserve">permit tcp host x.1.28.2 eq bgp host x.1.28.8 </t>
    </r>
    <r>
      <rPr>
        <sz val="11"/>
        <color rgb="FF000000"/>
        <rFont val="Calibri"/>
      </rPr>
      <t xml:space="preserve">
</t>
    </r>
    <r>
      <rPr>
        <sz val="11"/>
        <color rgb="FF000000"/>
        <rFont val="Calibri"/>
      </rPr>
      <t xml:space="preserve">permit pim host x.1.28.2 pim host x.1.28.8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deny ip any any log </t>
    </r>
    <r>
      <rPr>
        <sz val="11"/>
        <color rgb="FF000000"/>
        <rFont val="Calibri"/>
      </rPr>
      <t xml:space="preserve">
</t>
    </r>
    <r>
      <rPr>
        <sz val="11"/>
        <color rgb="FF000000"/>
        <rFont val="Calibri"/>
      </rPr>
      <t>Note: MSDP connections is via TCP port 639.</t>
    </r>
    <r>
      <rPr>
        <sz val="11"/>
        <color rgb="FF000000"/>
        <rFont val="Calibri"/>
      </rPr>
      <t xml:space="preserve">
</t>
    </r>
    <r>
      <rPr>
        <sz val="11"/>
        <color rgb="FF000000"/>
        <rFont val="Calibri"/>
      </rPr>
      <t>If the RP switch is not configured to filter PIM register messages, rate limiting the number of PIM register messages, and accept MSDP packets only from known MSDP peers, this is a finding.</t>
    </r>
  </si>
  <si>
    <t>V-221057</t>
  </si>
  <si>
    <r>
      <rPr>
        <sz val="11"/>
        <rFont val="Calibri"/>
      </rPr>
      <t>The Cisco multicast Rendezvous Point (RP) switch must be configured to filter Protocol Independent Multicast (PIM) Register messages received from the Designated switch (DR) for any undesirable multicast groups and sources.</t>
    </r>
  </si>
  <si>
    <r>
      <rPr>
        <sz val="11"/>
        <color rgb="FF000000"/>
        <rFont val="Calibri"/>
      </rPr>
      <t xml:space="preserve">Configure the switch to filter PIM register messages received from a multicast DR for any undesirable multicast groups and sources. The example below will deny any multicast streams for groups 239.5.0.0/16 and allow from only sources x.1.2.6 and x.1.2.7. </t>
    </r>
    <r>
      <rPr>
        <sz val="11"/>
        <color rgb="FF000000"/>
        <rFont val="Calibri"/>
      </rPr>
      <t xml:space="preserve">
</t>
    </r>
    <r>
      <rPr>
        <sz val="11"/>
        <color rgb="FF000000"/>
        <rFont val="Calibri"/>
      </rPr>
      <t>SW2(config)#ip access-list extended PIM_REGISTER_FILTER</t>
    </r>
    <r>
      <rPr>
        <sz val="11"/>
        <color rgb="FF000000"/>
        <rFont val="Calibri"/>
      </rPr>
      <t xml:space="preserve">
</t>
    </r>
    <r>
      <rPr>
        <sz val="11"/>
        <color rgb="FF000000"/>
        <rFont val="Calibri"/>
      </rPr>
      <t>SW2(config-ext-nacl)#deny ip any 239.5.0.0 0.0.255.255</t>
    </r>
    <r>
      <rPr>
        <sz val="11"/>
        <color rgb="FF000000"/>
        <rFont val="Calibri"/>
      </rPr>
      <t xml:space="preserve">
</t>
    </r>
    <r>
      <rPr>
        <sz val="11"/>
        <color rgb="FF000000"/>
        <rFont val="Calibri"/>
      </rPr>
      <t>SW2(config-ext-nacl)#permit ip host x.1.2.6 any</t>
    </r>
    <r>
      <rPr>
        <sz val="11"/>
        <color rgb="FF000000"/>
        <rFont val="Calibri"/>
      </rPr>
      <t xml:space="preserve">
</t>
    </r>
    <r>
      <rPr>
        <sz val="11"/>
        <color rgb="FF000000"/>
        <rFont val="Calibri"/>
      </rPr>
      <t>SW2(config-ext-nacl)#permit ip host x.1.2.7 any</t>
    </r>
    <r>
      <rPr>
        <sz val="11"/>
        <color rgb="FF000000"/>
        <rFont val="Calibri"/>
      </rPr>
      <t xml:space="preserve">
</t>
    </r>
    <r>
      <rPr>
        <sz val="11"/>
        <color rgb="FF000000"/>
        <rFont val="Calibri"/>
      </rPr>
      <t>SW2(config-ext-nacl)#deny ip any any</t>
    </r>
    <r>
      <rPr>
        <sz val="11"/>
        <color rgb="FF000000"/>
        <rFont val="Calibri"/>
      </rPr>
      <t xml:space="preserve">
</t>
    </r>
    <r>
      <rPr>
        <sz val="11"/>
        <color rgb="FF000000"/>
        <rFont val="Calibri"/>
      </rPr>
      <t>SW2(config-ext-nacl)#exit</t>
    </r>
    <r>
      <rPr>
        <sz val="11"/>
        <color rgb="FF000000"/>
        <rFont val="Calibri"/>
      </rPr>
      <t xml:space="preserve">
</t>
    </r>
    <r>
      <rPr>
        <sz val="11"/>
        <color rgb="FF000000"/>
        <rFont val="Calibri"/>
      </rPr>
      <t>SW2(config)#ip pim accept-register list PIM_REGISTER_FILTER</t>
    </r>
    <r>
      <rPr>
        <sz val="11"/>
        <color rgb="FF000000"/>
        <rFont val="Calibri"/>
      </rPr>
      <t xml:space="preserve">
</t>
    </r>
    <r>
      <rPr>
        <sz val="11"/>
        <color rgb="FF000000"/>
        <rFont val="Calibri"/>
      </rPr>
      <t>SW2(config)#end</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</si>
  <si>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register messages are accepted only for authorized multicast groups and sources.</t>
    </r>
  </si>
  <si>
    <r>
      <rPr>
        <sz val="11"/>
        <color rgb="FF000000"/>
        <rFont val="Calibri"/>
      </rPr>
      <t xml:space="preserve">Verify that the RP is configured to filter PIM register messages. The example below will deny any multicast streams for groups 239.5.0.0/16 and allow from only sources x.1.2.6 and x.1.2.7. </t>
    </r>
    <r>
      <rPr>
        <sz val="11"/>
        <color rgb="FF000000"/>
        <rFont val="Calibri"/>
      </rPr>
      <t xml:space="preserve">
</t>
    </r>
    <r>
      <rPr>
        <sz val="11"/>
        <color rgb="FF000000"/>
        <rFont val="Calibri"/>
      </rPr>
      <t>ip pim rp-address 10.1.12.3</t>
    </r>
    <r>
      <rPr>
        <sz val="11"/>
        <color rgb="FF000000"/>
        <rFont val="Calibri"/>
      </rPr>
      <t xml:space="preserve">
</t>
    </r>
    <r>
      <rPr>
        <sz val="11"/>
        <color rgb="FF000000"/>
        <rFont val="Calibri"/>
      </rPr>
      <t>ip pim accept-register list PIM_REGISTER_FILTER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PIM_REGISTER_FILTER</t>
    </r>
    <r>
      <rPr>
        <sz val="11"/>
        <color rgb="FF000000"/>
        <rFont val="Calibri"/>
      </rPr>
      <t xml:space="preserve">
</t>
    </r>
    <r>
      <rPr>
        <sz val="11"/>
        <color rgb="FF000000"/>
        <rFont val="Calibri"/>
      </rPr>
      <t xml:space="preserve"> deny ip any 239.5.0.0 0.0.255.255</t>
    </r>
    <r>
      <rPr>
        <sz val="11"/>
        <color rgb="FF000000"/>
        <rFont val="Calibri"/>
      </rPr>
      <t xml:space="preserve">
</t>
    </r>
    <r>
      <rPr>
        <sz val="11"/>
        <color rgb="FF000000"/>
        <rFont val="Calibri"/>
      </rPr>
      <t xml:space="preserve"> permit ip host x.1.2.6 any</t>
    </r>
    <r>
      <rPr>
        <sz val="11"/>
        <color rgb="FF000000"/>
        <rFont val="Calibri"/>
      </rPr>
      <t xml:space="preserve">
</t>
    </r>
    <r>
      <rPr>
        <sz val="11"/>
        <color rgb="FF000000"/>
        <rFont val="Calibri"/>
      </rPr>
      <t xml:space="preserve"> permit ip host x.1.2.7 any</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If the RP switch peering with PIM-SM switches is not configured with a policy to block registration messages for any undesirable multicast groups and sources, this is a finding.</t>
    </r>
  </si>
  <si>
    <t>V-221058</t>
  </si>
  <si>
    <r>
      <rPr>
        <sz val="11"/>
        <rFont val="Calibri"/>
      </rPr>
      <t>The Cisco multicast Rendezvous Point (RP) switch must be configured to filter Protocol Independent Multicast (PIM) Join messages received from the Designated Cisco switch (DR) for any undesirable multicast groups.</t>
    </r>
  </si>
  <si>
    <r>
      <rPr>
        <sz val="11"/>
        <color rgb="FF000000"/>
        <rFont val="Calibri"/>
      </rPr>
      <t>Configure the RP to filter PIM join messages for any undesirable multicast groups as shown in the example below:</t>
    </r>
    <r>
      <rPr>
        <sz val="11"/>
        <color rgb="FF000000"/>
        <rFont val="Calibri"/>
      </rPr>
      <t xml:space="preserve">
</t>
    </r>
    <r>
      <rPr>
        <sz val="11"/>
        <color rgb="FF000000"/>
        <rFont val="Calibri"/>
      </rPr>
      <t>SW2(config)#ip access-list standard PIM_JOIN_FILTER</t>
    </r>
    <r>
      <rPr>
        <sz val="11"/>
        <color rgb="FF000000"/>
        <rFont val="Calibri"/>
      </rPr>
      <t xml:space="preserve">
</t>
    </r>
    <r>
      <rPr>
        <sz val="11"/>
        <color rgb="FF000000"/>
        <rFont val="Calibri"/>
      </rPr>
      <t>SW2(config-std-nacl)#deny 239.8.0.0 0.0.255.255</t>
    </r>
    <r>
      <rPr>
        <sz val="11"/>
        <color rgb="FF000000"/>
        <rFont val="Calibri"/>
      </rPr>
      <t xml:space="preserve">
</t>
    </r>
    <r>
      <rPr>
        <sz val="11"/>
        <color rgb="FF000000"/>
        <rFont val="Calibri"/>
      </rPr>
      <t>SW2(config-std-nacl)#permit any</t>
    </r>
    <r>
      <rPr>
        <sz val="11"/>
        <color rgb="FF000000"/>
        <rFont val="Calibri"/>
      </rPr>
      <t xml:space="preserve">
</t>
    </r>
    <r>
      <rPr>
        <sz val="11"/>
        <color rgb="FF000000"/>
        <rFont val="Calibri"/>
      </rPr>
      <t>SW2(config-std-nacl)#exit</t>
    </r>
    <r>
      <rPr>
        <sz val="11"/>
        <color rgb="FF000000"/>
        <rFont val="Calibri"/>
      </rPr>
      <t xml:space="preserve">
</t>
    </r>
    <r>
      <rPr>
        <sz val="11"/>
        <color rgb="FF000000"/>
        <rFont val="Calibri"/>
      </rPr>
      <t xml:space="preserve">SW2(config)#ip pim accept-rp 10.2.2.2 PIM_JOIN_FILTER </t>
    </r>
    <r>
      <rPr>
        <sz val="11"/>
        <color rgb="FF000000"/>
        <rFont val="Calibri"/>
      </rPr>
      <t xml:space="preserve">
</t>
    </r>
    <r>
      <rPr>
        <sz val="11"/>
        <color rgb="FF000000"/>
        <rFont val="Calibri"/>
      </rPr>
      <t>SW2(config)#end</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</si>
  <si>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join messages are only accepted for authorized multicast groups.</t>
    </r>
  </si>
  <si>
    <r>
      <rPr>
        <sz val="11"/>
        <color rgb="FF000000"/>
        <rFont val="Calibri"/>
      </rPr>
      <t>Verify that the RP is configured to filter PIM join messages for any undesirable multicast groups. In the example below, groups from 239.8.0.0/16 are not allowed.</t>
    </r>
    <r>
      <rPr>
        <sz val="11"/>
        <color rgb="FF000000"/>
        <rFont val="Calibri"/>
      </rPr>
      <t xml:space="preserve">
</t>
    </r>
    <r>
      <rPr>
        <sz val="11"/>
        <color rgb="FF000000"/>
        <rFont val="Calibri"/>
      </rPr>
      <t>ip pim rp-address 10.2.2.2</t>
    </r>
    <r>
      <rPr>
        <sz val="11"/>
        <color rgb="FF000000"/>
        <rFont val="Calibri"/>
      </rPr>
      <t xml:space="preserve">
</t>
    </r>
    <r>
      <rPr>
        <sz val="11"/>
        <color rgb="FF000000"/>
        <rFont val="Calibri"/>
      </rPr>
      <t>ip pim accept-rp 10.2.2.2 FILTER_PIM_JOINS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FILTER_PIM_JOINS</t>
    </r>
    <r>
      <rPr>
        <sz val="11"/>
        <color rgb="FF000000"/>
        <rFont val="Calibri"/>
      </rPr>
      <t xml:space="preserve">
</t>
    </r>
    <r>
      <rPr>
        <sz val="11"/>
        <color rgb="FF000000"/>
        <rFont val="Calibri"/>
      </rPr>
      <t xml:space="preserve"> deny 239.8.0.0 0.0.255.255</t>
    </r>
    <r>
      <rPr>
        <sz val="11"/>
        <color rgb="FF000000"/>
        <rFont val="Calibri"/>
      </rPr>
      <t xml:space="preserve">
</t>
    </r>
    <r>
      <rPr>
        <sz val="11"/>
        <color rgb="FF000000"/>
        <rFont val="Calibri"/>
      </rPr>
      <t xml:space="preserve"> permit any</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RP is not configured to filter join messages received from the DR for any undesirable multicast groups, this is a finding.</t>
    </r>
  </si>
  <si>
    <t>V-221059</t>
  </si>
  <si>
    <r>
      <rPr>
        <sz val="11"/>
        <rFont val="Calibri"/>
      </rPr>
      <t>The Cisco multicast Rendezvous Point (RP) must be configured to rate limit the number of Protocol Independent Multicast (PIM) Register messages.</t>
    </r>
  </si>
  <si>
    <r>
      <rPr>
        <sz val="11"/>
        <color rgb="FF000000"/>
        <rFont val="Calibri"/>
      </rPr>
      <t>Configure the RP to rate limit the number of multicast register messages.</t>
    </r>
    <r>
      <rPr>
        <sz val="11"/>
        <color rgb="FF000000"/>
        <rFont val="Calibri"/>
      </rPr>
      <t xml:space="preserve">
</t>
    </r>
    <r>
      <rPr>
        <sz val="11"/>
        <color rgb="FF000000"/>
        <rFont val="Calibri"/>
      </rPr>
      <t>SW2(config)#ip pim register-rate-limit nn</t>
    </r>
  </si>
  <si>
    <r>
      <rPr>
        <sz val="11"/>
        <color rgb="FF000000"/>
        <rFont val="Calibri"/>
      </rPr>
      <t>When a new source starts transmitting in a PIM Sparse Mode network, the DR will encapsulate the multicast packets into register messages and forward them to the RP using unicast. This process can be taxing on the CPU for both the DR and the RP if the source is running at a high data rate and there are many new sources starting at the same time. This scenario can potentially occur immediately after a network failover. The rate limit for the number of register messages should be set to a relatively low value based on the known number of multicast sources within the multicast domain.</t>
    </r>
  </si>
  <si>
    <r>
      <rPr>
        <sz val="11"/>
        <color rgb="FF000000"/>
        <rFont val="Calibri"/>
      </rPr>
      <t>Review the configuration of the RP to verify that it is rate limiting the number of PIM register messages.</t>
    </r>
    <r>
      <rPr>
        <sz val="11"/>
        <color rgb="FF000000"/>
        <rFont val="Calibri"/>
      </rPr>
      <t xml:space="preserve">
</t>
    </r>
    <r>
      <rPr>
        <sz val="11"/>
        <color rgb="FF000000"/>
        <rFont val="Calibri"/>
      </rPr>
      <t>ip pim rp-address 10.2.2.2</t>
    </r>
    <r>
      <rPr>
        <sz val="11"/>
        <color rgb="FF000000"/>
        <rFont val="Calibri"/>
      </rPr>
      <t xml:space="preserve">
</t>
    </r>
    <r>
      <rPr>
        <sz val="11"/>
        <color rgb="FF000000"/>
        <rFont val="Calibri"/>
      </rPr>
      <t>ip pim register-rate-limit nn</t>
    </r>
    <r>
      <rPr>
        <sz val="11"/>
        <color rgb="FF000000"/>
        <rFont val="Calibri"/>
      </rPr>
      <t xml:space="preserve">
</t>
    </r>
    <r>
      <rPr>
        <sz val="11"/>
        <color rgb="FF000000"/>
        <rFont val="Calibri"/>
      </rPr>
      <t>If the RP is not limiting PIM register messages, this is a finding.</t>
    </r>
  </si>
  <si>
    <t>V-221060</t>
  </si>
  <si>
    <r>
      <rPr>
        <sz val="11"/>
        <rFont val="Calibri"/>
      </rPr>
      <t>The Cisco multicast Designated switch (DR) must be configured to filter the Internet Group Management Protocol (IGMP) and Multicast Listener Discovery (MLD) Report messages to allow hosts to join only multicast groups that have been approved by the organization.</t>
    </r>
  </si>
  <si>
    <r>
      <rPr>
        <sz val="11"/>
        <color rgb="FF000000"/>
        <rFont val="Calibri"/>
      </rPr>
      <t>Configure the DR to filter the IGMP or MLD Membership Report messages to allow hosts to join only those multicast groups that have been approved.</t>
    </r>
    <r>
      <rPr>
        <sz val="11"/>
        <color rgb="FF000000"/>
        <rFont val="Calibri"/>
      </rPr>
      <t xml:space="preserve">
</t>
    </r>
    <r>
      <rPr>
        <sz val="11"/>
        <color rgb="FF000000"/>
        <rFont val="Calibri"/>
      </rPr>
      <t xml:space="preserve">Step 1: Configure the ACL to filter IGMP Membership Report messages as shown in the example below: </t>
    </r>
    <r>
      <rPr>
        <sz val="11"/>
        <color rgb="FF000000"/>
        <rFont val="Calibri"/>
      </rPr>
      <t xml:space="preserve">
</t>
    </r>
    <r>
      <rPr>
        <sz val="11"/>
        <color rgb="FF000000"/>
        <rFont val="Calibri"/>
      </rPr>
      <t>SW2(config)#ip access-list standard IGMP_JOIN_FILTER</t>
    </r>
    <r>
      <rPr>
        <sz val="11"/>
        <color rgb="FF000000"/>
        <rFont val="Calibri"/>
      </rPr>
      <t xml:space="preserve">
</t>
    </r>
    <r>
      <rPr>
        <sz val="11"/>
        <color rgb="FF000000"/>
        <rFont val="Calibri"/>
      </rPr>
      <t>SW2(config-std-nacl)#deny 239.8.0.0 0.0.255.255</t>
    </r>
    <r>
      <rPr>
        <sz val="11"/>
        <color rgb="FF000000"/>
        <rFont val="Calibri"/>
      </rPr>
      <t xml:space="preserve">
</t>
    </r>
    <r>
      <rPr>
        <sz val="11"/>
        <color rgb="FF000000"/>
        <rFont val="Calibri"/>
      </rPr>
      <t>SW2(config-std-nacl)#permit any</t>
    </r>
    <r>
      <rPr>
        <sz val="11"/>
        <color rgb="FF000000"/>
        <rFont val="Calibri"/>
      </rPr>
      <t xml:space="preserve">
</t>
    </r>
    <r>
      <rPr>
        <sz val="11"/>
        <color rgb="FF000000"/>
        <rFont val="Calibri"/>
      </rPr>
      <t>SW2(config-std-nacl)#exit</t>
    </r>
    <r>
      <rPr>
        <sz val="11"/>
        <color rgb="FF000000"/>
        <rFont val="Calibri"/>
      </rPr>
      <t xml:space="preserve">
</t>
    </r>
    <r>
      <rPr>
        <sz val="11"/>
        <color rgb="FF000000"/>
        <rFont val="Calibri"/>
      </rPr>
      <t>Step 2: Apply the filter to all host-facing layer 3 and VLAN interfaces.</t>
    </r>
    <r>
      <rPr>
        <sz val="11"/>
        <color rgb="FF000000"/>
        <rFont val="Calibri"/>
      </rPr>
      <t xml:space="preserve">
</t>
    </r>
    <r>
      <rPr>
        <sz val="11"/>
        <color rgb="FF000000"/>
        <rFont val="Calibri"/>
      </rPr>
      <t>SW2(config)#int vlan3</t>
    </r>
    <r>
      <rPr>
        <sz val="11"/>
        <color rgb="FF000000"/>
        <rFont val="Calibri"/>
      </rPr>
      <t xml:space="preserve">
</t>
    </r>
    <r>
      <rPr>
        <sz val="11"/>
        <color rgb="FF000000"/>
        <rFont val="Calibri"/>
      </rPr>
      <t>SW2(config-if)#ip igmp access-group IGMP_JOIN_FILTER</t>
    </r>
  </si>
  <si>
    <r>
      <rPr>
        <sz val="11"/>
        <color rgb="FF000000"/>
        <rFont val="Calibri"/>
      </rPr>
      <t>Real-time multicast traffic can entail multiple large flows of data. Large unicast flows tend to be fairly isolated (i.e., someone doing a file download here or there), whereas multicast can have broader impact on bandwidth consumption, resulting in extreme network congestion. Hence, it is imperative that there is multicast admission control to restrict which multicast groups hosts are allowed to join via IGMP or MLD.</t>
    </r>
  </si>
  <si>
    <r>
      <rPr>
        <sz val="11"/>
        <color rgb="FF000000"/>
        <rFont val="Calibri"/>
      </rPr>
      <t>Review the configuration of the DR to verify that it is filtering IGMP or MLD Membership Report messages, allowing hosts to join only those groups that have been approved.</t>
    </r>
    <r>
      <rPr>
        <sz val="11"/>
        <color rgb="FF000000"/>
        <rFont val="Calibri"/>
      </rPr>
      <t xml:space="preserve">
</t>
    </r>
    <r>
      <rPr>
        <sz val="11"/>
        <color rgb="FF000000"/>
        <rFont val="Calibri"/>
      </rPr>
      <t>Step 1: Verify that all host-facing layer 3 and VLAN interfaces are configured to filter IGMP Membership Report messages (IGMP joins) as shown in the example below:</t>
    </r>
    <r>
      <rPr>
        <sz val="11"/>
        <color rgb="FF000000"/>
        <rFont val="Calibri"/>
      </rPr>
      <t xml:space="preserve">
</t>
    </r>
    <r>
      <rPr>
        <sz val="11"/>
        <color rgb="FF000000"/>
        <rFont val="Calibri"/>
      </rPr>
      <t>interface Vlan3</t>
    </r>
    <r>
      <rPr>
        <sz val="11"/>
        <color rgb="FF000000"/>
        <rFont val="Calibri"/>
      </rPr>
      <t xml:space="preserve">
</t>
    </r>
    <r>
      <rPr>
        <sz val="11"/>
        <color rgb="FF000000"/>
        <rFont val="Calibri"/>
      </rPr>
      <t xml:space="preserve"> ip address 10.3.3.3 255.255.255.0</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igmp access-group IGMP_JOIN_FILTER</t>
    </r>
    <r>
      <rPr>
        <sz val="11"/>
        <color rgb="FF000000"/>
        <rFont val="Calibri"/>
      </rPr>
      <t xml:space="preserve">
</t>
    </r>
    <r>
      <rPr>
        <sz val="11"/>
        <color rgb="FF000000"/>
        <rFont val="Calibri"/>
      </rPr>
      <t xml:space="preserve"> ip igmp version 3</t>
    </r>
    <r>
      <rPr>
        <sz val="11"/>
        <color rgb="FF000000"/>
        <rFont val="Calibri"/>
      </rPr>
      <t xml:space="preserve">
</t>
    </r>
    <r>
      <rPr>
        <sz val="11"/>
        <color rgb="FF000000"/>
        <rFont val="Calibri"/>
      </rPr>
      <t>Step 2: Verify that the ACL denies unauthorized groups or permits only authorized groups. The example below denies all groups from 239.8.0.0/16 range.</t>
    </r>
    <r>
      <rPr>
        <sz val="11"/>
        <color rgb="FF000000"/>
        <rFont val="Calibri"/>
      </rPr>
      <t xml:space="preserve">
</t>
    </r>
    <r>
      <rPr>
        <sz val="11"/>
        <color rgb="FF000000"/>
        <rFont val="Calibri"/>
      </rPr>
      <t>ip access-list standard IGMP_JOIN_FILTER</t>
    </r>
    <r>
      <rPr>
        <sz val="11"/>
        <color rgb="FF000000"/>
        <rFont val="Calibri"/>
      </rPr>
      <t xml:space="preserve">
</t>
    </r>
    <r>
      <rPr>
        <sz val="11"/>
        <color rgb="FF000000"/>
        <rFont val="Calibri"/>
      </rPr>
      <t xml:space="preserve"> deny 239.8.0.0 0.0.255.255</t>
    </r>
    <r>
      <rPr>
        <sz val="11"/>
        <color rgb="FF000000"/>
        <rFont val="Calibri"/>
      </rPr>
      <t xml:space="preserve">
</t>
    </r>
    <r>
      <rPr>
        <sz val="11"/>
        <color rgb="FF000000"/>
        <rFont val="Calibri"/>
      </rPr>
      <t xml:space="preserve"> permit any</t>
    </r>
    <r>
      <rPr>
        <sz val="11"/>
        <color rgb="FF000000"/>
        <rFont val="Calibri"/>
      </rPr>
      <t xml:space="preserve">
</t>
    </r>
    <r>
      <rPr>
        <sz val="11"/>
        <color rgb="FF000000"/>
        <rFont val="Calibri"/>
      </rPr>
      <t>Note: This requirement is only applicable to Source Specific Multicast (SSM) implementation. This requirement is not applicable to Any Source Multicast (ASM) since the filtering is being performed by the Rendezvous Point switch.</t>
    </r>
    <r>
      <rPr>
        <sz val="11"/>
        <color rgb="FF000000"/>
        <rFont val="Calibri"/>
      </rPr>
      <t xml:space="preserve">
</t>
    </r>
    <r>
      <rPr>
        <sz val="11"/>
        <color rgb="FF000000"/>
        <rFont val="Calibri"/>
      </rPr>
      <t>If the DR is not filtering IGMP or MLD Membership Report messages, this is a finding.</t>
    </r>
  </si>
  <si>
    <t>V-221061</t>
  </si>
  <si>
    <r>
      <rPr>
        <sz val="11"/>
        <rFont val="Calibri"/>
      </rPr>
      <t>The Cisco multicast Designated switch (DR) must be configured to filter the Internet Group Management Protocol (IGMP) and Multicast Listener Discovery (MLD) Report messages to allow hosts to join a multicast group only from sources that have been approved by the organization.</t>
    </r>
  </si>
  <si>
    <r>
      <rPr>
        <sz val="11"/>
        <color rgb="FF000000"/>
        <rFont val="Calibri"/>
      </rPr>
      <t>Configure the DR to filter the IGMP and MLD report messages to allow hosts to join only those multicast groups from sources that have been approved as shown in the example below:</t>
    </r>
    <r>
      <rPr>
        <sz val="11"/>
        <color rgb="FF000000"/>
        <rFont val="Calibri"/>
      </rPr>
      <t xml:space="preserve">
</t>
    </r>
    <r>
      <rPr>
        <sz val="11"/>
        <color rgb="FF000000"/>
        <rFont val="Calibri"/>
      </rPr>
      <t>SW2(config)#ip access-list extended IGMP_JOIN_FILTER</t>
    </r>
    <r>
      <rPr>
        <sz val="11"/>
        <color rgb="FF000000"/>
        <rFont val="Calibri"/>
      </rPr>
      <t xml:space="preserve">
</t>
    </r>
    <r>
      <rPr>
        <sz val="11"/>
        <color rgb="FF000000"/>
        <rFont val="Calibri"/>
      </rPr>
      <t>SW2(config-ext-nacl)#deny ip any 232.8.0.0 0.0.255.255</t>
    </r>
    <r>
      <rPr>
        <sz val="11"/>
        <color rgb="FF000000"/>
        <rFont val="Calibri"/>
      </rPr>
      <t xml:space="preserve">
</t>
    </r>
    <r>
      <rPr>
        <sz val="11"/>
        <color rgb="FF000000"/>
        <rFont val="Calibri"/>
      </rPr>
      <t>SW2(config-ext-nacl)#permit ip x.0.0.0 0.255.255.255 any</t>
    </r>
    <r>
      <rPr>
        <sz val="11"/>
        <color rgb="FF000000"/>
        <rFont val="Calibri"/>
      </rPr>
      <t xml:space="preserve">
</t>
    </r>
    <r>
      <rPr>
        <sz val="11"/>
        <color rgb="FF000000"/>
        <rFont val="Calibri"/>
      </rPr>
      <t>SW2(config-ext-nacl)#deny ip any any</t>
    </r>
    <r>
      <rPr>
        <sz val="11"/>
        <color rgb="FF000000"/>
        <rFont val="Calibri"/>
      </rPr>
      <t xml:space="preserve">
</t>
    </r>
    <r>
      <rPr>
        <sz val="11"/>
        <color rgb="FF000000"/>
        <rFont val="Calibri"/>
      </rPr>
      <t>SW2(config-ext-nacl)#exit</t>
    </r>
    <r>
      <rPr>
        <sz val="11"/>
        <color rgb="FF000000"/>
        <rFont val="Calibri"/>
      </rPr>
      <t xml:space="preserve">
</t>
    </r>
    <r>
      <rPr>
        <sz val="11"/>
        <color rgb="FF000000"/>
        <rFont val="Calibri"/>
      </rPr>
      <t>Step 2: Apply the filter to all host-facing layer 3 and VLAN interfaces.</t>
    </r>
    <r>
      <rPr>
        <sz val="11"/>
        <color rgb="FF000000"/>
        <rFont val="Calibri"/>
      </rPr>
      <t xml:space="preserve">
</t>
    </r>
    <r>
      <rPr>
        <sz val="11"/>
        <color rgb="FF000000"/>
        <rFont val="Calibri"/>
      </rPr>
      <t>SW2(config)#int vlan3</t>
    </r>
    <r>
      <rPr>
        <sz val="11"/>
        <color rgb="FF000000"/>
        <rFont val="Calibri"/>
      </rPr>
      <t xml:space="preserve">
</t>
    </r>
    <r>
      <rPr>
        <sz val="11"/>
        <color rgb="FF000000"/>
        <rFont val="Calibri"/>
      </rPr>
      <t>SW2(config-if)#ip igmp access-group IGMP_JOIN_FILTER</t>
    </r>
  </si>
  <si>
    <r>
      <rPr>
        <sz val="11"/>
        <color rgb="FF000000"/>
        <rFont val="Calibri"/>
      </rPr>
      <t>Review the configuration of the DR to verify that it is filtering IGMP or MLD report messages, allowing hosts to only join multicast groups from sources that have been approved.</t>
    </r>
    <r>
      <rPr>
        <sz val="11"/>
        <color rgb="FF000000"/>
        <rFont val="Calibri"/>
      </rPr>
      <t xml:space="preserve">
</t>
    </r>
    <r>
      <rPr>
        <sz val="11"/>
        <color rgb="FF000000"/>
        <rFont val="Calibri"/>
      </rPr>
      <t>Step 1: Verify that all host-facing layer 3 and VLAN interfaces are configured to filter IGMP Membership Report messages (IGMP joins) as shown in the example below:</t>
    </r>
    <r>
      <rPr>
        <sz val="11"/>
        <color rgb="FF000000"/>
        <rFont val="Calibri"/>
      </rPr>
      <t xml:space="preserve">
</t>
    </r>
    <r>
      <rPr>
        <sz val="11"/>
        <color rgb="FF000000"/>
        <rFont val="Calibri"/>
      </rPr>
      <t>interface Vlan3</t>
    </r>
    <r>
      <rPr>
        <sz val="11"/>
        <color rgb="FF000000"/>
        <rFont val="Calibri"/>
      </rPr>
      <t xml:space="preserve">
</t>
    </r>
    <r>
      <rPr>
        <sz val="11"/>
        <color rgb="FF000000"/>
        <rFont val="Calibri"/>
      </rPr>
      <t xml:space="preserve"> ip address 10.3.3.3 255.255.255.0</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igmp access-group IGMP_JOIN_FILTER</t>
    </r>
    <r>
      <rPr>
        <sz val="11"/>
        <color rgb="FF000000"/>
        <rFont val="Calibri"/>
      </rPr>
      <t xml:space="preserve">
</t>
    </r>
    <r>
      <rPr>
        <sz val="11"/>
        <color rgb="FF000000"/>
        <rFont val="Calibri"/>
      </rPr>
      <t xml:space="preserve"> ip igmp version 3</t>
    </r>
    <r>
      <rPr>
        <sz val="11"/>
        <color rgb="FF000000"/>
        <rFont val="Calibri"/>
      </rPr>
      <t xml:space="preserve">
</t>
    </r>
    <r>
      <rPr>
        <sz val="11"/>
        <color rgb="FF000000"/>
        <rFont val="Calibri"/>
      </rPr>
      <t>Step 2: Verify that the ACL denies unauthorized sources or allows only authorized sources. The example below denies all groups from 232.8.0.0/16 range and permits sources only from the x.0.0.0/8 network.</t>
    </r>
    <r>
      <rPr>
        <sz val="11"/>
        <color rgb="FF000000"/>
        <rFont val="Calibri"/>
      </rPr>
      <t xml:space="preserve">
</t>
    </r>
    <r>
      <rPr>
        <sz val="11"/>
        <color rgb="FF000000"/>
        <rFont val="Calibri"/>
      </rPr>
      <t>ip access-list extended IGMP_JOIN_FILTER</t>
    </r>
    <r>
      <rPr>
        <sz val="11"/>
        <color rgb="FF000000"/>
        <rFont val="Calibri"/>
      </rPr>
      <t xml:space="preserve">
</t>
    </r>
    <r>
      <rPr>
        <sz val="11"/>
        <color rgb="FF000000"/>
        <rFont val="Calibri"/>
      </rPr>
      <t xml:space="preserve"> deny ip any 232.8.0.0 0.0.255.255</t>
    </r>
    <r>
      <rPr>
        <sz val="11"/>
        <color rgb="FF000000"/>
        <rFont val="Calibri"/>
      </rPr>
      <t xml:space="preserve">
</t>
    </r>
    <r>
      <rPr>
        <sz val="11"/>
        <color rgb="FF000000"/>
        <rFont val="Calibri"/>
      </rPr>
      <t xml:space="preserve"> permit ip x.0.0.0 0.255.255.255 any</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Note: This requirement is only applicable to Source Specific Multicast (SSM) implementation.</t>
    </r>
    <r>
      <rPr>
        <sz val="11"/>
        <color rgb="FF000000"/>
        <rFont val="Calibri"/>
      </rPr>
      <t xml:space="preserve">
</t>
    </r>
    <r>
      <rPr>
        <sz val="11"/>
        <color rgb="FF000000"/>
        <rFont val="Calibri"/>
      </rPr>
      <t>If the DR is not filtering IGMP or MLD report messages, this is a finding.</t>
    </r>
  </si>
  <si>
    <t>V-221062</t>
  </si>
  <si>
    <r>
      <rPr>
        <sz val="11"/>
        <rFont val="Calibri"/>
      </rPr>
      <t>The Cisco multicast Designated switch (DR) must be configured to limit the number of mroute states resulting from Internet Group Management Protocol (IGMP) and Multicast Listener Discovery (MLD) Host Membership Reports.</t>
    </r>
  </si>
  <si>
    <r>
      <rPr>
        <sz val="11"/>
        <color rgb="FF000000"/>
        <rFont val="Calibri"/>
      </rPr>
      <t>Configure the DR on a global or interface basis to limit the number of mroute states resulting from IGMP or MLD membership reports.</t>
    </r>
    <r>
      <rPr>
        <sz val="11"/>
        <color rgb="FF000000"/>
        <rFont val="Calibri"/>
      </rPr>
      <t xml:space="preserve">
</t>
    </r>
    <r>
      <rPr>
        <sz val="11"/>
        <color rgb="FF000000"/>
        <rFont val="Calibri"/>
      </rPr>
      <t>SW2(config)#int vlan3</t>
    </r>
    <r>
      <rPr>
        <sz val="11"/>
        <color rgb="FF000000"/>
        <rFont val="Calibri"/>
      </rPr>
      <t xml:space="preserve">
</t>
    </r>
    <r>
      <rPr>
        <sz val="11"/>
        <color rgb="FF000000"/>
        <rFont val="Calibri"/>
      </rPr>
      <t>SW2(config-if)#ip igmp limit 2</t>
    </r>
  </si>
  <si>
    <r>
      <rPr>
        <sz val="11"/>
        <color rgb="FF000000"/>
        <rFont val="Calibri"/>
      </rPr>
      <t>The current multicast paradigm can let any host join any multicast group at any time by sending an IGMP or MLD membership report to the DR. In a Protocol Independent Multicast (PIM) Sparse Mode network, the DR will send a PIM Join message for the group to the RP. Without any form of admission control, this can pose a security risk to the entire multicast domain, specifically the multicast switches along the shared tree from the DR to the RP that must maintain the mroute state information for each group join request. Hence, it is imperative that the DR is configured to limit the number of mroute state information that must be maintained to mitigate the risk of IGMP or MLD flooding.</t>
    </r>
  </si>
  <si>
    <r>
      <rPr>
        <sz val="11"/>
        <color rgb="FF000000"/>
        <rFont val="Calibri"/>
      </rPr>
      <t>Review the DR configuration to verify that it is limiting the number of mroute states via IGMP or MLD.</t>
    </r>
    <r>
      <rPr>
        <sz val="11"/>
        <color rgb="FF000000"/>
        <rFont val="Calibri"/>
      </rPr>
      <t xml:space="preserve">
</t>
    </r>
    <r>
      <rPr>
        <sz val="11"/>
        <color rgb="FF000000"/>
        <rFont val="Calibri"/>
      </rPr>
      <t>Verify IGMP limits have been configured globally or on each host-facing layer 3 and VLAN interface via the ip igmp limit command as shown in the example below:</t>
    </r>
    <r>
      <rPr>
        <sz val="11"/>
        <color rgb="FF000000"/>
        <rFont val="Calibri"/>
      </rPr>
      <t xml:space="preserve">
</t>
    </r>
    <r>
      <rPr>
        <sz val="11"/>
        <color rgb="FF000000"/>
        <rFont val="Calibri"/>
      </rPr>
      <t>interface Vlan3</t>
    </r>
    <r>
      <rPr>
        <sz val="11"/>
        <color rgb="FF000000"/>
        <rFont val="Calibri"/>
      </rPr>
      <t xml:space="preserve">
</t>
    </r>
    <r>
      <rPr>
        <sz val="11"/>
        <color rgb="FF000000"/>
        <rFont val="Calibri"/>
      </rPr>
      <t xml:space="preserve"> ip address 10.3.3.3 255.255.255.0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ip igmp limit nn</t>
    </r>
    <r>
      <rPr>
        <sz val="11"/>
        <color rgb="FF000000"/>
        <rFont val="Calibri"/>
      </rPr>
      <t xml:space="preserve">
</t>
    </r>
    <r>
      <rPr>
        <sz val="11"/>
        <color rgb="FF000000"/>
        <rFont val="Calibri"/>
      </rPr>
      <t>If the DR is not limiting multicast join requests via IGMP or MLD on a global or interfaces basis, this is a finding.</t>
    </r>
  </si>
  <si>
    <t>V-221063</t>
  </si>
  <si>
    <r>
      <rPr>
        <sz val="11"/>
        <rFont val="Calibri"/>
      </rPr>
      <t>The Cisco multicast Designated switch (DR) must be configured to set the shortest-path tree (SPT) threshold to infinity to minimalize source-group (S, G) state within the multicast topology where Any Source Multicast (ASM) is deployed.</t>
    </r>
  </si>
  <si>
    <r>
      <rPr>
        <sz val="11"/>
        <color rgb="FF000000"/>
        <rFont val="Calibri"/>
      </rPr>
      <t>Configure the DR to increase the SPT threshold or set it to infinity to minimalize (S, G) state within the multicast topology where ASM is deployed.</t>
    </r>
    <r>
      <rPr>
        <sz val="11"/>
        <color rgb="FF000000"/>
        <rFont val="Calibri"/>
      </rPr>
      <t xml:space="preserve">
</t>
    </r>
    <r>
      <rPr>
        <sz val="11"/>
        <color rgb="FF000000"/>
        <rFont val="Calibri"/>
      </rPr>
      <t>SW2(config)#ip pim spt-threshold infinity</t>
    </r>
  </si>
  <si>
    <r>
      <rPr>
        <sz val="11"/>
        <color rgb="FF000000"/>
        <rFont val="Calibri"/>
      </rPr>
      <t>ASM can have many sources for the same groups (many-to-many). For many receivers, the path via the RP may not be ideal compared with the shortest path from the source to the receiver. By default, the last-hop switch will initiate a switch from the shared tree to a source-specific SPT to obtain lower latencies. This is accomplished by the last-hop switch sending an (S, G) Protocol Independent Multicast (PIM) Join toward S (the source).</t>
    </r>
    <r>
      <rPr>
        <sz val="11"/>
        <color rgb="FF000000"/>
        <rFont val="Calibri"/>
      </rPr>
      <t xml:space="preserve">
</t>
    </r>
    <r>
      <rPr>
        <sz val="11"/>
        <color rgb="FF000000"/>
        <rFont val="Calibri"/>
      </rPr>
      <t>When the last-hop switch begins to receive traffic for the group from the source via the SPT, it will send a PIM Prune message to the RP for the (S, G). The RP will then send a Prune message toward the source. The SPT switchover becomes a scaling issue for large multicast topologies that have many receivers and many sources for many groups because (S, G) entries require more memory than (*, G). Hence, it is imperative to minimize the amount of (S, G) state to be maintained by increasing the threshold that determines when the SPT switchover occurs.</t>
    </r>
  </si>
  <si>
    <r>
      <rPr>
        <sz val="11"/>
        <color rgb="FF000000"/>
        <rFont val="Calibri"/>
      </rPr>
      <t xml:space="preserve">Review the DR configuration to verify that the SPT switchover threshold is increased (default is "0") or set to infinity (never switch over). </t>
    </r>
    <r>
      <rPr>
        <sz val="11"/>
        <color rgb="FF000000"/>
        <rFont val="Calibri"/>
      </rPr>
      <t xml:space="preserve">
</t>
    </r>
    <r>
      <rPr>
        <sz val="11"/>
        <color rgb="FF000000"/>
        <rFont val="Calibri"/>
      </rPr>
      <t>ip pim rp-address 10.2.2.2</t>
    </r>
    <r>
      <rPr>
        <sz val="11"/>
        <color rgb="FF000000"/>
        <rFont val="Calibri"/>
      </rPr>
      <t xml:space="preserve">
</t>
    </r>
    <r>
      <rPr>
        <sz val="11"/>
        <color rgb="FF000000"/>
        <rFont val="Calibri"/>
      </rPr>
      <t>ip pim spt-threshold infinity</t>
    </r>
    <r>
      <rPr>
        <sz val="11"/>
        <color rgb="FF000000"/>
        <rFont val="Calibri"/>
      </rPr>
      <t xml:space="preserve">
</t>
    </r>
    <r>
      <rPr>
        <sz val="11"/>
        <color rgb="FF000000"/>
        <rFont val="Calibri"/>
      </rPr>
      <t>If the DR is not configured to increase the SPT threshold or set to infinity to minimalize (S, G) state, this is a finding.</t>
    </r>
  </si>
  <si>
    <t>V-221064</t>
  </si>
  <si>
    <r>
      <rPr>
        <sz val="11"/>
        <rFont val="Calibri"/>
      </rPr>
      <t>The Cisco Multicast Source Discovery Protocol (MSDP) switch must be configured to only accept MSDP packets from known MSDP peers.</t>
    </r>
  </si>
  <si>
    <r>
      <rPr>
        <sz val="11"/>
        <color rgb="FF000000"/>
        <rFont val="Calibri"/>
      </rPr>
      <t>Configure the receive path or interface ACLs to only accept MSDP packets from known MSDP peers.</t>
    </r>
    <r>
      <rPr>
        <sz val="11"/>
        <color rgb="FF000000"/>
        <rFont val="Calibri"/>
      </rPr>
      <t xml:space="preserve">
</t>
    </r>
    <r>
      <rPr>
        <sz val="11"/>
        <color rgb="FF000000"/>
        <rFont val="Calibri"/>
      </rPr>
      <t>SW1(config)#ip access-list extended EXTERNAL_ACL_INBOUND</t>
    </r>
    <r>
      <rPr>
        <sz val="11"/>
        <color rgb="FF000000"/>
        <rFont val="Calibri"/>
      </rPr>
      <t xml:space="preserve">
</t>
    </r>
    <r>
      <rPr>
        <sz val="11"/>
        <color rgb="FF000000"/>
        <rFont val="Calibri"/>
      </rPr>
      <t>SW1(config-ext-nacl)#permit tcp any any established</t>
    </r>
    <r>
      <rPr>
        <sz val="11"/>
        <color rgb="FF000000"/>
        <rFont val="Calibri"/>
      </rPr>
      <t xml:space="preserve">
</t>
    </r>
    <r>
      <rPr>
        <sz val="11"/>
        <color rgb="FF000000"/>
        <rFont val="Calibri"/>
      </rPr>
      <t>SW1(config-ext-nacl)#permit tcp host x.1.28.2 host x.1.28.8 eq 639</t>
    </r>
    <r>
      <rPr>
        <sz val="11"/>
        <color rgb="FF000000"/>
        <rFont val="Calibri"/>
      </rPr>
      <t xml:space="preserve">
</t>
    </r>
    <r>
      <rPr>
        <sz val="11"/>
        <color rgb="FF000000"/>
        <rFont val="Calibri"/>
      </rPr>
      <t>SW1(config-ext-nacl)#deny tcp any host x1.28.8 eq 639</t>
    </r>
    <r>
      <rPr>
        <sz val="11"/>
        <color rgb="FF000000"/>
        <rFont val="Calibri"/>
      </rPr>
      <t xml:space="preserve">
</t>
    </r>
    <r>
      <rPr>
        <sz val="11"/>
        <color rgb="FF000000"/>
        <rFont val="Calibri"/>
      </rPr>
      <t>SW1(config-ext-nacl)#permit tcp host x.1.28.2 host x.1.28.8 eq bgp</t>
    </r>
    <r>
      <rPr>
        <sz val="11"/>
        <color rgb="FF000000"/>
        <rFont val="Calibri"/>
      </rPr>
      <t xml:space="preserve">
</t>
    </r>
    <r>
      <rPr>
        <sz val="11"/>
        <color rgb="FF000000"/>
        <rFont val="Calibri"/>
      </rPr>
      <t>SW1(config-ext-nacl)#permit tcp host x.1.28.2 eq bgp host x.1.28.8</t>
    </r>
    <r>
      <rPr>
        <sz val="11"/>
        <color rgb="FF000000"/>
        <rFont val="Calibri"/>
      </rPr>
      <t xml:space="preserve">
</t>
    </r>
    <r>
      <rPr>
        <sz val="11"/>
        <color rgb="FF000000"/>
        <rFont val="Calibri"/>
      </rPr>
      <t>SW1(config-ext-nacl)#permit pim host x.1.28.2 host x.1.28.8</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SW1(config-ext-nacl)#deny ip any any</t>
    </r>
  </si>
  <si>
    <r>
      <rPr>
        <sz val="11"/>
        <color rgb="FF000000"/>
        <rFont val="Calibri"/>
      </rPr>
      <t>MSDP peering with customer network switches presents additional risks to the DISN Core, whether from a rogue or misconfigured MSDP-enabled switch. To guard against an attack from malicious MSDP traffic, the receive path or interface filter for all MSDP-enabled RP switches must be configured to only accept MSDP packets from known MSDP peers.</t>
    </r>
  </si>
  <si>
    <r>
      <rPr>
        <sz val="11"/>
        <color rgb="FF000000"/>
        <rFont val="Calibri"/>
      </rPr>
      <t>Review the switch configuration to determine if there is a receive path or interface filter to only accept MSDP packets from known MSDP peers.</t>
    </r>
    <r>
      <rPr>
        <sz val="11"/>
        <color rgb="FF000000"/>
        <rFont val="Calibri"/>
      </rPr>
      <t xml:space="preserve">
</t>
    </r>
    <r>
      <rPr>
        <sz val="11"/>
        <color rgb="FF000000"/>
        <rFont val="Calibri"/>
      </rPr>
      <t>Step 1: Verify that interfaces used for MSDP peering have an inbound ACL as shown in the example below:</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x.1.28.8 255.255.255.0</t>
    </r>
    <r>
      <rPr>
        <sz val="11"/>
        <color rgb="FF000000"/>
        <rFont val="Calibri"/>
      </rPr>
      <t xml:space="preserve">
</t>
    </r>
    <r>
      <rPr>
        <sz val="11"/>
        <color rgb="FF000000"/>
        <rFont val="Calibri"/>
      </rPr>
      <t xml:space="preserve"> ip access-group EXTERNAL_ACL_INBOUND in</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Step 2: Verify that the ACL restricts MSDP peering to only known sources.</t>
    </r>
    <r>
      <rPr>
        <sz val="11"/>
        <color rgb="FF000000"/>
        <rFont val="Calibri"/>
      </rPr>
      <t xml:space="preserve">
</t>
    </r>
    <r>
      <rPr>
        <sz val="11"/>
        <color rgb="FF000000"/>
        <rFont val="Calibri"/>
      </rPr>
      <t>ip access-list extended EXTERNAL_ACL_INBOUND</t>
    </r>
    <r>
      <rPr>
        <sz val="11"/>
        <color rgb="FF000000"/>
        <rFont val="Calibri"/>
      </rPr>
      <t xml:space="preserve">
</t>
    </r>
    <r>
      <rPr>
        <sz val="11"/>
        <color rgb="FF000000"/>
        <rFont val="Calibri"/>
      </rPr>
      <t xml:space="preserve"> permit tcp any any established</t>
    </r>
    <r>
      <rPr>
        <sz val="11"/>
        <color rgb="FF000000"/>
        <rFont val="Calibri"/>
      </rPr>
      <t xml:space="preserve">
</t>
    </r>
    <r>
      <rPr>
        <sz val="11"/>
        <color rgb="FF000000"/>
        <rFont val="Calibri"/>
      </rPr>
      <t xml:space="preserve"> permit tcp host x.1.28.2 host x.1.28.8 eq 639</t>
    </r>
    <r>
      <rPr>
        <sz val="11"/>
        <color rgb="FF000000"/>
        <rFont val="Calibri"/>
      </rPr>
      <t xml:space="preserve">
</t>
    </r>
    <r>
      <rPr>
        <sz val="11"/>
        <color rgb="FF000000"/>
        <rFont val="Calibri"/>
      </rPr>
      <t xml:space="preserve"> deny tcp any host x.1.28.8 eq 639 log</t>
    </r>
    <r>
      <rPr>
        <sz val="11"/>
        <color rgb="FF000000"/>
        <rFont val="Calibri"/>
      </rPr>
      <t xml:space="preserve">
</t>
    </r>
    <r>
      <rPr>
        <sz val="11"/>
        <color rgb="FF000000"/>
        <rFont val="Calibri"/>
      </rPr>
      <t xml:space="preserve"> permit tcp host x.1.28.2 host 10.1.28.8 eq bgp</t>
    </r>
    <r>
      <rPr>
        <sz val="11"/>
        <color rgb="FF000000"/>
        <rFont val="Calibri"/>
      </rPr>
      <t xml:space="preserve">
</t>
    </r>
    <r>
      <rPr>
        <sz val="11"/>
        <color rgb="FF000000"/>
        <rFont val="Calibri"/>
      </rPr>
      <t xml:space="preserve"> permit tcp host x.1.28.2 eq bgp host x.1.28.8</t>
    </r>
    <r>
      <rPr>
        <sz val="11"/>
        <color rgb="FF000000"/>
        <rFont val="Calibri"/>
      </rPr>
      <t xml:space="preserve">
</t>
    </r>
    <r>
      <rPr>
        <sz val="11"/>
        <color rgb="FF000000"/>
        <rFont val="Calibri"/>
      </rPr>
      <t xml:space="preserve"> permit pim host x.1.28.2 host x.1.28.8</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 any any log</t>
    </r>
    <r>
      <rPr>
        <sz val="11"/>
        <color rgb="FF000000"/>
        <rFont val="Calibri"/>
      </rPr>
      <t xml:space="preserve">
</t>
    </r>
    <r>
      <rPr>
        <sz val="11"/>
        <color rgb="FF000000"/>
        <rFont val="Calibri"/>
      </rPr>
      <t>Note: MSDP connections is via TCP port 639.</t>
    </r>
    <r>
      <rPr>
        <sz val="11"/>
        <color rgb="FF000000"/>
        <rFont val="Calibri"/>
      </rPr>
      <t xml:space="preserve">
</t>
    </r>
    <r>
      <rPr>
        <sz val="11"/>
        <color rgb="FF000000"/>
        <rFont val="Calibri"/>
      </rPr>
      <t>If the switch is not configured to only accept MSDP packets from known MSDP peers, this is a finding.</t>
    </r>
  </si>
  <si>
    <t>V-221065</t>
  </si>
  <si>
    <r>
      <rPr>
        <sz val="11"/>
        <rFont val="Calibri"/>
      </rPr>
      <t>The Cisco Multicast Source Discovery Protocol (MSDP) switch must be configured to authenticate all received MSDP packets.</t>
    </r>
  </si>
  <si>
    <r>
      <rPr>
        <sz val="11"/>
        <color rgb="FF000000"/>
        <rFont val="Calibri"/>
      </rPr>
      <t>Configure the switch to authenticate MSDP messages as shown in the following example:</t>
    </r>
    <r>
      <rPr>
        <sz val="11"/>
        <color rgb="FF000000"/>
        <rFont val="Calibri"/>
      </rPr>
      <t xml:space="preserve">
</t>
    </r>
    <r>
      <rPr>
        <sz val="11"/>
        <color rgb="FF000000"/>
        <rFont val="Calibri"/>
      </rPr>
      <t>SW2(config)#ip msdp password peer x.1.28.8 xxxxxxxxxxxx</t>
    </r>
  </si>
  <si>
    <r>
      <rPr>
        <sz val="11"/>
        <color rgb="FF000000"/>
        <rFont val="Calibri"/>
      </rPr>
      <t>MSDP peering with customer network switches presents additional risks to the core, whether from a rogue or misconfigured MSDP-enabled switch. MSDP password authentication is used to validate each segment sent on the TCP connection between MSDP peers, protecting the MSDP session against the threat of spoofed packets being injected into the TCP connection stream.</t>
    </r>
  </si>
  <si>
    <r>
      <rPr>
        <sz val="11"/>
        <color rgb="FF000000"/>
        <rFont val="Calibri"/>
      </rPr>
      <t>Review the switch configuration to determine if received MSDP packets are authenticated.</t>
    </r>
    <r>
      <rPr>
        <sz val="11"/>
        <color rgb="FF000000"/>
        <rFont val="Calibri"/>
      </rPr>
      <t xml:space="preserve">
</t>
    </r>
    <r>
      <rPr>
        <sz val="11"/>
        <color rgb="FF000000"/>
        <rFont val="Calibri"/>
      </rPr>
      <t>ip msdp peer x.1.28.8 remote-as 8</t>
    </r>
    <r>
      <rPr>
        <sz val="11"/>
        <color rgb="FF000000"/>
        <rFont val="Calibri"/>
      </rPr>
      <t xml:space="preserve">
</t>
    </r>
    <r>
      <rPr>
        <sz val="11"/>
        <color rgb="FF000000"/>
        <rFont val="Calibri"/>
      </rPr>
      <t>ip msdp password peer x.1.28.8 xxxxxxxxxxxx</t>
    </r>
    <r>
      <rPr>
        <sz val="11"/>
        <color rgb="FF000000"/>
        <rFont val="Calibri"/>
      </rPr>
      <t xml:space="preserve">
</t>
    </r>
    <r>
      <rPr>
        <sz val="11"/>
        <color rgb="FF000000"/>
        <rFont val="Calibri"/>
      </rPr>
      <t>If the switch does not require MSDP authentication, this is a finding.</t>
    </r>
  </si>
  <si>
    <t>V-221066</t>
  </si>
  <si>
    <r>
      <rPr>
        <sz val="11"/>
        <rFont val="Calibri"/>
      </rPr>
      <t>The Cisco Multicast Source Discovery Protocol (MSDP) switch must be configured to filter received source-active multicast advertisements for any undesirable multicast groups and sources.</t>
    </r>
  </si>
  <si>
    <r>
      <rPr>
        <sz val="11"/>
        <color rgb="FF000000"/>
        <rFont val="Calibri"/>
      </rPr>
      <t>Configure the MSDP switch to filter received source-active multicast advertisements for any undesirable multicast groups and sources as shown in the example below:</t>
    </r>
    <r>
      <rPr>
        <sz val="11"/>
        <color rgb="FF000000"/>
        <rFont val="Calibri"/>
      </rPr>
      <t xml:space="preserve">
</t>
    </r>
    <r>
      <rPr>
        <sz val="11"/>
        <color rgb="FF000000"/>
        <rFont val="Calibri"/>
      </rPr>
      <t>SW1(config)#ip access-list extended INBOUND_MSDP_SA_FILTER</t>
    </r>
    <r>
      <rPr>
        <sz val="11"/>
        <color rgb="FF000000"/>
        <rFont val="Calibri"/>
      </rPr>
      <t xml:space="preserve">
</t>
    </r>
    <r>
      <rPr>
        <sz val="11"/>
        <color rgb="FF000000"/>
        <rFont val="Calibri"/>
      </rPr>
      <t xml:space="preserve">SW1(config-ext-nacl)#deny ip any host 224.0.1.3 ! Rwhod </t>
    </r>
    <r>
      <rPr>
        <sz val="11"/>
        <color rgb="FF000000"/>
        <rFont val="Calibri"/>
      </rPr>
      <t xml:space="preserve">
</t>
    </r>
    <r>
      <rPr>
        <sz val="11"/>
        <color rgb="FF000000"/>
        <rFont val="Calibri"/>
      </rPr>
      <t>SW1(config-ext-nacl)#deny ip any host 224.0.1.24 ! Microsoft-ds</t>
    </r>
    <r>
      <rPr>
        <sz val="11"/>
        <color rgb="FF000000"/>
        <rFont val="Calibri"/>
      </rPr>
      <t xml:space="preserve">
</t>
    </r>
    <r>
      <rPr>
        <sz val="11"/>
        <color rgb="FF000000"/>
        <rFont val="Calibri"/>
      </rPr>
      <t>SW1(config-ext-nacl)#deny ip any host 224.0.1.22 ! SVRLOC</t>
    </r>
    <r>
      <rPr>
        <sz val="11"/>
        <color rgb="FF000000"/>
        <rFont val="Calibri"/>
      </rPr>
      <t xml:space="preserve">
</t>
    </r>
    <r>
      <rPr>
        <sz val="11"/>
        <color rgb="FF000000"/>
        <rFont val="Calibri"/>
      </rPr>
      <t>SW1(config-ext-nacl)#deny ip any host 224.0.1.2 ! SGI-Dogfight</t>
    </r>
    <r>
      <rPr>
        <sz val="11"/>
        <color rgb="FF000000"/>
        <rFont val="Calibri"/>
      </rPr>
      <t xml:space="preserve">
</t>
    </r>
    <r>
      <rPr>
        <sz val="11"/>
        <color rgb="FF000000"/>
        <rFont val="Calibri"/>
      </rPr>
      <t>SW1(config-ext-nacl)#deny ip any host 224.0.1.35 ! SVRLOC-DA</t>
    </r>
    <r>
      <rPr>
        <sz val="11"/>
        <color rgb="FF000000"/>
        <rFont val="Calibri"/>
      </rPr>
      <t xml:space="preserve">
</t>
    </r>
    <r>
      <rPr>
        <sz val="11"/>
        <color rgb="FF000000"/>
        <rFont val="Calibri"/>
      </rPr>
      <t>SW1(config-ext-nacl)#deny ip any host 224.0.1.60 ! hp-device-disc</t>
    </r>
    <r>
      <rPr>
        <sz val="11"/>
        <color rgb="FF000000"/>
        <rFont val="Calibri"/>
      </rPr>
      <t xml:space="preserve">
</t>
    </r>
    <r>
      <rPr>
        <sz val="11"/>
        <color rgb="FF000000"/>
        <rFont val="Calibri"/>
      </rPr>
      <t>SW1(config-ext-nacl)#deny ip any host 224.0.1.39 ! Auto-RP</t>
    </r>
    <r>
      <rPr>
        <sz val="11"/>
        <color rgb="FF000000"/>
        <rFont val="Calibri"/>
      </rPr>
      <t xml:space="preserve">
</t>
    </r>
    <r>
      <rPr>
        <sz val="11"/>
        <color rgb="FF000000"/>
        <rFont val="Calibri"/>
      </rPr>
      <t>SW1(config-ext-nacl)#deny ip any host 224.0.1.40 ! Auto-RP</t>
    </r>
    <r>
      <rPr>
        <sz val="11"/>
        <color rgb="FF000000"/>
        <rFont val="Calibri"/>
      </rPr>
      <t xml:space="preserve">
</t>
    </r>
    <r>
      <rPr>
        <sz val="11"/>
        <color rgb="FF000000"/>
        <rFont val="Calibri"/>
      </rPr>
      <t>SW1(config-ext-nacl)#deny ip any 232.0.0.0 0.255.255.255 ! SSM range</t>
    </r>
    <r>
      <rPr>
        <sz val="11"/>
        <color rgb="FF000000"/>
        <rFont val="Calibri"/>
      </rPr>
      <t xml:space="preserve">
</t>
    </r>
    <r>
      <rPr>
        <sz val="11"/>
        <color rgb="FF000000"/>
        <rFont val="Calibri"/>
      </rPr>
      <t>SW1(config-ext-nacl)#deny ip any 239.0.0.0 0.255.255.255 ! Admin scoped range</t>
    </r>
    <r>
      <rPr>
        <sz val="11"/>
        <color rgb="FF000000"/>
        <rFont val="Calibri"/>
      </rPr>
      <t xml:space="preserve">
</t>
    </r>
    <r>
      <rPr>
        <sz val="11"/>
        <color rgb="FF000000"/>
        <rFont val="Calibri"/>
      </rPr>
      <t>SW1(config-ext-nacl)#deny ip 10.0.0.0 0.255.255.255 any ! RFC 1918 address range</t>
    </r>
    <r>
      <rPr>
        <sz val="11"/>
        <color rgb="FF000000"/>
        <rFont val="Calibri"/>
      </rPr>
      <t xml:space="preserve">
</t>
    </r>
    <r>
      <rPr>
        <sz val="11"/>
        <color rgb="FF000000"/>
        <rFont val="Calibri"/>
      </rPr>
      <t>SW1(config-ext-nacl)#deny ip 127.0.0.0 0.255.255.255 any ! RFC 1918 address range</t>
    </r>
    <r>
      <rPr>
        <sz val="11"/>
        <color rgb="FF000000"/>
        <rFont val="Calibri"/>
      </rPr>
      <t xml:space="preserve">
</t>
    </r>
    <r>
      <rPr>
        <sz val="11"/>
        <color rgb="FF000000"/>
        <rFont val="Calibri"/>
      </rPr>
      <t>SW1(config-ext-nacl)#deny ip 172.16.0.0 0.15.255.255 any ! RFC 1918 address range</t>
    </r>
    <r>
      <rPr>
        <sz val="11"/>
        <color rgb="FF000000"/>
        <rFont val="Calibri"/>
      </rPr>
      <t xml:space="preserve">
</t>
    </r>
    <r>
      <rPr>
        <sz val="11"/>
        <color rgb="FF000000"/>
        <rFont val="Calibri"/>
      </rPr>
      <t>SW1(config-ext-nacl)#deny ip 192.168.0.0 0.0.255.255 any ! RFC 1918 address range</t>
    </r>
    <r>
      <rPr>
        <sz val="11"/>
        <color rgb="FF000000"/>
        <rFont val="Calibri"/>
      </rPr>
      <t xml:space="preserve">
</t>
    </r>
    <r>
      <rPr>
        <sz val="11"/>
        <color rgb="FF000000"/>
        <rFont val="Calibri"/>
      </rPr>
      <t>SW1(config-ext-nacl)#permit ip any any</t>
    </r>
    <r>
      <rPr>
        <sz val="11"/>
        <color rgb="FF000000"/>
        <rFont val="Calibri"/>
      </rPr>
      <t xml:space="preserve">
</t>
    </r>
    <r>
      <rPr>
        <sz val="11"/>
        <color rgb="FF000000"/>
        <rFont val="Calibri"/>
      </rPr>
      <t>SW1(config-ext-nacl)#exit</t>
    </r>
    <r>
      <rPr>
        <sz val="11"/>
        <color rgb="FF000000"/>
        <rFont val="Calibri"/>
      </rPr>
      <t xml:space="preserve">
</t>
    </r>
    <r>
      <rPr>
        <sz val="11"/>
        <color rgb="FF000000"/>
        <rFont val="Calibri"/>
      </rPr>
      <t>SW1(config)#ip msdp sa-filter in x.1.28.2 list INBOUND_MSDP_SA_FILTER</t>
    </r>
  </si>
  <si>
    <r>
      <rPr>
        <sz val="11"/>
        <color rgb="FF000000"/>
        <rFont val="Calibri"/>
      </rPr>
      <t>The interoperability of BGP extensions for interdomain multicast routing and MSDP enables seamless connectivity of multicast domains between autonomous systems. MP-BGP advertises the unicast prefixes of the multicast sources used by Protocol Independent Multicast (PIM) switches to perform RPF checks and build multicast distribution trees. MSDP is a mechanism used to connect multiple PIM sparse-mode domains, allowing RPs from different domains to share information about active sources. When RPs in peering multicast domains hear about active sources, they can pass on that information to their local receivers, thereby allowing multicast data to be forwarded between the domains. Configuring an import policy to block multicast advertisements for reserved, Martian, single-source multicast, and any other undesirable multicast groups, as well as any source-group (S, G) states with Bogon source addresses, would assist in avoiding unwanted multicast traffic from traversing the core.</t>
    </r>
  </si>
  <si>
    <r>
      <rPr>
        <sz val="11"/>
        <color rgb="FF000000"/>
        <rFont val="Calibri"/>
      </rPr>
      <t xml:space="preserve">Review the switch configuration to determine if there is import policy to block source-active multicast advertisements for any undesirable multicast groups, as well as any (S, G) states with undesirable source addresses. </t>
    </r>
    <r>
      <rPr>
        <sz val="11"/>
        <color rgb="FF000000"/>
        <rFont val="Calibri"/>
      </rPr>
      <t xml:space="preserve">
</t>
    </r>
    <r>
      <rPr>
        <sz val="11"/>
        <color rgb="FF000000"/>
        <rFont val="Calibri"/>
      </rPr>
      <t>Step 1: Verify that an inbound source-active filter is bound to each MSDP peer.</t>
    </r>
    <r>
      <rPr>
        <sz val="11"/>
        <color rgb="FF000000"/>
        <rFont val="Calibri"/>
      </rPr>
      <t xml:space="preserve">
</t>
    </r>
    <r>
      <rPr>
        <sz val="11"/>
        <color rgb="FF000000"/>
        <rFont val="Calibri"/>
      </rPr>
      <t>ip msdp peer x.1.28.2 remote-as 2</t>
    </r>
    <r>
      <rPr>
        <sz val="11"/>
        <color rgb="FF000000"/>
        <rFont val="Calibri"/>
      </rPr>
      <t xml:space="preserve">
</t>
    </r>
    <r>
      <rPr>
        <sz val="11"/>
        <color rgb="FF000000"/>
        <rFont val="Calibri"/>
      </rPr>
      <t>ip msdp sa-filter in x.1.28.2 list INBOUND_MSDP_SA_FILTER</t>
    </r>
    <r>
      <rPr>
        <sz val="11"/>
        <color rgb="FF000000"/>
        <rFont val="Calibri"/>
      </rPr>
      <t xml:space="preserve">
</t>
    </r>
    <r>
      <rPr>
        <sz val="11"/>
        <color rgb="FF000000"/>
        <rFont val="Calibri"/>
      </rPr>
      <t>Step 2: Review the access lists referenced by the source-active filter to verify that undesirable multicast groups, auto-RP, single source multicast (SSM) groups, and advertisements from undesirable sources are blocked.</t>
    </r>
    <r>
      <rPr>
        <sz val="11"/>
        <color rgb="FF000000"/>
        <rFont val="Calibri"/>
      </rPr>
      <t xml:space="preserve">
</t>
    </r>
    <r>
      <rPr>
        <sz val="11"/>
        <color rgb="FF000000"/>
        <rFont val="Calibri"/>
      </rPr>
      <t>ip access-list extended INBOUND_MSDP_SA_FILTER</t>
    </r>
    <r>
      <rPr>
        <sz val="11"/>
        <color rgb="FF000000"/>
        <rFont val="Calibri"/>
      </rPr>
      <t xml:space="preserve">
</t>
    </r>
    <r>
      <rPr>
        <sz val="11"/>
        <color rgb="FF000000"/>
        <rFont val="Calibri"/>
      </rPr>
      <t xml:space="preserve"> deny ip any host 224.0.1.3</t>
    </r>
    <r>
      <rPr>
        <sz val="11"/>
        <color rgb="FF000000"/>
        <rFont val="Calibri"/>
      </rPr>
      <t xml:space="preserve">
</t>
    </r>
    <r>
      <rPr>
        <sz val="11"/>
        <color rgb="FF000000"/>
        <rFont val="Calibri"/>
      </rPr>
      <t xml:space="preserve"> deny ip any host 224.0.1.24</t>
    </r>
    <r>
      <rPr>
        <sz val="11"/>
        <color rgb="FF000000"/>
        <rFont val="Calibri"/>
      </rPr>
      <t xml:space="preserve">
</t>
    </r>
    <r>
      <rPr>
        <sz val="11"/>
        <color rgb="FF000000"/>
        <rFont val="Calibri"/>
      </rPr>
      <t xml:space="preserve"> deny ip any host 224.0.1.22</t>
    </r>
    <r>
      <rPr>
        <sz val="11"/>
        <color rgb="FF000000"/>
        <rFont val="Calibri"/>
      </rPr>
      <t xml:space="preserve">
</t>
    </r>
    <r>
      <rPr>
        <sz val="11"/>
        <color rgb="FF000000"/>
        <rFont val="Calibri"/>
      </rPr>
      <t xml:space="preserve"> deny ip any host 224.0.1.2</t>
    </r>
    <r>
      <rPr>
        <sz val="11"/>
        <color rgb="FF000000"/>
        <rFont val="Calibri"/>
      </rPr>
      <t xml:space="preserve">
</t>
    </r>
    <r>
      <rPr>
        <sz val="11"/>
        <color rgb="FF000000"/>
        <rFont val="Calibri"/>
      </rPr>
      <t xml:space="preserve"> deny ip any host 224.0.1.35</t>
    </r>
    <r>
      <rPr>
        <sz val="11"/>
        <color rgb="FF000000"/>
        <rFont val="Calibri"/>
      </rPr>
      <t xml:space="preserve">
</t>
    </r>
    <r>
      <rPr>
        <sz val="11"/>
        <color rgb="FF000000"/>
        <rFont val="Calibri"/>
      </rPr>
      <t xml:space="preserve"> deny ip any host 224.0.1.60</t>
    </r>
    <r>
      <rPr>
        <sz val="11"/>
        <color rgb="FF000000"/>
        <rFont val="Calibri"/>
      </rPr>
      <t xml:space="preserve">
</t>
    </r>
    <r>
      <rPr>
        <sz val="11"/>
        <color rgb="FF000000"/>
        <rFont val="Calibri"/>
      </rPr>
      <t xml:space="preserve"> deny ip any host 224.0.1.39</t>
    </r>
    <r>
      <rPr>
        <sz val="11"/>
        <color rgb="FF000000"/>
        <rFont val="Calibri"/>
      </rPr>
      <t xml:space="preserve">
</t>
    </r>
    <r>
      <rPr>
        <sz val="11"/>
        <color rgb="FF000000"/>
        <rFont val="Calibri"/>
      </rPr>
      <t xml:space="preserve"> deny ip any host 224.0.1.40</t>
    </r>
    <r>
      <rPr>
        <sz val="11"/>
        <color rgb="FF000000"/>
        <rFont val="Calibri"/>
      </rPr>
      <t xml:space="preserve">
</t>
    </r>
    <r>
      <rPr>
        <sz val="11"/>
        <color rgb="FF000000"/>
        <rFont val="Calibri"/>
      </rPr>
      <t xml:space="preserve"> deny ip any 232.0.0.0 0.255.255.255</t>
    </r>
    <r>
      <rPr>
        <sz val="11"/>
        <color rgb="FF000000"/>
        <rFont val="Calibri"/>
      </rPr>
      <t xml:space="preserve">
</t>
    </r>
    <r>
      <rPr>
        <sz val="11"/>
        <color rgb="FF000000"/>
        <rFont val="Calibri"/>
      </rPr>
      <t xml:space="preserve"> deny ip any 239.0.0.0 0.255.255.255</t>
    </r>
    <r>
      <rPr>
        <sz val="11"/>
        <color rgb="FF000000"/>
        <rFont val="Calibri"/>
      </rPr>
      <t xml:space="preserve">
</t>
    </r>
    <r>
      <rPr>
        <sz val="11"/>
        <color rgb="FF000000"/>
        <rFont val="Calibri"/>
      </rPr>
      <t xml:space="preserve"> deny ip 10.0.0.0 0.255.255.255 any</t>
    </r>
    <r>
      <rPr>
        <sz val="11"/>
        <color rgb="FF000000"/>
        <rFont val="Calibri"/>
      </rPr>
      <t xml:space="preserve">
</t>
    </r>
    <r>
      <rPr>
        <sz val="11"/>
        <color rgb="FF000000"/>
        <rFont val="Calibri"/>
      </rPr>
      <t xml:space="preserve"> deny ip 127.0.0.0 0.255.255.255 any</t>
    </r>
    <r>
      <rPr>
        <sz val="11"/>
        <color rgb="FF000000"/>
        <rFont val="Calibri"/>
      </rPr>
      <t xml:space="preserve">
</t>
    </r>
    <r>
      <rPr>
        <sz val="11"/>
        <color rgb="FF000000"/>
        <rFont val="Calibri"/>
      </rPr>
      <t xml:space="preserve"> deny ip 172.16.0.0 0.15.255.255 any</t>
    </r>
    <r>
      <rPr>
        <sz val="11"/>
        <color rgb="FF000000"/>
        <rFont val="Calibri"/>
      </rPr>
      <t xml:space="preserve">
</t>
    </r>
    <r>
      <rPr>
        <sz val="11"/>
        <color rgb="FF000000"/>
        <rFont val="Calibri"/>
      </rPr>
      <t xml:space="preserve"> deny ip 192.168.0.0 0.0.255.255 any</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If the switch is not configured with an import policy to filter undesirable SA multicast advertisements, this is a finding.</t>
    </r>
  </si>
  <si>
    <t>V-221067</t>
  </si>
  <si>
    <r>
      <rPr>
        <sz val="11"/>
        <rFont val="Calibri"/>
      </rPr>
      <t>The Cisco Multicast Source Discovery Protocol (MSDP) switch must be configured to filter source-active multicast advertisements to external MSDP peers to avoid global visibility of local-only multicast sources and groups.</t>
    </r>
  </si>
  <si>
    <r>
      <rPr>
        <sz val="11"/>
        <color rgb="FF000000"/>
        <rFont val="Calibri"/>
      </rPr>
      <t>Configure the switch with an export policy avoid global visibility of local multicast (S, G) states. The example below will prevent exporting multicast active sources belonging to the private network.</t>
    </r>
    <r>
      <rPr>
        <sz val="11"/>
        <color rgb="FF000000"/>
        <rFont val="Calibri"/>
      </rPr>
      <t xml:space="preserve">
</t>
    </r>
    <r>
      <rPr>
        <sz val="11"/>
        <color rgb="FF000000"/>
        <rFont val="Calibri"/>
      </rPr>
      <t>SW1(config)#ip access-list extended OUTBOUND_MSDP_SA_FILTER</t>
    </r>
    <r>
      <rPr>
        <sz val="11"/>
        <color rgb="FF000000"/>
        <rFont val="Calibri"/>
      </rPr>
      <t xml:space="preserve">
</t>
    </r>
    <r>
      <rPr>
        <sz val="11"/>
        <color rgb="FF000000"/>
        <rFont val="Calibri"/>
      </rPr>
      <t>SW1(config-ext-nacl)#deny ip 10.0.0.0 0.255.255.255 any</t>
    </r>
    <r>
      <rPr>
        <sz val="11"/>
        <color rgb="FF000000"/>
        <rFont val="Calibri"/>
      </rPr>
      <t xml:space="preserve">
</t>
    </r>
    <r>
      <rPr>
        <sz val="11"/>
        <color rgb="FF000000"/>
        <rFont val="Calibri"/>
      </rPr>
      <t>SW1(config-ext-nacl)#permit ip any any</t>
    </r>
    <r>
      <rPr>
        <sz val="11"/>
        <color rgb="FF000000"/>
        <rFont val="Calibri"/>
      </rPr>
      <t xml:space="preserve">
</t>
    </r>
    <r>
      <rPr>
        <sz val="11"/>
        <color rgb="FF000000"/>
        <rFont val="Calibri"/>
      </rPr>
      <t>SW1(config-ext-nacl)#exit</t>
    </r>
    <r>
      <rPr>
        <sz val="11"/>
        <color rgb="FF000000"/>
        <rFont val="Calibri"/>
      </rPr>
      <t xml:space="preserve">
</t>
    </r>
    <r>
      <rPr>
        <sz val="11"/>
        <color rgb="FF000000"/>
        <rFont val="Calibri"/>
      </rPr>
      <t>SW1(config)#ip msdp sa-filter in x.1.28.2 list OUTBOUND_MSDP_SA_FILTER</t>
    </r>
  </si>
  <si>
    <r>
      <rPr>
        <sz val="11"/>
        <color rgb="FF000000"/>
        <rFont val="Calibri"/>
      </rPr>
      <t>To avoid global visibility of local information, there are a number of source-group (S, G) states in a PIM-SM domain that must not be leaked to another domain, such as multicast sources with private address, administratively scoped multicast addresses, and the auto-RP groups (224.0.1.39 and 224.0.1.40).</t>
    </r>
    <r>
      <rPr>
        <sz val="11"/>
        <color rgb="FF000000"/>
        <rFont val="Calibri"/>
      </rPr>
      <t xml:space="preserve">
</t>
    </r>
    <r>
      <rPr>
        <sz val="11"/>
        <color rgb="FF000000"/>
        <rFont val="Calibri"/>
      </rPr>
      <t>Allowing a multicast distribution tree, local to the core, to extend beyond its boundary could enable local multicast traffic to leak into other autonomous systems and customer networks.</t>
    </r>
  </si>
  <si>
    <r>
      <rPr>
        <sz val="11"/>
        <color rgb="FF000000"/>
        <rFont val="Calibri"/>
      </rPr>
      <t>Review the switch configuration to determine if there is export policy to block local source-active multicast advertisements.</t>
    </r>
    <r>
      <rPr>
        <sz val="11"/>
        <color rgb="FF000000"/>
        <rFont val="Calibri"/>
      </rPr>
      <t xml:space="preserve">
</t>
    </r>
    <r>
      <rPr>
        <sz val="11"/>
        <color rgb="FF000000"/>
        <rFont val="Calibri"/>
      </rPr>
      <t>Step 1: Verify that an outbound source-active filter is bound to each MSDP peer as shown in the example below:</t>
    </r>
    <r>
      <rPr>
        <sz val="11"/>
        <color rgb="FF000000"/>
        <rFont val="Calibri"/>
      </rPr>
      <t xml:space="preserve">
</t>
    </r>
    <r>
      <rPr>
        <sz val="11"/>
        <color rgb="FF000000"/>
        <rFont val="Calibri"/>
      </rPr>
      <t>ip msdp peer 10.1.28.8 remote-as 8</t>
    </r>
    <r>
      <rPr>
        <sz val="11"/>
        <color rgb="FF000000"/>
        <rFont val="Calibri"/>
      </rPr>
      <t xml:space="preserve">
</t>
    </r>
    <r>
      <rPr>
        <sz val="11"/>
        <color rgb="FF000000"/>
        <rFont val="Calibri"/>
      </rPr>
      <t>ip msdp sa-filter out 10.1.28.8 list OUTBOUND_MSDP_SA_FILTER</t>
    </r>
    <r>
      <rPr>
        <sz val="11"/>
        <color rgb="FF000000"/>
        <rFont val="Calibri"/>
      </rPr>
      <t xml:space="preserve">
</t>
    </r>
    <r>
      <rPr>
        <sz val="11"/>
        <color rgb="FF000000"/>
        <rFont val="Calibri"/>
      </rPr>
      <t>Step 2: Review the access lists referenced by the source-active filters and verify that MSDP source-active messages being sent to MSDP peers do not leak advertisements that are local.</t>
    </r>
    <r>
      <rPr>
        <sz val="11"/>
        <color rgb="FF000000"/>
        <rFont val="Calibri"/>
      </rPr>
      <t xml:space="preserve">
</t>
    </r>
    <r>
      <rPr>
        <sz val="11"/>
        <color rgb="FF000000"/>
        <rFont val="Calibri"/>
      </rPr>
      <t>ip access-list extended OUTBOUND_MSDP_SA_FILTER</t>
    </r>
    <r>
      <rPr>
        <sz val="11"/>
        <color rgb="FF000000"/>
        <rFont val="Calibri"/>
      </rPr>
      <t xml:space="preserve">
</t>
    </r>
    <r>
      <rPr>
        <sz val="11"/>
        <color rgb="FF000000"/>
        <rFont val="Calibri"/>
      </rPr>
      <t xml:space="preserve"> deny ip 10.0.0.0 0.255.255.255 any</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If the switch is not configured with an export policy to filter local source-active multicast advertisements, this is a finding.</t>
    </r>
  </si>
  <si>
    <t>V-221068</t>
  </si>
  <si>
    <r>
      <rPr>
        <sz val="11"/>
        <rFont val="Calibri"/>
      </rPr>
      <t>The Cisco Multicast Source Discovery Protocol (MSDP) switch must be configured to limit the amount of source-active messages it accepts on a per-peer basis.</t>
    </r>
  </si>
  <si>
    <r>
      <rPr>
        <sz val="11"/>
        <color rgb="FF000000"/>
        <rFont val="Calibri"/>
      </rPr>
      <t>Configure the switch to limit the amount of source-active messages it accepts from each peer.</t>
    </r>
    <r>
      <rPr>
        <sz val="11"/>
        <color rgb="FF000000"/>
        <rFont val="Calibri"/>
      </rPr>
      <t xml:space="preserve">
</t>
    </r>
    <r>
      <rPr>
        <sz val="11"/>
        <color rgb="FF000000"/>
        <rFont val="Calibri"/>
      </rPr>
      <t>SW1(config)#ip msdp sa-limit x.1.28.2 nnn</t>
    </r>
  </si>
  <si>
    <r>
      <rPr>
        <sz val="11"/>
        <color rgb="FF000000"/>
        <rFont val="Calibri"/>
      </rPr>
      <t>To reduce any risk of a denial-of-service (DoS) attack from a rogue or misconfigured MSDP switch, the switch must be configured to limit the number of source-active messages it accepts from each peer.</t>
    </r>
  </si>
  <si>
    <r>
      <rPr>
        <sz val="11"/>
        <color rgb="FF000000"/>
        <rFont val="Calibri"/>
      </rPr>
      <t>Review the switch configuration to determine if it is configured to limit the amount of source-active messages it accepts on a per-peer basis.</t>
    </r>
    <r>
      <rPr>
        <sz val="11"/>
        <color rgb="FF000000"/>
        <rFont val="Calibri"/>
      </rPr>
      <t xml:space="preserve">
</t>
    </r>
    <r>
      <rPr>
        <sz val="11"/>
        <color rgb="FF000000"/>
        <rFont val="Calibri"/>
      </rPr>
      <t>ip msdp peer x.1.28.2 remote-as nn</t>
    </r>
    <r>
      <rPr>
        <sz val="11"/>
        <color rgb="FF000000"/>
        <rFont val="Calibri"/>
      </rPr>
      <t xml:space="preserve">
</t>
    </r>
    <r>
      <rPr>
        <sz val="11"/>
        <color rgb="FF000000"/>
        <rFont val="Calibri"/>
      </rPr>
      <t>ip msdp sa-filter in 10.1.28.2 list MSDP_SA_FILTER</t>
    </r>
    <r>
      <rPr>
        <sz val="11"/>
        <color rgb="FF000000"/>
        <rFont val="Calibri"/>
      </rPr>
      <t xml:space="preserve">
</t>
    </r>
    <r>
      <rPr>
        <sz val="11"/>
        <color rgb="FF000000"/>
        <rFont val="Calibri"/>
      </rPr>
      <t>ip msdp sa-limit X.1.28.2 nnn</t>
    </r>
    <r>
      <rPr>
        <sz val="11"/>
        <color rgb="FF000000"/>
        <rFont val="Calibri"/>
      </rPr>
      <t xml:space="preserve">
</t>
    </r>
    <r>
      <rPr>
        <sz val="11"/>
        <color rgb="FF000000"/>
        <rFont val="Calibri"/>
      </rPr>
      <t>If the switch is not configured to limit the source-active messages it accepts, this is a finding.</t>
    </r>
  </si>
  <si>
    <t>V-221069</t>
  </si>
  <si>
    <r>
      <rPr>
        <sz val="11"/>
        <rFont val="Calibri"/>
      </rPr>
      <t>The Cisco Multicast Source Discovery Protocol (MSDP) switch must be configured to use a loopback address as the source address when originating MSDP traffic.</t>
    </r>
  </si>
  <si>
    <r>
      <rPr>
        <sz val="11"/>
        <color rgb="FF000000"/>
        <rFont val="Calibri"/>
      </rPr>
      <t>Configure the switch to use its loopback address is used as the source address when sending MSDP packets.</t>
    </r>
    <r>
      <rPr>
        <sz val="11"/>
        <color rgb="FF000000"/>
        <rFont val="Calibri"/>
      </rPr>
      <t xml:space="preserve">
</t>
    </r>
    <r>
      <rPr>
        <sz val="11"/>
        <color rgb="FF000000"/>
        <rFont val="Calibri"/>
      </rPr>
      <t>SW2(config)#ip msdp peer x.44.2.34 connect-source lo12 remote-as nn</t>
    </r>
  </si>
  <si>
    <r>
      <rPr>
        <sz val="11"/>
        <color rgb="FF000000"/>
        <rFont val="Calibri"/>
      </rPr>
      <t>Using a loopback address as the source address offers a multitude of uses for security, access, management, and scalability of MSDP switches. It is easier to construct appropriate ingress filters for switch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switch’s loopback address instead of the numerous physical interface addresses.</t>
    </r>
  </si>
  <si>
    <r>
      <rPr>
        <sz val="11"/>
        <color rgb="FF000000"/>
        <rFont val="Calibri"/>
      </rPr>
      <t>Step 1: Review the switch configuration to verify that a loopback address has been configured.</t>
    </r>
    <r>
      <rPr>
        <sz val="11"/>
        <color rgb="FF000000"/>
        <rFont val="Calibri"/>
      </rPr>
      <t xml:space="preserve">
</t>
    </r>
    <r>
      <rPr>
        <sz val="11"/>
        <color rgb="FF000000"/>
        <rFont val="Calibri"/>
      </rPr>
      <t>interface Loopback12</t>
    </r>
    <r>
      <rPr>
        <sz val="11"/>
        <color rgb="FF000000"/>
        <rFont val="Calibri"/>
      </rPr>
      <t xml:space="preserve">
</t>
    </r>
    <r>
      <rPr>
        <sz val="11"/>
        <color rgb="FF000000"/>
        <rFont val="Calibri"/>
      </rPr>
      <t xml:space="preserve"> ip address x.12.2.2 255.255.255.255</t>
    </r>
    <r>
      <rPr>
        <sz val="11"/>
        <color rgb="FF000000"/>
        <rFont val="Calibri"/>
      </rPr>
      <t xml:space="preserve">
</t>
    </r>
    <r>
      <rPr>
        <sz val="11"/>
        <color rgb="FF000000"/>
        <rFont val="Calibri"/>
      </rPr>
      <t>Step 2: Verify that the loopback interface is used as the source address for all MSDP packets generated by the switch.</t>
    </r>
    <r>
      <rPr>
        <sz val="11"/>
        <color rgb="FF000000"/>
        <rFont val="Calibri"/>
      </rPr>
      <t xml:space="preserve">
</t>
    </r>
    <r>
      <rPr>
        <sz val="11"/>
        <color rgb="FF000000"/>
        <rFont val="Calibri"/>
      </rPr>
      <t>ip msdp peer x.44.2.34 connect-source Loopback12 remote-as nn</t>
    </r>
    <r>
      <rPr>
        <sz val="11"/>
        <color rgb="FF000000"/>
        <rFont val="Calibri"/>
      </rPr>
      <t xml:space="preserve">
</t>
    </r>
    <r>
      <rPr>
        <sz val="11"/>
        <color rgb="FF000000"/>
        <rFont val="Calibri"/>
      </rPr>
      <t>If the switch does not use its loopback address as the source address when originating MSDP traffic, this is a finding.</t>
    </r>
  </si>
  <si>
    <t>V-237750</t>
  </si>
  <si>
    <r>
      <rPr>
        <sz val="11"/>
        <rFont val="Calibri"/>
      </rPr>
      <t>The Cisco switch must be configured to have Cisco Express Forwarding enabled.</t>
    </r>
  </si>
  <si>
    <r>
      <rPr>
        <sz val="11"/>
        <color rgb="FF000000"/>
        <rFont val="Calibri"/>
      </rPr>
      <t>Enable CEF</t>
    </r>
    <r>
      <rPr>
        <sz val="11"/>
        <color rgb="FF000000"/>
        <rFont val="Calibri"/>
      </rPr>
      <t xml:space="preserve">
</t>
    </r>
    <r>
      <rPr>
        <sz val="11"/>
        <color rgb="FF000000"/>
        <rFont val="Calibri"/>
      </rPr>
      <t xml:space="preserve">IPv4 Example: ip cef </t>
    </r>
    <r>
      <rPr>
        <sz val="11"/>
        <color rgb="FF000000"/>
        <rFont val="Calibri"/>
      </rPr>
      <t xml:space="preserve">
</t>
    </r>
    <r>
      <rPr>
        <sz val="11"/>
        <color rgb="FF000000"/>
        <rFont val="Calibri"/>
      </rPr>
      <t>IPv6 Example: ipv6 cef</t>
    </r>
  </si>
  <si>
    <r>
      <rPr>
        <sz val="11"/>
        <color rgb="FF000000"/>
        <rFont val="Calibri"/>
      </rPr>
      <t>The Cisco Express Forwarding (CEF) switching mode replaces the traditional Cisco routing cache with a data structure that mirrors the entire system routing table. Because there is no need to build cache entries when traffic starts arriving for new destinations, CEF behaves more predictably when presented with large volumes of traffic addressed to many destinations such as a SYN flood attacks that. Because many SYN flood attacks use randomized source addresses to which the hosts under attack will reply to, there can be a substantial amount of traffic for a large number of destinations that the switch will have to handle. Consequently, switches configured for CEF will perform better under SYN floods directed at hosts inside the network than switches using the traditional cache.</t>
    </r>
  </si>
  <si>
    <r>
      <rPr>
        <sz val="11"/>
        <color rgb="FF000000"/>
        <rFont val="Calibri"/>
      </rPr>
      <t>Review the switch to verify that CEF is enabled.</t>
    </r>
    <r>
      <rPr>
        <sz val="11"/>
        <color rgb="FF000000"/>
        <rFont val="Calibri"/>
      </rPr>
      <t xml:space="preserve">
</t>
    </r>
    <r>
      <rPr>
        <sz val="11"/>
        <color rgb="FF000000"/>
        <rFont val="Calibri"/>
      </rPr>
      <t xml:space="preserve">IPv4 Example: ip cef </t>
    </r>
    <r>
      <rPr>
        <sz val="11"/>
        <color rgb="FF000000"/>
        <rFont val="Calibri"/>
      </rPr>
      <t xml:space="preserve">
</t>
    </r>
    <r>
      <rPr>
        <sz val="11"/>
        <color rgb="FF000000"/>
        <rFont val="Calibri"/>
      </rPr>
      <t xml:space="preserve">IPv6 Example: ipv6 cef </t>
    </r>
    <r>
      <rPr>
        <sz val="11"/>
        <color rgb="FF000000"/>
        <rFont val="Calibri"/>
      </rPr>
      <t xml:space="preserve">
</t>
    </r>
    <r>
      <rPr>
        <sz val="11"/>
        <color rgb="FF000000"/>
        <rFont val="Calibri"/>
      </rPr>
      <t>If the switch is not configured to have CEF enabled, this is a finding.</t>
    </r>
  </si>
  <si>
    <t>V-237752</t>
  </si>
  <si>
    <r>
      <rPr>
        <sz val="11"/>
        <rFont val="Calibri"/>
      </rPr>
      <t>The Cisco switch must be configured to advertise a hop limit of at least 32 in Switch Advertisement messages for IPv6 stateless auto-configuration deployments.</t>
    </r>
  </si>
  <si>
    <r>
      <rPr>
        <sz val="11"/>
        <color rgb="FF000000"/>
        <rFont val="Calibri"/>
      </rPr>
      <t>Configure the switch to advertise a hop limit of at least 32 in Router Advertisement messages as shown in the example.</t>
    </r>
    <r>
      <rPr>
        <sz val="11"/>
        <color rgb="FF000000"/>
        <rFont val="Calibri"/>
      </rPr>
      <t xml:space="preserve">
</t>
    </r>
    <r>
      <rPr>
        <sz val="11"/>
        <color rgb="FF000000"/>
        <rFont val="Calibri"/>
      </rPr>
      <t>SW1(config)#ipv6 hop-limit 128</t>
    </r>
  </si>
  <si>
    <r>
      <rPr>
        <sz val="11"/>
        <color rgb="FF000000"/>
        <rFont val="Calibri"/>
      </rPr>
      <t>The Neighbor Discovery protocol allows a hop limit value to be advertised by routers in a Router Advertisement message being used by hosts instead of the standardized default value. If a very small value was configured and advertised to hosts on the LAN segment, communications would fail due to the hop limit reaching zero before the packets sent by a host reached its destination.</t>
    </r>
  </si>
  <si>
    <r>
      <rPr>
        <sz val="11"/>
        <color rgb="FF000000"/>
        <rFont val="Calibri"/>
      </rPr>
      <t>Review the switch configuration to determine if the hop limit has been configured for Router Advertisement messages as shown in the example.</t>
    </r>
    <r>
      <rPr>
        <sz val="11"/>
        <color rgb="FF000000"/>
        <rFont val="Calibri"/>
      </rPr>
      <t xml:space="preserve">
</t>
    </r>
    <r>
      <rPr>
        <sz val="11"/>
        <color rgb="FF000000"/>
        <rFont val="Calibri"/>
      </rPr>
      <t>ipv6 hop-limit 128</t>
    </r>
    <r>
      <rPr>
        <sz val="11"/>
        <color rgb="FF000000"/>
        <rFont val="Calibri"/>
      </rPr>
      <t xml:space="preserve">
</t>
    </r>
    <r>
      <rPr>
        <sz val="11"/>
        <color rgb="FF000000"/>
        <rFont val="Calibri"/>
      </rPr>
      <t>If hop-limit has been configured and has not been set to at least 32, it is a finding.</t>
    </r>
  </si>
  <si>
    <t>V-237756</t>
  </si>
  <si>
    <r>
      <rPr>
        <sz val="11"/>
        <rFont val="Calibri"/>
      </rPr>
      <t>The Cisco switch must not be configured to use IPv6 Site Local Unicast addresses.</t>
    </r>
  </si>
  <si>
    <r>
      <rPr>
        <sz val="11"/>
        <color rgb="FF000000"/>
        <rFont val="Calibri"/>
      </rPr>
      <t>Configure the switch using only authorized IPv6 addresses.</t>
    </r>
  </si>
  <si>
    <r>
      <rPr>
        <sz val="11"/>
        <color rgb="FF000000"/>
        <rFont val="Calibri"/>
      </rPr>
      <t>As currently defined, site local addresses are ambiguous and can be present in multiple sites. The address itself does not contain any indication of the site to which it belongs. The use of site-local addresses has the potential to adversely affect network security through leaks, ambiguity, and potential misrouting as documented in section 2 of RFC3879. RFC3879 formally deprecates the IPv6 site-local unicast prefix FEC0::/10 as defined in RFC3513.</t>
    </r>
  </si>
  <si>
    <r>
      <rPr>
        <sz val="11"/>
        <color rgb="FF000000"/>
        <rFont val="Calibri"/>
      </rPr>
      <t xml:space="preserve">Review the switch configuration to ensure FEC0::/10 IPv6 addresses are not defined. </t>
    </r>
    <r>
      <rPr>
        <sz val="11"/>
        <color rgb="FF000000"/>
        <rFont val="Calibri"/>
      </rPr>
      <t xml:space="preserve">
</t>
    </r>
    <r>
      <rPr>
        <sz val="11"/>
        <color rgb="FF000000"/>
        <rFont val="Calibri"/>
      </rPr>
      <t>If IPv6 Site Local Unicast addresses are defined, this is a finding.</t>
    </r>
  </si>
  <si>
    <t>V-237759</t>
  </si>
  <si>
    <r>
      <rPr>
        <sz val="11"/>
        <rFont val="Calibri"/>
      </rPr>
      <t>The Cisco perimeter switch must be configured to suppress Router Advertisements on all external IPv6-enabled interfaces.</t>
    </r>
  </si>
  <si>
    <r>
      <rPr>
        <sz val="11"/>
        <color rgb="FF000000"/>
        <rFont val="Calibri"/>
      </rPr>
      <t>Configure the switch to suppress Router Advertisements on all external IPv6-enabled interfaces as shown in the example below.</t>
    </r>
    <r>
      <rPr>
        <sz val="11"/>
        <color rgb="FF000000"/>
        <rFont val="Calibri"/>
      </rPr>
      <t xml:space="preserve">
</t>
    </r>
    <r>
      <rPr>
        <sz val="11"/>
        <color rgb="FF000000"/>
        <rFont val="Calibri"/>
      </rPr>
      <t>SW1(config)#int g1/0</t>
    </r>
    <r>
      <rPr>
        <sz val="11"/>
        <color rgb="FF000000"/>
        <rFont val="Calibri"/>
      </rPr>
      <t xml:space="preserve">
</t>
    </r>
    <r>
      <rPr>
        <sz val="11"/>
        <color rgb="FF000000"/>
        <rFont val="Calibri"/>
      </rPr>
      <t>SW1(config-if)#ipv6 nd ra suppress</t>
    </r>
    <r>
      <rPr>
        <sz val="11"/>
        <color rgb="FF000000"/>
        <rFont val="Calibri"/>
      </rPr>
      <t xml:space="preserve">
</t>
    </r>
    <r>
      <rPr>
        <sz val="11"/>
        <color rgb="FF000000"/>
        <rFont val="Calibri"/>
      </rPr>
      <t>SW1(config-if)#end</t>
    </r>
  </si>
  <si>
    <r>
      <rPr>
        <sz val="11"/>
        <color rgb="FF000000"/>
        <rFont val="Calibri"/>
      </rPr>
      <t>Many of the known attacks in stateless autoconfiguration are defined in RFC 3756 were present in IPv4 ARP attacks. To mitigate these vulnerabilities, links that have no hosts connected such as the interface connecting to external gateways must be configured to suppress router advertisements.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</si>
  <si>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switch configuration to verify that Router Advertisements are suppressed on all external IPv6-enabled interfaces as shown in the example below.</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nd ra suppress</t>
    </r>
    <r>
      <rPr>
        <sz val="11"/>
        <color rgb="FF000000"/>
        <rFont val="Calibri"/>
      </rPr>
      <t xml:space="preserve">
</t>
    </r>
    <r>
      <rPr>
        <sz val="11"/>
        <color rgb="FF000000"/>
        <rFont val="Calibri"/>
      </rPr>
      <t>If the switch is not configured to suppress Router Advertisements on all external IPv6-enabled interfaces, this is a finding.</t>
    </r>
  </si>
  <si>
    <t>V-237762</t>
  </si>
  <si>
    <r>
      <rPr>
        <sz val="11"/>
        <rFont val="Calibri"/>
      </rPr>
      <t>The Cisco perimeter switch must be configured to drop IPv6 undetermined transport packets.</t>
    </r>
  </si>
  <si>
    <r>
      <rPr>
        <sz val="11"/>
        <color rgb="FF000000"/>
        <rFont val="Calibri"/>
      </rPr>
      <t>Configure the switch to drop IPv6 undetermined transport packets as shown in the example below.</t>
    </r>
    <r>
      <rPr>
        <sz val="11"/>
        <color rgb="FF000000"/>
        <rFont val="Calibri"/>
      </rPr>
      <t xml:space="preserve">
</t>
    </r>
    <r>
      <rPr>
        <sz val="11"/>
        <color rgb="FF000000"/>
        <rFont val="Calibri"/>
      </rPr>
      <t>SW1(config)#ipv6 access-list FILTER_IPV6</t>
    </r>
    <r>
      <rPr>
        <sz val="11"/>
        <color rgb="FF000000"/>
        <rFont val="Calibri"/>
      </rPr>
      <t xml:space="preserve">
</t>
    </r>
    <r>
      <rPr>
        <sz val="11"/>
        <color rgb="FF000000"/>
        <rFont val="Calibri"/>
      </rPr>
      <t>SW1(config-ipv6-acl)#deny ipv6 any any undetermined-transport log</t>
    </r>
    <r>
      <rPr>
        <sz val="11"/>
        <color rgb="FF000000"/>
        <rFont val="Calibri"/>
      </rPr>
      <t xml:space="preserve">
</t>
    </r>
    <r>
      <rPr>
        <sz val="11"/>
        <color rgb="FF000000"/>
        <rFont val="Calibri"/>
      </rPr>
      <t>SW1(config-ipv6-acl)#permit ipv6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SW1(config-ipv6-acl)#deny ipv6 any any log</t>
    </r>
    <r>
      <rPr>
        <sz val="11"/>
        <color rgb="FF000000"/>
        <rFont val="Calibri"/>
      </rPr>
      <t xml:space="preserve">
</t>
    </r>
    <r>
      <rPr>
        <sz val="11"/>
        <color rgb="FF000000"/>
        <rFont val="Calibri"/>
      </rPr>
      <t>SW1(config-ipv6-acl)#exit</t>
    </r>
    <r>
      <rPr>
        <sz val="11"/>
        <color rgb="FF000000"/>
        <rFont val="Calibri"/>
      </rPr>
      <t xml:space="preserve">
</t>
    </r>
    <r>
      <rPr>
        <sz val="11"/>
        <color rgb="FF000000"/>
        <rFont val="Calibri"/>
      </rPr>
      <t>SW1(config)#int g1/0</t>
    </r>
    <r>
      <rPr>
        <sz val="11"/>
        <color rgb="FF000000"/>
        <rFont val="Calibri"/>
      </rPr>
      <t xml:space="preserve">
</t>
    </r>
    <r>
      <rPr>
        <sz val="11"/>
        <color rgb="FF000000"/>
        <rFont val="Calibri"/>
      </rPr>
      <t>SW1(config-if)#ipv6 traffic-filter FILTER_IPV6 in</t>
    </r>
  </si>
  <si>
    <r>
      <rPr>
        <sz val="11"/>
        <color rgb="FF000000"/>
        <rFont val="Calibri"/>
      </rPr>
      <t>One of the fragmentation weaknesses known in IPv6 is the undetermined transport packet. This packet contains an undetermined protocol due to fragmentation. Depending on the length of the IPv6 extension header chain, the initial fragment may not contain the layer four port information of the packet.</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</si>
  <si>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switch configuration to determine if it is configured to drop IPv6 undetermined transport packets.</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undetermined transport packets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deny ipv6 any any log undetermined-transport</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 log</t>
    </r>
    <r>
      <rPr>
        <sz val="11"/>
        <color rgb="FF000000"/>
        <rFont val="Calibri"/>
      </rPr>
      <t xml:space="preserve">
</t>
    </r>
    <r>
      <rPr>
        <sz val="11"/>
        <color rgb="FF000000"/>
        <rFont val="Calibri"/>
      </rPr>
      <t>If the switch is not configured to drop IPv6 undetermined transport packets, this is a finding.</t>
    </r>
  </si>
  <si>
    <t>V-237764</t>
  </si>
  <si>
    <r>
      <rPr>
        <sz val="11"/>
        <rFont val="Calibri"/>
      </rPr>
      <t>The Cisco perimeter switch must be configured drop IPv6 packets with a Routing Header type 0, 1, or 3-255.</t>
    </r>
  </si>
  <si>
    <r>
      <rPr>
        <sz val="11"/>
        <color rgb="FF000000"/>
        <rFont val="Calibri"/>
      </rPr>
      <t>Configure the switch to drop IPv6 packets with Routing Header of type 0, 1, or 3-255 as shown in the example below.</t>
    </r>
    <r>
      <rPr>
        <sz val="11"/>
        <color rgb="FF000000"/>
        <rFont val="Calibri"/>
      </rPr>
      <t xml:space="preserve">
</t>
    </r>
    <r>
      <rPr>
        <sz val="11"/>
        <color rgb="FF000000"/>
        <rFont val="Calibri"/>
      </rPr>
      <t>SW1(config)#ipv6 access-list FILTER_IPV6</t>
    </r>
    <r>
      <rPr>
        <sz val="11"/>
        <color rgb="FF000000"/>
        <rFont val="Calibri"/>
      </rPr>
      <t xml:space="preserve">
</t>
    </r>
    <r>
      <rPr>
        <sz val="11"/>
        <color rgb="FF000000"/>
        <rFont val="Calibri"/>
      </rPr>
      <t>SW1(config-ipv6-acl)#permit ipv6 any host 2001:DB8::0:1:1:1234 routing-type 2</t>
    </r>
    <r>
      <rPr>
        <sz val="11"/>
        <color rgb="FF000000"/>
        <rFont val="Calibri"/>
      </rPr>
      <t xml:space="preserve">
</t>
    </r>
    <r>
      <rPr>
        <sz val="11"/>
        <color rgb="FF000000"/>
        <rFont val="Calibri"/>
      </rPr>
      <t>SW1(config-ipv6-acl)#deny ipv6 any any routing log</t>
    </r>
    <r>
      <rPr>
        <sz val="11"/>
        <color rgb="FF000000"/>
        <rFont val="Calibri"/>
      </rPr>
      <t xml:space="preserve">
</t>
    </r>
    <r>
      <rPr>
        <sz val="11"/>
        <color rgb="FF000000"/>
        <rFont val="Calibri"/>
      </rPr>
      <t>SW1(config-ipv6-acl)#permit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SW1(config-ipv6-acl)#deny ipv6 any any log</t>
    </r>
    <r>
      <rPr>
        <sz val="11"/>
        <color rgb="FF000000"/>
        <rFont val="Calibri"/>
      </rPr>
      <t xml:space="preserve">
</t>
    </r>
    <r>
      <rPr>
        <sz val="11"/>
        <color rgb="FF000000"/>
        <rFont val="Calibri"/>
      </rPr>
      <t>SW1(config-ipv6-acl)#exit</t>
    </r>
    <r>
      <rPr>
        <sz val="11"/>
        <color rgb="FF000000"/>
        <rFont val="Calibri"/>
      </rPr>
      <t xml:space="preserve">
</t>
    </r>
    <r>
      <rPr>
        <sz val="11"/>
        <color rgb="FF000000"/>
        <rFont val="Calibri"/>
      </rPr>
      <t>SW1(config)#int g1/0</t>
    </r>
    <r>
      <rPr>
        <sz val="11"/>
        <color rgb="FF000000"/>
        <rFont val="Calibri"/>
      </rPr>
      <t xml:space="preserve">
</t>
    </r>
    <r>
      <rPr>
        <sz val="11"/>
        <color rgb="FF000000"/>
        <rFont val="Calibri"/>
      </rPr>
      <t>SW1(config-if)#ipv6 traffic-filter FILTER_IPV6</t>
    </r>
  </si>
  <si>
    <r>
      <rPr>
        <sz val="11"/>
        <color rgb="FF000000"/>
        <rFont val="Calibri"/>
      </rPr>
      <t xml:space="preserve">The routing header can be used maliciously to send a packet through a path where less robust security is in place, rather than through the presumably preferred path of routing protocols. Use of the routing extension header has few legitimate uses other than as implemented by Mobile IPv6. </t>
    </r>
    <r>
      <rPr>
        <sz val="11"/>
        <color rgb="FF000000"/>
        <rFont val="Calibri"/>
      </rPr>
      <t xml:space="preserve">
</t>
    </r>
    <r>
      <rPr>
        <sz val="11"/>
        <color rgb="FF000000"/>
        <rFont val="Calibri"/>
      </rPr>
      <t>The Type 0 Routing Header (RFC 5095) is dangerous because it allows attackers to spoof source addresses and obtain traffic in response, rather than the real owner of the address. Secondly, a packet with an allowed destination address could be sent through a Firewall using the Routing Header functionality, only to bounce to a different node once inside. The Type 1 Routing Header is defined by a specification called "Nimrod Routing", a discontinued project funded by DARPA. Assuming that most implementations will not recognize the Type 1 Routing Header, it must be dropped. The Type 3–255 Routing Header values in the routing type field are currently undefined and should be dropped inbound and outbound.</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</si>
  <si>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switch configuration to determine if it is configured to drop IPv6 packets containing a Routing Header of type 0, 1, or 3-255.</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 xml:space="preserve">Step 2: Verify that the ACL drops IPv6 packets with a Routing Header type 0, 1, or 3-255 </t>
    </r>
    <r>
      <rPr>
        <sz val="11"/>
        <color rgb="FF000000"/>
        <rFont val="Calibri"/>
      </rPr>
      <t xml:space="preserve">
</t>
    </r>
    <r>
      <rPr>
        <sz val="11"/>
        <color rgb="FF000000"/>
        <rFont val="Calibri"/>
      </rPr>
      <t>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permit ipv6 any host 2001:DB8::1:1:1234 routing-type 2</t>
    </r>
    <r>
      <rPr>
        <sz val="11"/>
        <color rgb="FF000000"/>
        <rFont val="Calibri"/>
      </rPr>
      <t xml:space="preserve">
</t>
    </r>
    <r>
      <rPr>
        <sz val="11"/>
        <color rgb="FF000000"/>
        <rFont val="Calibri"/>
      </rPr>
      <t xml:space="preserve"> deny ipv6 any any log routing</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ipv6 any any log</t>
    </r>
    <r>
      <rPr>
        <sz val="11"/>
        <color rgb="FF000000"/>
        <rFont val="Calibri"/>
      </rPr>
      <t xml:space="preserve">
</t>
    </r>
    <r>
      <rPr>
        <sz val="11"/>
        <color rgb="FF000000"/>
        <rFont val="Calibri"/>
      </rPr>
      <t>Note: The example above allows routing-type 2 in the event Mobility IPv6 is deployed.</t>
    </r>
    <r>
      <rPr>
        <sz val="11"/>
        <color rgb="FF000000"/>
        <rFont val="Calibri"/>
      </rPr>
      <t xml:space="preserve">
</t>
    </r>
    <r>
      <rPr>
        <sz val="11"/>
        <color rgb="FF000000"/>
        <rFont val="Calibri"/>
      </rPr>
      <t>If the switch is not configured to drop IPv6 packets containing a Routing Header of type 0, 1, or 3-255, this is a finding.</t>
    </r>
  </si>
  <si>
    <t>V-237766</t>
  </si>
  <si>
    <r>
      <rPr>
        <sz val="11"/>
        <rFont val="Calibri"/>
      </rPr>
      <t>The Cisco perimeter switch must be configured to drop IPv6 packets containing a Hop-by-Hop header with invalid option type values.</t>
    </r>
  </si>
  <si>
    <r>
      <rPr>
        <sz val="11"/>
        <color rgb="FF000000"/>
        <rFont val="Calibri"/>
      </rPr>
      <t>Drop IPv6 packets containing a Hop-by-Hop header as shown in the example below.</t>
    </r>
    <r>
      <rPr>
        <sz val="11"/>
        <color rgb="FF000000"/>
        <rFont val="Calibri"/>
      </rPr>
      <t xml:space="preserve">
</t>
    </r>
    <r>
      <rPr>
        <sz val="11"/>
        <color rgb="FF000000"/>
        <rFont val="Calibri"/>
      </rPr>
      <t>SW1(config)#ipv6 access-list FILTER_IPV6</t>
    </r>
    <r>
      <rPr>
        <sz val="11"/>
        <color rgb="FF000000"/>
        <rFont val="Calibri"/>
      </rPr>
      <t xml:space="preserve">
</t>
    </r>
    <r>
      <rPr>
        <sz val="11"/>
        <color rgb="FF000000"/>
        <rFont val="Calibri"/>
      </rPr>
      <t>SW1(config-ipv6-acl)#deny hbh any any dest-option log</t>
    </r>
    <r>
      <rPr>
        <sz val="11"/>
        <color rgb="FF000000"/>
        <rFont val="Calibri"/>
      </rPr>
      <t xml:space="preserve">
</t>
    </r>
    <r>
      <rPr>
        <sz val="11"/>
        <color rgb="FF000000"/>
        <rFont val="Calibri"/>
      </rPr>
      <t>SW1(config-ipv6-acl)# permit ipv6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SW1(config-ipv6-acl)#deny ipv6 any any log</t>
    </r>
    <r>
      <rPr>
        <sz val="11"/>
        <color rgb="FF000000"/>
        <rFont val="Calibri"/>
      </rPr>
      <t xml:space="preserve">
</t>
    </r>
    <r>
      <rPr>
        <sz val="11"/>
        <color rgb="FF000000"/>
        <rFont val="Calibri"/>
      </rPr>
      <t>SW1(config-ipv6-acl)#exit</t>
    </r>
    <r>
      <rPr>
        <sz val="11"/>
        <color rgb="FF000000"/>
        <rFont val="Calibri"/>
      </rPr>
      <t xml:space="preserve">
</t>
    </r>
    <r>
      <rPr>
        <sz val="11"/>
        <color rgb="FF000000"/>
        <rFont val="Calibri"/>
      </rPr>
      <t>SW1(config)#int g1/0</t>
    </r>
    <r>
      <rPr>
        <sz val="11"/>
        <color rgb="FF000000"/>
        <rFont val="Calibri"/>
      </rPr>
      <t xml:space="preserve">
</t>
    </r>
    <r>
      <rPr>
        <sz val="11"/>
        <color rgb="FF000000"/>
        <rFont val="Calibri"/>
      </rPr>
      <t>SW1(config-if)#ipv6 traffic-filter FILTER_IPV6</t>
    </r>
    <r>
      <rPr>
        <sz val="11"/>
        <color rgb="FF000000"/>
        <rFont val="Calibri"/>
      </rPr>
      <t xml:space="preserve">
</t>
    </r>
    <r>
      <rPr>
        <sz val="11"/>
        <color rgb="FF000000"/>
        <rFont val="Calibri"/>
      </rPr>
      <t>SW1(config-if)#end</t>
    </r>
  </si>
  <si>
    <r>
      <rPr>
        <sz val="11"/>
        <color rgb="FF000000"/>
        <rFont val="Calibri"/>
      </rPr>
      <t>These options are intended to be for the Destination Options header only. 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</si>
  <si>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switch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IPv6 packets containing a Hop-by-Hop header with option type values of 0x04 (Tunnel Encapsulation Limit), 0xC9 (Home Address Destination), or 0xC3 (NSAP Address)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deny hbh any any dest-option log</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 log</t>
    </r>
    <r>
      <rPr>
        <sz val="11"/>
        <color rgb="FF000000"/>
        <rFont val="Calibri"/>
      </rPr>
      <t xml:space="preserve">
</t>
    </r>
    <r>
      <rPr>
        <sz val="11"/>
        <color rgb="FF000000"/>
        <rFont val="Calibri"/>
      </rPr>
      <t>Note: Cisco has deprecated the dest-option-type command used to filter by option type within Hop-by-Hop header. Therefore, all packets with the Hop-by-Hop header option types must be dropped.</t>
    </r>
    <r>
      <rPr>
        <sz val="11"/>
        <color rgb="FF000000"/>
        <rFont val="Calibri"/>
      </rPr>
      <t xml:space="preserve">
</t>
    </r>
    <r>
      <rPr>
        <sz val="11"/>
        <color rgb="FF000000"/>
        <rFont val="Calibri"/>
      </rPr>
      <t>If the switch is not configured to drop IPv6 packets containing a Hop-by-Hop header with destination options, this is a finding.</t>
    </r>
  </si>
  <si>
    <t>V-237772</t>
  </si>
  <si>
    <r>
      <rPr>
        <sz val="11"/>
        <rFont val="Calibri"/>
      </rPr>
      <t>The Cisco perimeter switch must be configured to drop IPv6 packets containing a Destination Option header with invalid option type values.</t>
    </r>
  </si>
  <si>
    <r>
      <rPr>
        <sz val="11"/>
        <color rgb="FF000000"/>
        <rFont val="Calibri"/>
      </rPr>
      <t>Configure the switch to drop IPv6 packets containing a Destination Option header as shown in the example below.</t>
    </r>
    <r>
      <rPr>
        <sz val="11"/>
        <color rgb="FF000000"/>
        <rFont val="Calibri"/>
      </rPr>
      <t xml:space="preserve">
</t>
    </r>
    <r>
      <rPr>
        <sz val="11"/>
        <color rgb="FF000000"/>
        <rFont val="Calibri"/>
      </rPr>
      <t>SW1(config)#ipv6 access-list FILTER_IPV6</t>
    </r>
    <r>
      <rPr>
        <sz val="11"/>
        <color rgb="FF000000"/>
        <rFont val="Calibri"/>
      </rPr>
      <t xml:space="preserve">
</t>
    </r>
    <r>
      <rPr>
        <sz val="11"/>
        <color rgb="FF000000"/>
        <rFont val="Calibri"/>
      </rPr>
      <t>SW1(config-ipv6-acl)#deny 60 any any dest-option log</t>
    </r>
    <r>
      <rPr>
        <sz val="11"/>
        <color rgb="FF000000"/>
        <rFont val="Calibri"/>
      </rPr>
      <t xml:space="preserve">
</t>
    </r>
    <r>
      <rPr>
        <sz val="11"/>
        <color rgb="FF000000"/>
        <rFont val="Calibri"/>
      </rPr>
      <t>SW1(config-ipv6-acl)#permit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SW1(config-ipv6-acl)#deny ipv6 any any log</t>
    </r>
    <r>
      <rPr>
        <sz val="11"/>
        <color rgb="FF000000"/>
        <rFont val="Calibri"/>
      </rPr>
      <t xml:space="preserve">
</t>
    </r>
    <r>
      <rPr>
        <sz val="11"/>
        <color rgb="FF000000"/>
        <rFont val="Calibri"/>
      </rPr>
      <t>SW1(config-ipv6-acl)#exit</t>
    </r>
    <r>
      <rPr>
        <sz val="11"/>
        <color rgb="FF000000"/>
        <rFont val="Calibri"/>
      </rPr>
      <t xml:space="preserve">
</t>
    </r>
    <r>
      <rPr>
        <sz val="11"/>
        <color rgb="FF000000"/>
        <rFont val="Calibri"/>
      </rPr>
      <t>SW1(config)#int g1/0</t>
    </r>
    <r>
      <rPr>
        <sz val="11"/>
        <color rgb="FF000000"/>
        <rFont val="Calibri"/>
      </rPr>
      <t xml:space="preserve">
</t>
    </r>
    <r>
      <rPr>
        <sz val="11"/>
        <color rgb="FF000000"/>
        <rFont val="Calibri"/>
      </rPr>
      <t>SW1(config-if)#ipv6 traffic-filter FILTER_IPV6</t>
    </r>
    <r>
      <rPr>
        <sz val="11"/>
        <color rgb="FF000000"/>
        <rFont val="Calibri"/>
      </rPr>
      <t xml:space="preserve">
</t>
    </r>
    <r>
      <rPr>
        <sz val="11"/>
        <color rgb="FF000000"/>
        <rFont val="Calibri"/>
      </rPr>
      <t>SW1(config-if)#end</t>
    </r>
  </si>
  <si>
    <r>
      <rPr>
        <sz val="11"/>
        <color rgb="FF000000"/>
        <rFont val="Calibri"/>
      </rPr>
      <t>These options are intended to be for the Hop-by-Hop header only. The optional and extensible natures of the IPv6 extension headers require higher scrutiny since many implementations do not always drop packets with headers that it cannot recognize. Hence, this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</si>
  <si>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switch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IPv6 packets containing a Destination Option header with option type values of 0x05 (Switch Alert) or 0xC2 (Jumbo Payload)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deny 60 any any dest-option log</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 log</t>
    </r>
    <r>
      <rPr>
        <sz val="11"/>
        <color rgb="FF000000"/>
        <rFont val="Calibri"/>
      </rPr>
      <t xml:space="preserve">
</t>
    </r>
    <r>
      <rPr>
        <sz val="11"/>
        <color rgb="FF000000"/>
        <rFont val="Calibri"/>
      </rPr>
      <t>Note: Cisco has deprecated the dest-option-type command used to filter by option type within the Destination Option header. Therefore, all packets with the Destination Option header must be dropped.</t>
    </r>
    <r>
      <rPr>
        <sz val="11"/>
        <color rgb="FF000000"/>
        <rFont val="Calibri"/>
      </rPr>
      <t xml:space="preserve">
</t>
    </r>
    <r>
      <rPr>
        <sz val="11"/>
        <color rgb="FF000000"/>
        <rFont val="Calibri"/>
      </rPr>
      <t>If the switch is not configured to drop IPv6 packets containing a Destination Option header, this is a finding.</t>
    </r>
  </si>
  <si>
    <t>V-237774</t>
  </si>
  <si>
    <r>
      <rPr>
        <sz val="11"/>
        <rFont val="Calibri"/>
      </rPr>
      <t>The Cisco perimeter switch must be configured to drop IPv6 packets containing an extension header with the Endpoint Identification option.</t>
    </r>
  </si>
  <si>
    <r>
      <rPr>
        <sz val="11"/>
        <color rgb="FF000000"/>
        <rFont val="Calibri"/>
      </rPr>
      <t>Configure the switch to drop IPv6 packets containing an option type value of 0x8A (Endpoint Identification) regardless of whether it appears in a Hop-by-Hop or Destination Option header as shown in the example below.</t>
    </r>
    <r>
      <rPr>
        <sz val="11"/>
        <color rgb="FF000000"/>
        <rFont val="Calibri"/>
      </rPr>
      <t xml:space="preserve">
</t>
    </r>
    <r>
      <rPr>
        <sz val="11"/>
        <color rgb="FF000000"/>
        <rFont val="Calibri"/>
      </rPr>
      <t>SW1(config)#ipv6 access-list FILTER_IPV6</t>
    </r>
    <r>
      <rPr>
        <sz val="11"/>
        <color rgb="FF000000"/>
        <rFont val="Calibri"/>
      </rPr>
      <t xml:space="preserve">
</t>
    </r>
    <r>
      <rPr>
        <sz val="11"/>
        <color rgb="FF000000"/>
        <rFont val="Calibri"/>
      </rPr>
      <t>SW1(config-ipv6-acl)#deny 60 any any dest-option log</t>
    </r>
    <r>
      <rPr>
        <sz val="11"/>
        <color rgb="FF000000"/>
        <rFont val="Calibri"/>
      </rPr>
      <t xml:space="preserve">
</t>
    </r>
    <r>
      <rPr>
        <sz val="11"/>
        <color rgb="FF000000"/>
        <rFont val="Calibri"/>
      </rPr>
      <t>SW1(config-ipv6-acl)#permit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SW1(config-ipv6-acl)#deny ipv6 any any log</t>
    </r>
    <r>
      <rPr>
        <sz val="11"/>
        <color rgb="FF000000"/>
        <rFont val="Calibri"/>
      </rPr>
      <t xml:space="preserve">
</t>
    </r>
    <r>
      <rPr>
        <sz val="11"/>
        <color rgb="FF000000"/>
        <rFont val="Calibri"/>
      </rPr>
      <t>SW1(config-ipv6-acl)#exit</t>
    </r>
    <r>
      <rPr>
        <sz val="11"/>
        <color rgb="FF000000"/>
        <rFont val="Calibri"/>
      </rPr>
      <t xml:space="preserve">
</t>
    </r>
    <r>
      <rPr>
        <sz val="11"/>
        <color rgb="FF000000"/>
        <rFont val="Calibri"/>
      </rPr>
      <t>SW1(config)#int g1/0</t>
    </r>
    <r>
      <rPr>
        <sz val="11"/>
        <color rgb="FF000000"/>
        <rFont val="Calibri"/>
      </rPr>
      <t xml:space="preserve">
</t>
    </r>
    <r>
      <rPr>
        <sz val="11"/>
        <color rgb="FF000000"/>
        <rFont val="Calibri"/>
      </rPr>
      <t>SW1(config-if)#ipv6 traffic-filter FILTER_IPV6</t>
    </r>
    <r>
      <rPr>
        <sz val="11"/>
        <color rgb="FF000000"/>
        <rFont val="Calibri"/>
      </rPr>
      <t xml:space="preserve">
</t>
    </r>
    <r>
      <rPr>
        <sz val="11"/>
        <color rgb="FF000000"/>
        <rFont val="Calibri"/>
      </rPr>
      <t>SW1(config-if)#end</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</si>
  <si>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 This option type is associated with the Nimrod Routing system and has no defining RFC document.</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</si>
  <si>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switch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IPv6 packets containing a Destination Option header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deny 60 any any dest-option log</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 log</t>
    </r>
    <r>
      <rPr>
        <sz val="11"/>
        <color rgb="FF000000"/>
        <rFont val="Calibri"/>
      </rPr>
      <t xml:space="preserve">
</t>
    </r>
    <r>
      <rPr>
        <sz val="11"/>
        <color rgb="FF000000"/>
        <rFont val="Calibri"/>
      </rPr>
      <t>Note: Cisco has deprecated the dest-option-type command used to filter by option type within the Destination Option header. Therefore, all packets with the Destination Option header must be dropped.</t>
    </r>
    <r>
      <rPr>
        <sz val="11"/>
        <color rgb="FF000000"/>
        <rFont val="Calibri"/>
      </rPr>
      <t xml:space="preserve">
</t>
    </r>
    <r>
      <rPr>
        <sz val="11"/>
        <color rgb="FF000000"/>
        <rFont val="Calibri"/>
      </rPr>
      <t>If the switch is not configured to drop IPv6 packets containing a Destination Option header, this is a finding.</t>
    </r>
  </si>
  <si>
    <t>V-237776</t>
  </si>
  <si>
    <r>
      <rPr>
        <sz val="11"/>
        <rFont val="Calibri"/>
      </rPr>
      <t>The Cisco perimeter switch must be configured to drop IPv6 packets containing the NSAP address option within Destination Option header.</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</si>
  <si>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 This option type from RFC 1888 (OSI NSAPs and IPv6) has been deprecated by RFC 4048.</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</si>
  <si>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switch configuration and determine if filters are bound to the applicable interfaces to drop IPv6 packets containing a Destination Option header with option type value of 0xC3 (NSAP address).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IPv6 packets containing a Destination Option header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deny 60 any any dest-option log</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 log</t>
    </r>
    <r>
      <rPr>
        <sz val="11"/>
        <color rgb="FF000000"/>
        <rFont val="Calibri"/>
      </rPr>
      <t xml:space="preserve">
</t>
    </r>
    <r>
      <rPr>
        <sz val="11"/>
        <color rgb="FF000000"/>
        <rFont val="Calibri"/>
      </rPr>
      <t>Note: Cisco has deprecated the dest-option-type command used to filter by option type within the Destination Option header. Therefore, all packets with the Destination Option header must be dropped.</t>
    </r>
    <r>
      <rPr>
        <sz val="11"/>
        <color rgb="FF000000"/>
        <rFont val="Calibri"/>
      </rPr>
      <t xml:space="preserve">
</t>
    </r>
    <r>
      <rPr>
        <sz val="11"/>
        <color rgb="FF000000"/>
        <rFont val="Calibri"/>
      </rPr>
      <t>If the switch is not configured to drop IPv6 packets containing a Destination Option header, this is a finding.</t>
    </r>
  </si>
  <si>
    <t>V-237778</t>
  </si>
  <si>
    <r>
      <rPr>
        <sz val="11"/>
        <rFont val="Calibri"/>
      </rPr>
      <t>The Cisco perimeter switch must be configured to drop IPv6 packets containing a Hop-by-Hop or Destination Option extension header with an undefined option type.</t>
    </r>
  </si>
  <si>
    <r>
      <rPr>
        <sz val="11"/>
        <color rgb="FF000000"/>
        <rFont val="Calibri"/>
      </rPr>
      <t>Configure the switch to drop all inbound IPv6 packets containing destination option type values regardless of whether they appear in a Hop-by-Hop or Destination Option header as shown in the example below.</t>
    </r>
    <r>
      <rPr>
        <sz val="11"/>
        <color rgb="FF000000"/>
        <rFont val="Calibri"/>
      </rPr>
      <t xml:space="preserve">
</t>
    </r>
    <r>
      <rPr>
        <sz val="11"/>
        <color rgb="FF000000"/>
        <rFont val="Calibri"/>
      </rPr>
      <t>SW1(config)#ipv6 access-list FILTER_IPV6</t>
    </r>
    <r>
      <rPr>
        <sz val="11"/>
        <color rgb="FF000000"/>
        <rFont val="Calibri"/>
      </rPr>
      <t xml:space="preserve">
</t>
    </r>
    <r>
      <rPr>
        <sz val="11"/>
        <color rgb="FF000000"/>
        <rFont val="Calibri"/>
      </rPr>
      <t>SW1(config-ipv6-acl)#deny 60 any any dest-option log</t>
    </r>
    <r>
      <rPr>
        <sz val="11"/>
        <color rgb="FF000000"/>
        <rFont val="Calibri"/>
      </rPr>
      <t xml:space="preserve">
</t>
    </r>
    <r>
      <rPr>
        <sz val="11"/>
        <color rgb="FF000000"/>
        <rFont val="Calibri"/>
      </rPr>
      <t>SW1(config-ipv6-acl)#deny hbh any any dest-option log</t>
    </r>
    <r>
      <rPr>
        <sz val="11"/>
        <color rgb="FF000000"/>
        <rFont val="Calibri"/>
      </rPr>
      <t xml:space="preserve">
</t>
    </r>
    <r>
      <rPr>
        <sz val="11"/>
        <color rgb="FF000000"/>
        <rFont val="Calibri"/>
      </rPr>
      <t>SW1(config-ipv6-acl)#permit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SW1(config-ipv6-acl)#deny ipv6 any any log</t>
    </r>
    <r>
      <rPr>
        <sz val="11"/>
        <color rgb="FF000000"/>
        <rFont val="Calibri"/>
      </rPr>
      <t xml:space="preserve">
</t>
    </r>
    <r>
      <rPr>
        <sz val="11"/>
        <color rgb="FF000000"/>
        <rFont val="Calibri"/>
      </rPr>
      <t>SW1(config-ipv6-acl)#exit</t>
    </r>
    <r>
      <rPr>
        <sz val="11"/>
        <color rgb="FF000000"/>
        <rFont val="Calibri"/>
      </rPr>
      <t xml:space="preserve">
</t>
    </r>
    <r>
      <rPr>
        <sz val="11"/>
        <color rgb="FF000000"/>
        <rFont val="Calibri"/>
      </rPr>
      <t>SW1(config)#int g1/0</t>
    </r>
    <r>
      <rPr>
        <sz val="11"/>
        <color rgb="FF000000"/>
        <rFont val="Calibri"/>
      </rPr>
      <t xml:space="preserve">
</t>
    </r>
    <r>
      <rPr>
        <sz val="11"/>
        <color rgb="FF000000"/>
        <rFont val="Calibri"/>
      </rPr>
      <t>SW1(config-if)#ipv6 traffic-filter FILTER_IPV6</t>
    </r>
    <r>
      <rPr>
        <sz val="11"/>
        <color rgb="FF000000"/>
        <rFont val="Calibri"/>
      </rPr>
      <t xml:space="preserve">
</t>
    </r>
    <r>
      <rPr>
        <sz val="11"/>
        <color rgb="FF000000"/>
        <rFont val="Calibri"/>
      </rPr>
      <t>SW1(config-if)#end</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</si>
  <si>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</si>
  <si>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switch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traffic-filter FILTER_IPV6 in</t>
    </r>
    <r>
      <rPr>
        <sz val="11"/>
        <color rgb="FF000000"/>
        <rFont val="Calibri"/>
      </rPr>
      <t xml:space="preserve">
</t>
    </r>
    <r>
      <rPr>
        <sz val="11"/>
        <color rgb="FF000000"/>
        <rFont val="Calibri"/>
      </rPr>
      <t>Step 2: Verify that the ACL drops IPv6 packets containing a Destination Option header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deny 60 any any dest-option log</t>
    </r>
    <r>
      <rPr>
        <sz val="11"/>
        <color rgb="FF000000"/>
        <rFont val="Calibri"/>
      </rPr>
      <t xml:space="preserve">
</t>
    </r>
    <r>
      <rPr>
        <sz val="11"/>
        <color rgb="FF000000"/>
        <rFont val="Calibri"/>
      </rPr>
      <t xml:space="preserve"> deny hbh any any dest-option log</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 log</t>
    </r>
    <r>
      <rPr>
        <sz val="11"/>
        <color rgb="FF000000"/>
        <rFont val="Calibri"/>
      </rPr>
      <t xml:space="preserve">
</t>
    </r>
    <r>
      <rPr>
        <sz val="11"/>
        <color rgb="FF000000"/>
        <rFont val="Calibri"/>
      </rPr>
      <t>Note: Cisco has deprecated the dest-option-type command used to filter by option type within the Destination Option and Hop-by-Hop header. Therefore, all packets with the Destination Option header and Hop-by-Hop options must be dropped.</t>
    </r>
    <r>
      <rPr>
        <sz val="11"/>
        <color rgb="FF000000"/>
        <rFont val="Calibri"/>
      </rPr>
      <t xml:space="preserve">
</t>
    </r>
    <r>
      <rPr>
        <sz val="11"/>
        <color rgb="FF000000"/>
        <rFont val="Calibri"/>
      </rPr>
      <t>If the switch is not configured to drop IPv6 packets containing a Destination Option header,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</si>
  <si>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</si>
  <si>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</si>
  <si>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</si>
  <si>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</si>
  <si>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</si>
  <si>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</si>
  <si>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</si>
  <si>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</si>
  <si>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</si>
  <si>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</si>
  <si>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</si>
  <si>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</si>
  <si>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</si>
  <si>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</si>
  <si>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</si>
  <si>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</si>
  <si>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</si>
  <si>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</si>
  <si>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</si>
  <si>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</si>
  <si>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</si>
  <si>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</si>
  <si>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</si>
  <si>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</si>
  <si>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</si>
  <si>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</si>
  <si>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</si>
  <si>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</si>
  <si>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</si>
  <si>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Cisco IOS XE Switch Security Technical Implementation Guide Y26M04</t>
  </si>
  <si>
    <t>Developed By:</t>
  </si>
  <si>
    <t>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</si>
  <si>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</si>
  <si>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152</t>
    </r>
  </si>
  <si>
    <t>Download Url:</t>
  </si>
  <si>
    <t>https://www.cyber.mil/stigs</t>
  </si>
  <si>
    <t>Guide Overview:</t>
  </si>
  <si>
    <r>
      <rPr>
        <sz val="11"/>
        <color rgb="FF000000"/>
        <rFont val="Calibri"/>
      </rPr>
      <t>The Cisco Internetwork Operating System (IOS) XE Switch Security Technical Implementation Guide (STIG) provides the technical security policies, requirements, and implementation details for applying security concepts to Cisco IOS XE switch devices such as the Catalyst 3650, 3850, and 9000 (9200, 9300, 9400) Series.</t>
    </r>
    <r>
      <rPr>
        <sz val="11"/>
        <color rgb="FF000000"/>
        <rFont val="Calibri"/>
      </rPr>
      <t xml:space="preserve">
</t>
    </r>
    <r>
      <rPr>
        <sz val="11"/>
        <color rgb="FF000000"/>
        <rFont val="Calibri"/>
      </rPr>
      <t>The Cisco IOS XE Switch STIG is a package of the following: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Cisco IOS XE Switch L2S (Layer 2 Switch)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Cisco IOS XE Switch RTR (Router)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Cisco IOS XE Switch NDM (Network Device Management) STIG.</t>
    </r>
  </si>
  <si>
    <t>Components:</t>
  </si>
  <si>
    <r>
      <rPr>
        <i/>
        <sz val="11"/>
        <color rgb="FF000000"/>
        <rFont val="Calibri"/>
      </rPr>
      <t>Title:</t>
    </r>
    <r>
      <rPr>
        <sz val="11"/>
        <color rgb="FF000000"/>
        <rFont val="Calibri"/>
      </rPr>
      <t xml:space="preserve"> Cisco IOS XE Switch NDM Security Technical Implementation Guide</t>
    </r>
    <r>
      <rPr>
        <sz val="11"/>
        <color rgb="FF000000"/>
        <rFont val="Calibri"/>
      </rPr>
      <t xml:space="preserve">
</t>
    </r>
    <r>
      <rPr>
        <i/>
        <sz val="11"/>
        <color rgb="FF000000"/>
        <rFont val="Calibri"/>
      </rPr>
      <t>Version:</t>
    </r>
    <r>
      <rPr>
        <sz val="11"/>
        <color rgb="FF000000"/>
        <rFont val="Calibri"/>
      </rPr>
      <t xml:space="preserve"> V3R6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42</t>
    </r>
  </si>
  <si>
    <r>
      <rPr>
        <i/>
        <sz val="11"/>
        <color rgb="FF000000"/>
        <rFont val="Calibri"/>
      </rPr>
      <t>Title:</t>
    </r>
    <r>
      <rPr>
        <sz val="11"/>
        <color rgb="FF000000"/>
        <rFont val="Calibri"/>
      </rPr>
      <t xml:space="preserve"> Cisco IOS XE Switch L2S Security Technical Implementation Guide</t>
    </r>
    <r>
      <rPr>
        <sz val="11"/>
        <color rgb="FF000000"/>
        <rFont val="Calibri"/>
      </rPr>
      <t xml:space="preserve">
</t>
    </r>
    <r>
      <rPr>
        <i/>
        <sz val="11"/>
        <color rgb="FF000000"/>
        <rFont val="Calibri"/>
      </rPr>
      <t>Version:</t>
    </r>
    <r>
      <rPr>
        <sz val="11"/>
        <color rgb="FF000000"/>
        <rFont val="Calibri"/>
      </rPr>
      <t xml:space="preserve"> V3R2     </t>
    </r>
    <r>
      <rPr>
        <i/>
        <sz val="11"/>
        <color rgb="FF000000"/>
        <rFont val="Calibri"/>
      </rPr>
      <t>Date:</t>
    </r>
    <r>
      <rPr>
        <sz val="11"/>
        <color rgb="FF000000"/>
        <rFont val="Calibri"/>
      </rPr>
      <t xml:space="preserve"> 02 July 2025     </t>
    </r>
    <r>
      <rPr>
        <i/>
        <sz val="11"/>
        <color rgb="FF000000"/>
        <rFont val="Calibri"/>
      </rPr>
      <t>Recommendation Count:</t>
    </r>
    <r>
      <rPr>
        <sz val="11"/>
        <color rgb="FF000000"/>
        <rFont val="Calibri"/>
      </rPr>
      <t xml:space="preserve"> 22</t>
    </r>
  </si>
  <si>
    <r>
      <rPr>
        <i/>
        <sz val="11"/>
        <color rgb="FF000000"/>
        <rFont val="Calibri"/>
      </rPr>
      <t>Title:</t>
    </r>
    <r>
      <rPr>
        <sz val="11"/>
        <color rgb="FF000000"/>
        <rFont val="Calibri"/>
      </rPr>
      <t xml:space="preserve"> Cisco IOS XE Switch RTR Security Technical Implementation Guide</t>
    </r>
    <r>
      <rPr>
        <sz val="11"/>
        <color rgb="FF000000"/>
        <rFont val="Calibri"/>
      </rPr>
      <t xml:space="preserve">
</t>
    </r>
    <r>
      <rPr>
        <i/>
        <sz val="11"/>
        <color rgb="FF000000"/>
        <rFont val="Calibri"/>
      </rPr>
      <t>Version:</t>
    </r>
    <r>
      <rPr>
        <sz val="11"/>
        <color rgb="FF000000"/>
        <rFont val="Calibri"/>
      </rPr>
      <t xml:space="preserve"> V3R4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88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</si>
  <si>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</si>
  <si>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</si>
  <si>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</si>
  <si>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</si>
  <si>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</si>
  <si>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</si>
  <si>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</si>
  <si>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</si>
  <si>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</si>
  <si>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</si>
  <si>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</si>
  <si>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</si>
  <si>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</si>
  <si>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</si>
  <si>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</si>
  <si>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</si>
  <si>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</si>
  <si>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</si>
  <si>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</si>
  <si>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</si>
  <si>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</si>
  <si>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</si>
  <si>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</si>
  <si>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</si>
  <si>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</si>
  <si>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</si>
  <si>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</si>
  <si>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</si>
  <si>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</si>
  <si>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</si>
  <si>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</si>
  <si>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</si>
  <si>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</si>
  <si>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</si>
  <si>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</si>
  <si>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</si>
  <si>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</si>
  <si>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</si>
  <si>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</si>
  <si>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</si>
  <si>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</si>
  <si>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</si>
  <si>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</si>
  <si>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</si>
  <si>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</si>
  <si>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</si>
  <si>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</si>
  <si>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Cisco IOS XE Switch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</si>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</sst>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683-4FA4-8D50-9AFA7CD0B02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683-4FA4-8D50-9AFA7CD0B02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152</c:v>
                </c:pt>
              </c:numCache>
            </c:numRef>
          </c:val>
          <c:extLst>
            <c:ext xmlns:c16="http://schemas.microsoft.com/office/drawing/2014/chart" uri="{C3380CC4-5D6E-409C-BE32-E72D297353CC}">
              <c16:uniqueId val="{00000002-6683-4FA4-8D50-9AFA7CD0B02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0695-470F-B595-68C868469AA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0695-470F-B595-68C868469AA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Dashboard!$E$29:$E$31</c:f>
              <c:numCache>
                <c:formatCode>General</c:formatCode>
                <c:ptCount val="3"/>
                <c:pt idx="0">
                  <c:v>22</c:v>
                </c:pt>
                <c:pt idx="1">
                  <c:v>42</c:v>
                </c:pt>
                <c:pt idx="2">
                  <c:v>88</c:v>
                </c:pt>
              </c:numCache>
            </c:numRef>
          </c:val>
          <c:extLst>
            <c:ext xmlns:c16="http://schemas.microsoft.com/office/drawing/2014/chart" uri="{C3380CC4-5D6E-409C-BE32-E72D297353CC}">
              <c16:uniqueId val="{00000002-0695-470F-B595-68C868469AA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1F0-44F2-BBF8-F5BB31ABD0D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1F0-44F2-BBF8-F5BB31ABD0D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152</c:v>
                </c:pt>
              </c:numCache>
            </c:numRef>
          </c:val>
          <c:extLst>
            <c:ext xmlns:c16="http://schemas.microsoft.com/office/drawing/2014/chart" uri="{C3380CC4-5D6E-409C-BE32-E72D297353CC}">
              <c16:uniqueId val="{00000002-D1F0-44F2-BBF8-F5BB31ABD0D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182E-42C6-8D2F-446BD004A58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182E-42C6-8D2F-446BD004A58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17</c:v>
                </c:pt>
                <c:pt idx="1">
                  <c:v>103</c:v>
                </c:pt>
                <c:pt idx="2">
                  <c:v>32</c:v>
                </c:pt>
              </c:numCache>
            </c:numRef>
          </c:val>
          <c:extLst>
            <c:ext xmlns:c16="http://schemas.microsoft.com/office/drawing/2014/chart" uri="{C3380CC4-5D6E-409C-BE32-E72D297353CC}">
              <c16:uniqueId val="{00000002-182E-42C6-8D2F-446BD004A58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605-4707-9921-390633D3038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605-4707-9921-390633D3038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152</c:v>
                </c:pt>
              </c:numCache>
            </c:numRef>
          </c:val>
          <c:extLst>
            <c:ext xmlns:c16="http://schemas.microsoft.com/office/drawing/2014/chart" uri="{C3380CC4-5D6E-409C-BE32-E72D297353CC}">
              <c16:uniqueId val="{00000002-E605-4707-9921-390633D3038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96D-4C8F-88E9-14E0551EF45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96D-4C8F-88E9-14E0551EF45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152</c:v>
                </c:pt>
              </c:numCache>
            </c:numRef>
          </c:val>
          <c:extLst>
            <c:ext xmlns:c16="http://schemas.microsoft.com/office/drawing/2014/chart" uri="{C3380CC4-5D6E-409C-BE32-E72D297353CC}">
              <c16:uniqueId val="{00000002-B96D-4C8F-88E9-14E0551EF45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3C7-4A6A-893A-EADCAB1579B7}"/>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3C7-4A6A-893A-EADCAB1579B7}"/>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3C7-4A6A-893A-EADCAB1579B7}"/>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3C7-4A6A-893A-EADCAB1579B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9EC-4586-9AD8-4922CCEFC2E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h5vl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xtcxb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cqioc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sixab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uicbm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djq0m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bfju4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jgh5pz">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53">
  <autoFilter ref="A1:N153"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5"/>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771</v>
      </c>
    </row>
    <row r="3" spans="2:3" ht="15" customHeight="1" x14ac:dyDescent="0.35"/>
    <row r="4" spans="2:3" ht="58" x14ac:dyDescent="0.35">
      <c r="B4" s="20" t="s">
        <v>772</v>
      </c>
      <c r="C4" s="21" t="s">
        <v>773</v>
      </c>
    </row>
    <row r="5" spans="2:3" x14ac:dyDescent="0.35">
      <c r="C5" s="21" t="s">
        <v>774</v>
      </c>
    </row>
    <row r="6" spans="2:3" x14ac:dyDescent="0.35">
      <c r="C6" s="18" t="s">
        <v>775</v>
      </c>
    </row>
    <row r="7" spans="2:3" ht="10" customHeight="1" x14ac:dyDescent="0.35"/>
    <row r="8" spans="2:3" ht="232" x14ac:dyDescent="0.35">
      <c r="B8" s="22" t="s">
        <v>776</v>
      </c>
      <c r="C8" s="21" t="s">
        <v>777</v>
      </c>
    </row>
    <row r="9" spans="2:3" ht="10" customHeight="1" x14ac:dyDescent="0.35"/>
    <row r="10" spans="2:3" ht="35" customHeight="1" x14ac:dyDescent="0.35">
      <c r="B10" s="22" t="s">
        <v>778</v>
      </c>
      <c r="C10" s="21" t="s">
        <v>779</v>
      </c>
    </row>
    <row r="11" spans="2:3" ht="75" customHeight="1" x14ac:dyDescent="0.35">
      <c r="B11" s="18" t="s">
        <v>21</v>
      </c>
      <c r="C11" s="21" t="s">
        <v>780</v>
      </c>
    </row>
    <row r="12" spans="2:3" ht="47" customHeight="1" x14ac:dyDescent="0.35">
      <c r="B12" s="18" t="s">
        <v>21</v>
      </c>
      <c r="C12" s="21" t="s">
        <v>781</v>
      </c>
    </row>
    <row r="13" spans="2:3" ht="35" customHeight="1" x14ac:dyDescent="0.35">
      <c r="B13" s="18" t="s">
        <v>21</v>
      </c>
      <c r="C13" s="21" t="s">
        <v>782</v>
      </c>
    </row>
    <row r="14" spans="2:3" ht="32" customHeight="1" x14ac:dyDescent="0.35">
      <c r="B14" s="18" t="s">
        <v>21</v>
      </c>
      <c r="C14" s="21" t="s">
        <v>783</v>
      </c>
    </row>
    <row r="15" spans="2:3" ht="30" customHeight="1" x14ac:dyDescent="0.35">
      <c r="B15" s="18" t="s">
        <v>21</v>
      </c>
      <c r="C15" s="21" t="s">
        <v>784</v>
      </c>
    </row>
    <row r="16" spans="2:3" ht="10" customHeight="1" x14ac:dyDescent="0.35"/>
    <row r="17" spans="1:3" ht="145" customHeight="1" x14ac:dyDescent="0.35">
      <c r="B17" s="22" t="s">
        <v>785</v>
      </c>
      <c r="C17" s="21" t="s">
        <v>786</v>
      </c>
    </row>
    <row r="18" spans="1:3" ht="10" customHeight="1" x14ac:dyDescent="0.35"/>
    <row r="19" spans="1:3" ht="3" customHeight="1" x14ac:dyDescent="0.35">
      <c r="B19" s="23"/>
      <c r="C19" s="23"/>
    </row>
    <row r="20" spans="1:3" ht="12" customHeight="1" x14ac:dyDescent="0.35"/>
    <row r="21" spans="1:3" ht="35" customHeight="1" x14ac:dyDescent="0.35">
      <c r="A21" s="25"/>
      <c r="B21" s="26" t="s">
        <v>787</v>
      </c>
      <c r="C21" s="27" t="s">
        <v>788</v>
      </c>
    </row>
    <row r="22" spans="1:3" ht="18" customHeight="1" x14ac:dyDescent="0.35">
      <c r="A22" s="25"/>
      <c r="B22" s="25" t="s">
        <v>21</v>
      </c>
      <c r="C22" s="27" t="s">
        <v>789</v>
      </c>
    </row>
    <row r="23" spans="1:3" ht="18" customHeight="1" x14ac:dyDescent="0.35">
      <c r="A23" s="25"/>
      <c r="B23" s="25" t="s">
        <v>21</v>
      </c>
      <c r="C23" s="27" t="s">
        <v>790</v>
      </c>
    </row>
    <row r="24" spans="1:3" ht="18" customHeight="1" x14ac:dyDescent="0.35">
      <c r="A24" s="25"/>
      <c r="B24" s="25" t="s">
        <v>21</v>
      </c>
      <c r="C24" s="27" t="s">
        <v>791</v>
      </c>
    </row>
    <row r="25" spans="1:3" ht="18" customHeight="1" x14ac:dyDescent="0.35">
      <c r="A25" s="25"/>
      <c r="B25" s="25" t="s">
        <v>21</v>
      </c>
      <c r="C25" s="27" t="s">
        <v>792</v>
      </c>
    </row>
    <row r="26" spans="1:3" ht="18" customHeight="1" x14ac:dyDescent="0.35">
      <c r="A26" s="25"/>
      <c r="B26" s="25" t="s">
        <v>21</v>
      </c>
      <c r="C26" s="27" t="s">
        <v>793</v>
      </c>
    </row>
    <row r="27" spans="1:3" ht="18" customHeight="1" x14ac:dyDescent="0.35">
      <c r="A27" s="25"/>
      <c r="B27" s="25" t="s">
        <v>21</v>
      </c>
      <c r="C27" s="27" t="s">
        <v>794</v>
      </c>
    </row>
    <row r="28" spans="1:3" ht="18" customHeight="1" x14ac:dyDescent="0.35">
      <c r="A28" s="25"/>
      <c r="B28" s="25" t="s">
        <v>21</v>
      </c>
      <c r="C28" s="27" t="s">
        <v>795</v>
      </c>
    </row>
    <row r="29" spans="1:3" ht="18" customHeight="1" x14ac:dyDescent="0.35">
      <c r="A29" s="25"/>
      <c r="B29" s="25" t="s">
        <v>21</v>
      </c>
      <c r="C29" s="27" t="s">
        <v>796</v>
      </c>
    </row>
    <row r="30" spans="1:3" ht="44" customHeight="1" x14ac:dyDescent="0.35">
      <c r="A30" s="25"/>
      <c r="B30" s="25" t="s">
        <v>21</v>
      </c>
      <c r="C30" s="28" t="s">
        <v>797</v>
      </c>
    </row>
    <row r="31" spans="1:3" ht="10" customHeight="1" x14ac:dyDescent="0.35"/>
    <row r="32" spans="1:3" ht="3" customHeight="1" x14ac:dyDescent="0.35">
      <c r="B32" s="23"/>
      <c r="C32" s="23"/>
    </row>
    <row r="33" spans="2:3" ht="12" customHeight="1" x14ac:dyDescent="0.35"/>
    <row r="34" spans="2:3" ht="24" customHeight="1" x14ac:dyDescent="0.35">
      <c r="B34" s="29" t="s">
        <v>798</v>
      </c>
      <c r="C34" s="30" t="s">
        <v>799</v>
      </c>
    </row>
    <row r="35" spans="2:3" ht="18.5" x14ac:dyDescent="0.35">
      <c r="B35" s="29" t="s">
        <v>800</v>
      </c>
      <c r="C35" s="31" t="s">
        <v>801</v>
      </c>
    </row>
    <row r="36" spans="2:3" ht="27" customHeight="1" x14ac:dyDescent="0.35">
      <c r="B36" s="32" t="s">
        <v>802</v>
      </c>
      <c r="C36" s="24" t="s">
        <v>803</v>
      </c>
    </row>
    <row r="37" spans="2:3" x14ac:dyDescent="0.35">
      <c r="B37" s="29" t="s">
        <v>804</v>
      </c>
      <c r="C37" s="33" t="s">
        <v>805</v>
      </c>
    </row>
    <row r="38" spans="2:3" ht="10" customHeight="1" x14ac:dyDescent="0.35"/>
    <row r="39" spans="2:3" ht="130.5" x14ac:dyDescent="0.35">
      <c r="B39" s="29" t="s">
        <v>806</v>
      </c>
      <c r="C39" s="34" t="s">
        <v>807</v>
      </c>
    </row>
    <row r="40" spans="2:3" ht="10" customHeight="1" x14ac:dyDescent="0.35"/>
    <row r="41" spans="2:3" ht="20" customHeight="1" x14ac:dyDescent="0.35">
      <c r="B41" s="29" t="s">
        <v>808</v>
      </c>
      <c r="C41" s="35" t="s">
        <v>17</v>
      </c>
    </row>
    <row r="42" spans="2:3" ht="29" x14ac:dyDescent="0.35">
      <c r="C42" s="21" t="s">
        <v>809</v>
      </c>
    </row>
    <row r="43" spans="2:3" ht="10" customHeight="1" x14ac:dyDescent="0.35"/>
    <row r="44" spans="2:3" ht="20" customHeight="1" x14ac:dyDescent="0.35">
      <c r="C44" s="35" t="s">
        <v>225</v>
      </c>
    </row>
    <row r="45" spans="2:3" ht="29" x14ac:dyDescent="0.35">
      <c r="C45" s="21" t="s">
        <v>810</v>
      </c>
    </row>
    <row r="46" spans="2:3" ht="10" customHeight="1" x14ac:dyDescent="0.35"/>
    <row r="47" spans="2:3" ht="20" customHeight="1" x14ac:dyDescent="0.35">
      <c r="C47" s="35" t="s">
        <v>337</v>
      </c>
    </row>
    <row r="48" spans="2:3" ht="29" x14ac:dyDescent="0.35">
      <c r="C48" s="21" t="s">
        <v>811</v>
      </c>
    </row>
    <row r="49" spans="2:3" ht="10" customHeight="1" x14ac:dyDescent="0.35"/>
    <row r="50" spans="2:3" ht="43.5" x14ac:dyDescent="0.35">
      <c r="B50" s="29" t="s">
        <v>812</v>
      </c>
      <c r="C50" s="21" t="s">
        <v>813</v>
      </c>
    </row>
    <row r="51" spans="2:3" ht="10" customHeight="1" x14ac:dyDescent="0.35"/>
    <row r="52" spans="2:3" ht="15.5" x14ac:dyDescent="0.35">
      <c r="C52" s="36" t="s">
        <v>93</v>
      </c>
    </row>
    <row r="53" spans="2:3" ht="29" x14ac:dyDescent="0.35">
      <c r="C53" s="21" t="s">
        <v>814</v>
      </c>
    </row>
    <row r="54" spans="2:3" ht="10" customHeight="1" x14ac:dyDescent="0.35"/>
    <row r="55" spans="2:3" ht="15.5" x14ac:dyDescent="0.35">
      <c r="C55" s="37" t="s">
        <v>16</v>
      </c>
    </row>
    <row r="56" spans="2:3" ht="29" x14ac:dyDescent="0.35">
      <c r="C56" s="21" t="s">
        <v>815</v>
      </c>
    </row>
    <row r="57" spans="2:3" ht="10" customHeight="1" x14ac:dyDescent="0.35"/>
    <row r="58" spans="2:3" ht="15.5" x14ac:dyDescent="0.35">
      <c r="C58" s="38" t="s">
        <v>241</v>
      </c>
    </row>
    <row r="59" spans="2:3" ht="29" x14ac:dyDescent="0.35">
      <c r="C59" s="21" t="s">
        <v>816</v>
      </c>
    </row>
    <row r="60" spans="2:3" ht="10" customHeight="1" x14ac:dyDescent="0.35"/>
    <row r="61" spans="2:3" ht="3" customHeight="1" x14ac:dyDescent="0.35">
      <c r="B61" s="23"/>
      <c r="C61" s="23"/>
    </row>
    <row r="62" spans="2:3" ht="12" customHeight="1" x14ac:dyDescent="0.35"/>
    <row r="63" spans="2:3" ht="130.5" x14ac:dyDescent="0.35">
      <c r="B63" s="20" t="s">
        <v>817</v>
      </c>
      <c r="C63" s="21" t="s">
        <v>818</v>
      </c>
    </row>
    <row r="64" spans="2:3" ht="6" customHeight="1" x14ac:dyDescent="0.35"/>
    <row r="65" spans="2:3" ht="217.5" x14ac:dyDescent="0.35">
      <c r="C65" s="21" t="s">
        <v>819</v>
      </c>
    </row>
    <row r="66" spans="2:3" ht="6" customHeight="1" x14ac:dyDescent="0.35"/>
    <row r="67" spans="2:3" ht="43.5" x14ac:dyDescent="0.35">
      <c r="C67" s="21" t="s">
        <v>820</v>
      </c>
    </row>
    <row r="68" spans="2:3" ht="10" customHeight="1" x14ac:dyDescent="0.35"/>
    <row r="69" spans="2:3" ht="3" customHeight="1" x14ac:dyDescent="0.35">
      <c r="B69" s="23"/>
      <c r="C69" s="23"/>
    </row>
    <row r="70" spans="2:3" ht="12" customHeight="1" x14ac:dyDescent="0.35"/>
    <row r="71" spans="2:3" ht="145" x14ac:dyDescent="0.35">
      <c r="B71" s="20" t="s">
        <v>821</v>
      </c>
      <c r="C71" s="21" t="s">
        <v>822</v>
      </c>
    </row>
    <row r="72" spans="2:3" ht="6" customHeight="1" x14ac:dyDescent="0.35"/>
    <row r="73" spans="2:3" ht="203" x14ac:dyDescent="0.35">
      <c r="C73" s="21" t="s">
        <v>823</v>
      </c>
    </row>
    <row r="74" spans="2:3" ht="6" customHeight="1" x14ac:dyDescent="0.35"/>
    <row r="75" spans="2:3" ht="43.5" x14ac:dyDescent="0.35">
      <c r="C75" s="21" t="s">
        <v>824</v>
      </c>
    </row>
    <row r="76" spans="2:3" ht="10" customHeight="1" x14ac:dyDescent="0.35"/>
    <row r="77" spans="2:3" ht="3" customHeight="1" x14ac:dyDescent="0.35">
      <c r="B77" s="23"/>
      <c r="C77" s="23"/>
    </row>
    <row r="78" spans="2:3" ht="12" customHeight="1" x14ac:dyDescent="0.35"/>
    <row r="79" spans="2:3" ht="101.5" x14ac:dyDescent="0.35">
      <c r="B79" s="20" t="s">
        <v>825</v>
      </c>
      <c r="C79" s="21" t="s">
        <v>826</v>
      </c>
    </row>
    <row r="80" spans="2:3" ht="6" customHeight="1" x14ac:dyDescent="0.35"/>
    <row r="81" spans="2:3" ht="145" x14ac:dyDescent="0.35">
      <c r="C81" s="21" t="s">
        <v>827</v>
      </c>
    </row>
    <row r="82" spans="2:3" ht="6" customHeight="1" x14ac:dyDescent="0.35"/>
    <row r="83" spans="2:3" ht="43.5" x14ac:dyDescent="0.35">
      <c r="C83" s="21" t="s">
        <v>828</v>
      </c>
    </row>
    <row r="84" spans="2:3" ht="10" customHeight="1" x14ac:dyDescent="0.35"/>
    <row r="85" spans="2:3" ht="3" customHeight="1" x14ac:dyDescent="0.35">
      <c r="B85" s="23"/>
      <c r="C85" s="23"/>
    </row>
    <row r="86" spans="2:3" ht="12" customHeight="1" x14ac:dyDescent="0.35"/>
    <row r="87" spans="2:3" ht="26" customHeight="1" x14ac:dyDescent="0.35">
      <c r="B87" s="39" t="s">
        <v>829</v>
      </c>
    </row>
    <row r="88" spans="2:3" ht="8" customHeight="1" x14ac:dyDescent="0.35"/>
    <row r="89" spans="2:3" ht="20" customHeight="1" x14ac:dyDescent="0.35">
      <c r="B89" s="29" t="s">
        <v>830</v>
      </c>
      <c r="C89" s="40" t="s">
        <v>831</v>
      </c>
    </row>
    <row r="90" spans="2:3" ht="116" x14ac:dyDescent="0.35">
      <c r="C90" s="21" t="s">
        <v>832</v>
      </c>
    </row>
    <row r="91" spans="2:3" ht="10" customHeight="1" x14ac:dyDescent="0.35"/>
    <row r="92" spans="2:3" ht="20" customHeight="1" x14ac:dyDescent="0.35">
      <c r="B92" s="29" t="s">
        <v>833</v>
      </c>
      <c r="C92" s="40" t="s">
        <v>834</v>
      </c>
    </row>
    <row r="93" spans="2:3" ht="116" x14ac:dyDescent="0.35">
      <c r="C93" s="21" t="s">
        <v>835</v>
      </c>
    </row>
    <row r="94" spans="2:3" ht="10" customHeight="1" x14ac:dyDescent="0.35"/>
    <row r="95" spans="2:3" ht="20" customHeight="1" x14ac:dyDescent="0.35">
      <c r="B95" s="29" t="s">
        <v>836</v>
      </c>
      <c r="C95" s="40" t="s">
        <v>837</v>
      </c>
    </row>
    <row r="96" spans="2:3" ht="130.5" x14ac:dyDescent="0.35">
      <c r="C96" s="21" t="s">
        <v>838</v>
      </c>
    </row>
    <row r="97" spans="2:3" ht="10" customHeight="1" x14ac:dyDescent="0.35"/>
    <row r="98" spans="2:3" ht="20" customHeight="1" x14ac:dyDescent="0.35">
      <c r="B98" s="29" t="s">
        <v>839</v>
      </c>
      <c r="C98" s="40" t="s">
        <v>840</v>
      </c>
    </row>
    <row r="99" spans="2:3" ht="130.5" x14ac:dyDescent="0.35">
      <c r="C99" s="21" t="s">
        <v>841</v>
      </c>
    </row>
    <row r="100" spans="2:3" ht="10" customHeight="1" x14ac:dyDescent="0.35"/>
    <row r="101" spans="2:3" ht="20" customHeight="1" x14ac:dyDescent="0.35">
      <c r="B101" s="29" t="s">
        <v>842</v>
      </c>
      <c r="C101" s="40" t="s">
        <v>843</v>
      </c>
    </row>
    <row r="102" spans="2:3" ht="116" x14ac:dyDescent="0.35">
      <c r="C102" s="21" t="s">
        <v>844</v>
      </c>
    </row>
    <row r="103" spans="2:3" ht="10" customHeight="1" x14ac:dyDescent="0.35"/>
    <row r="104" spans="2:3" ht="20" customHeight="1" x14ac:dyDescent="0.35">
      <c r="B104" s="29" t="s">
        <v>845</v>
      </c>
      <c r="C104" s="40" t="s">
        <v>846</v>
      </c>
    </row>
    <row r="105" spans="2:3" ht="116" x14ac:dyDescent="0.35">
      <c r="C105" s="21" t="s">
        <v>847</v>
      </c>
    </row>
    <row r="106" spans="2:3" ht="10" customHeight="1" x14ac:dyDescent="0.35"/>
    <row r="107" spans="2:3" ht="20" customHeight="1" x14ac:dyDescent="0.35">
      <c r="B107" s="29" t="s">
        <v>848</v>
      </c>
      <c r="C107" s="40" t="s">
        <v>849</v>
      </c>
    </row>
    <row r="108" spans="2:3" ht="130.5" x14ac:dyDescent="0.35">
      <c r="C108" s="21" t="s">
        <v>850</v>
      </c>
    </row>
    <row r="109" spans="2:3" ht="10" customHeight="1" x14ac:dyDescent="0.35"/>
    <row r="110" spans="2:3" ht="20" customHeight="1" x14ac:dyDescent="0.35">
      <c r="B110" s="29" t="s">
        <v>851</v>
      </c>
      <c r="C110" s="40" t="s">
        <v>852</v>
      </c>
    </row>
    <row r="111" spans="2:3" ht="203" x14ac:dyDescent="0.35">
      <c r="C111" s="21" t="s">
        <v>853</v>
      </c>
    </row>
    <row r="112" spans="2:3" ht="10" customHeight="1" x14ac:dyDescent="0.35"/>
    <row r="115" spans="2:3" ht="32" customHeight="1" x14ac:dyDescent="0.35">
      <c r="B115" s="291" t="s">
        <v>770</v>
      </c>
      <c r="C115" s="291"/>
    </row>
  </sheetData>
  <sheetProtection password="90EA" sheet="1"/>
  <mergeCells count="1">
    <mergeCell ref="B115:C115"/>
  </mergeCells>
  <hyperlinks>
    <hyperlink ref="C5" r:id="rId1" xr:uid="{00000000-0004-0000-0000-000000000000}"/>
    <hyperlink ref="C6" r:id="rId2" xr:uid="{00000000-0004-0000-0000-000001000000}"/>
    <hyperlink ref="C37" r:id="rId3" xr:uid="{00000000-0004-0000-0000-000002000000}"/>
    <hyperlink ref="B115"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3537</v>
      </c>
      <c r="B1" s="233" t="s">
        <v>0</v>
      </c>
      <c r="C1" s="233" t="s">
        <v>1014</v>
      </c>
      <c r="D1" s="233" t="s">
        <v>1015</v>
      </c>
      <c r="E1" s="233" t="s">
        <v>1020</v>
      </c>
      <c r="F1" s="233" t="s">
        <v>1021</v>
      </c>
      <c r="G1" s="233" t="s">
        <v>1022</v>
      </c>
      <c r="H1" s="233" t="s">
        <v>1023</v>
      </c>
      <c r="I1" s="233" t="s">
        <v>1024</v>
      </c>
      <c r="J1" s="233" t="s">
        <v>1025</v>
      </c>
      <c r="K1" s="233" t="s">
        <v>1026</v>
      </c>
      <c r="L1" s="233" t="s">
        <v>1027</v>
      </c>
      <c r="M1" s="233" t="s">
        <v>1028</v>
      </c>
      <c r="N1" s="233" t="s">
        <v>1029</v>
      </c>
      <c r="O1" s="233" t="s">
        <v>1030</v>
      </c>
      <c r="P1" s="233" t="s">
        <v>1031</v>
      </c>
      <c r="Q1" s="233" t="s">
        <v>1032</v>
      </c>
      <c r="R1" s="233" t="s">
        <v>1033</v>
      </c>
      <c r="S1" s="233" t="s">
        <v>1034</v>
      </c>
      <c r="T1" s="233" t="s">
        <v>1035</v>
      </c>
      <c r="U1" s="233" t="s">
        <v>1036</v>
      </c>
      <c r="V1" s="233" t="s">
        <v>1037</v>
      </c>
      <c r="W1" s="233" t="s">
        <v>1038</v>
      </c>
      <c r="X1" s="233" t="s">
        <v>1039</v>
      </c>
      <c r="Y1" s="233" t="s">
        <v>1040</v>
      </c>
      <c r="Z1" s="233" t="s">
        <v>1041</v>
      </c>
      <c r="AA1" s="233" t="s">
        <v>1042</v>
      </c>
      <c r="AB1" s="233" t="s">
        <v>1043</v>
      </c>
      <c r="AC1" s="233" t="s">
        <v>1044</v>
      </c>
      <c r="AD1" s="233" t="s">
        <v>1045</v>
      </c>
      <c r="AE1" s="233" t="s">
        <v>1046</v>
      </c>
      <c r="AF1" s="233" t="s">
        <v>1047</v>
      </c>
      <c r="AG1" s="233" t="s">
        <v>1048</v>
      </c>
      <c r="AH1" s="233" t="s">
        <v>1049</v>
      </c>
      <c r="AI1" s="233" t="s">
        <v>1050</v>
      </c>
      <c r="AJ1" s="233" t="s">
        <v>1051</v>
      </c>
      <c r="AK1" s="233" t="s">
        <v>1052</v>
      </c>
      <c r="AL1" s="233" t="s">
        <v>1053</v>
      </c>
      <c r="AM1" s="233" t="s">
        <v>1054</v>
      </c>
      <c r="AN1" s="233" t="s">
        <v>1055</v>
      </c>
      <c r="AO1" s="233" t="s">
        <v>1056</v>
      </c>
      <c r="AP1" s="233" t="s">
        <v>1057</v>
      </c>
      <c r="AQ1" s="233" t="s">
        <v>1058</v>
      </c>
      <c r="AR1" s="233" t="s">
        <v>1059</v>
      </c>
      <c r="AS1" s="234" t="s">
        <v>1060</v>
      </c>
    </row>
    <row r="2" spans="1:45" ht="60" customHeight="1" outlineLevel="1" x14ac:dyDescent="0.35">
      <c r="A2" s="226" t="s">
        <v>3538</v>
      </c>
      <c r="B2" s="213" t="s">
        <v>3539</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3538</v>
      </c>
      <c r="B3" s="214" t="s">
        <v>3540</v>
      </c>
      <c r="C3" s="215" t="s">
        <v>3541</v>
      </c>
      <c r="D3" s="217" t="s">
        <v>3542</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3538</v>
      </c>
      <c r="B4" s="214" t="s">
        <v>3543</v>
      </c>
      <c r="C4" s="215" t="s">
        <v>3544</v>
      </c>
      <c r="D4" s="217" t="s">
        <v>3545</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3538</v>
      </c>
      <c r="B5" s="214" t="s">
        <v>3546</v>
      </c>
      <c r="C5" s="215" t="s">
        <v>3547</v>
      </c>
      <c r="D5" s="217" t="s">
        <v>3548</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3538</v>
      </c>
      <c r="B6" s="214" t="s">
        <v>3549</v>
      </c>
      <c r="C6" s="215" t="s">
        <v>3550</v>
      </c>
      <c r="D6" s="217" t="s">
        <v>3551</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3538</v>
      </c>
      <c r="B7" s="214" t="s">
        <v>3552</v>
      </c>
      <c r="C7" s="215" t="s">
        <v>3553</v>
      </c>
      <c r="D7" s="217" t="s">
        <v>3554</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3538</v>
      </c>
      <c r="B8" s="214" t="s">
        <v>3555</v>
      </c>
      <c r="C8" s="215" t="s">
        <v>3556</v>
      </c>
      <c r="D8" s="217" t="s">
        <v>3557</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3538</v>
      </c>
      <c r="B9" s="214" t="s">
        <v>3558</v>
      </c>
      <c r="C9" s="215" t="s">
        <v>3559</v>
      </c>
      <c r="D9" s="217" t="s">
        <v>3560</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3538</v>
      </c>
      <c r="B10" s="214" t="s">
        <v>3561</v>
      </c>
      <c r="C10" s="215" t="s">
        <v>3562</v>
      </c>
      <c r="D10" s="217" t="s">
        <v>3563</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3538</v>
      </c>
      <c r="B11" s="214" t="s">
        <v>3564</v>
      </c>
      <c r="C11" s="215" t="s">
        <v>3565</v>
      </c>
      <c r="D11" s="217" t="s">
        <v>3566</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3538</v>
      </c>
      <c r="B12" s="214" t="s">
        <v>3567</v>
      </c>
      <c r="C12" s="215" t="s">
        <v>3568</v>
      </c>
      <c r="D12" s="217" t="s">
        <v>3569</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3538</v>
      </c>
      <c r="B13" s="214" t="s">
        <v>3570</v>
      </c>
      <c r="C13" s="215" t="s">
        <v>3571</v>
      </c>
      <c r="D13" s="217" t="s">
        <v>3572</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3538</v>
      </c>
      <c r="B14" s="214" t="s">
        <v>3573</v>
      </c>
      <c r="C14" s="215" t="s">
        <v>3574</v>
      </c>
      <c r="D14" s="217" t="s">
        <v>3575</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3538</v>
      </c>
      <c r="B15" s="214" t="s">
        <v>3576</v>
      </c>
      <c r="C15" s="215" t="s">
        <v>3577</v>
      </c>
      <c r="D15" s="217" t="s">
        <v>3578</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3538</v>
      </c>
      <c r="B16" s="214" t="s">
        <v>3579</v>
      </c>
      <c r="C16" s="215" t="s">
        <v>3580</v>
      </c>
      <c r="D16" s="217" t="s">
        <v>3581</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3538</v>
      </c>
      <c r="B17" s="214" t="s">
        <v>3582</v>
      </c>
      <c r="C17" s="215" t="s">
        <v>3583</v>
      </c>
      <c r="D17" s="217" t="s">
        <v>3584</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3538</v>
      </c>
      <c r="B18" s="214" t="s">
        <v>3585</v>
      </c>
      <c r="C18" s="215" t="s">
        <v>3586</v>
      </c>
      <c r="D18" s="217" t="s">
        <v>3587</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3538</v>
      </c>
      <c r="B19" s="214" t="s">
        <v>3588</v>
      </c>
      <c r="C19" s="215" t="s">
        <v>3589</v>
      </c>
      <c r="D19" s="217" t="s">
        <v>3590</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3538</v>
      </c>
      <c r="B20" s="214" t="s">
        <v>3591</v>
      </c>
      <c r="C20" s="215" t="s">
        <v>3592</v>
      </c>
      <c r="D20" s="217" t="s">
        <v>3593</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3538</v>
      </c>
      <c r="B21" s="214" t="s">
        <v>3594</v>
      </c>
      <c r="C21" s="215" t="s">
        <v>3595</v>
      </c>
      <c r="D21" s="217" t="s">
        <v>3596</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3538</v>
      </c>
      <c r="B22" s="214" t="s">
        <v>3597</v>
      </c>
      <c r="C22" s="215" t="s">
        <v>3598</v>
      </c>
      <c r="D22" s="217" t="s">
        <v>3599</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3538</v>
      </c>
      <c r="B23" s="214" t="s">
        <v>3600</v>
      </c>
      <c r="C23" s="215" t="s">
        <v>3601</v>
      </c>
      <c r="D23" s="217" t="s">
        <v>3602</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3538</v>
      </c>
      <c r="B24" s="214" t="s">
        <v>3603</v>
      </c>
      <c r="C24" s="215" t="s">
        <v>3604</v>
      </c>
      <c r="D24" s="217" t="s">
        <v>3605</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3538</v>
      </c>
      <c r="B25" s="214" t="s">
        <v>3606</v>
      </c>
      <c r="C25" s="215" t="s">
        <v>3607</v>
      </c>
      <c r="D25" s="217" t="s">
        <v>3608</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3538</v>
      </c>
      <c r="B26" s="214" t="s">
        <v>3609</v>
      </c>
      <c r="C26" s="215" t="s">
        <v>3610</v>
      </c>
      <c r="D26" s="217" t="s">
        <v>3611</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3538</v>
      </c>
      <c r="B27" s="214" t="s">
        <v>3612</v>
      </c>
      <c r="C27" s="215" t="s">
        <v>3613</v>
      </c>
      <c r="D27" s="217" t="s">
        <v>3614</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3538</v>
      </c>
      <c r="B28" s="214" t="s">
        <v>3615</v>
      </c>
      <c r="C28" s="215" t="s">
        <v>3616</v>
      </c>
      <c r="D28" s="217" t="s">
        <v>3617</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3538</v>
      </c>
      <c r="B29" s="214" t="s">
        <v>3618</v>
      </c>
      <c r="C29" s="215" t="s">
        <v>3619</v>
      </c>
      <c r="D29" s="217" t="s">
        <v>3620</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3538</v>
      </c>
      <c r="B30" s="214" t="s">
        <v>3621</v>
      </c>
      <c r="C30" s="215" t="s">
        <v>3622</v>
      </c>
      <c r="D30" s="217" t="s">
        <v>3623</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3538</v>
      </c>
      <c r="B31" s="214" t="s">
        <v>3624</v>
      </c>
      <c r="C31" s="215" t="s">
        <v>3625</v>
      </c>
      <c r="D31" s="217" t="s">
        <v>3626</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3538</v>
      </c>
      <c r="B32" s="214" t="s">
        <v>3627</v>
      </c>
      <c r="C32" s="215" t="s">
        <v>3628</v>
      </c>
      <c r="D32" s="217" t="s">
        <v>3629</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3538</v>
      </c>
      <c r="B33" s="214" t="s">
        <v>3630</v>
      </c>
      <c r="C33" s="215" t="s">
        <v>3631</v>
      </c>
      <c r="D33" s="217" t="s">
        <v>3632</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3538</v>
      </c>
      <c r="B34" s="214" t="s">
        <v>3633</v>
      </c>
      <c r="C34" s="215" t="s">
        <v>3634</v>
      </c>
      <c r="D34" s="217" t="s">
        <v>3635</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3538</v>
      </c>
      <c r="B35" s="214" t="s">
        <v>3636</v>
      </c>
      <c r="C35" s="215" t="s">
        <v>3637</v>
      </c>
      <c r="D35" s="217" t="s">
        <v>3638</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3538</v>
      </c>
      <c r="B36" s="214" t="s">
        <v>3639</v>
      </c>
      <c r="C36" s="215" t="s">
        <v>3640</v>
      </c>
      <c r="D36" s="217" t="s">
        <v>3641</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3538</v>
      </c>
      <c r="B37" s="214" t="s">
        <v>3642</v>
      </c>
      <c r="C37" s="215" t="s">
        <v>3643</v>
      </c>
      <c r="D37" s="217" t="s">
        <v>3644</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3538</v>
      </c>
      <c r="B38" s="214" t="s">
        <v>3645</v>
      </c>
      <c r="C38" s="215" t="s">
        <v>3646</v>
      </c>
      <c r="D38" s="217" t="s">
        <v>3647</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3538</v>
      </c>
      <c r="B39" s="214" t="s">
        <v>3648</v>
      </c>
      <c r="C39" s="215" t="s">
        <v>3649</v>
      </c>
      <c r="D39" s="217" t="s">
        <v>3650</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3651</v>
      </c>
      <c r="B40" s="213" t="s">
        <v>3652</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3651</v>
      </c>
      <c r="B41" s="214" t="s">
        <v>3653</v>
      </c>
      <c r="C41" s="215" t="s">
        <v>3654</v>
      </c>
      <c r="D41" s="217" t="s">
        <v>3655</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3651</v>
      </c>
      <c r="B42" s="214" t="s">
        <v>3656</v>
      </c>
      <c r="C42" s="215" t="s">
        <v>3657</v>
      </c>
      <c r="D42" s="217" t="s">
        <v>3658</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3651</v>
      </c>
      <c r="B43" s="214" t="s">
        <v>3659</v>
      </c>
      <c r="C43" s="215" t="s">
        <v>3660</v>
      </c>
      <c r="D43" s="217" t="s">
        <v>3661</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3651</v>
      </c>
      <c r="B44" s="214" t="s">
        <v>3662</v>
      </c>
      <c r="C44" s="215" t="s">
        <v>3663</v>
      </c>
      <c r="D44" s="217" t="s">
        <v>3664</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3651</v>
      </c>
      <c r="B45" s="214" t="s">
        <v>3665</v>
      </c>
      <c r="C45" s="215" t="s">
        <v>3666</v>
      </c>
      <c r="D45" s="217" t="s">
        <v>3667</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3651</v>
      </c>
      <c r="B46" s="214" t="s">
        <v>3668</v>
      </c>
      <c r="C46" s="215" t="s">
        <v>3669</v>
      </c>
      <c r="D46" s="217" t="s">
        <v>3670</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3651</v>
      </c>
      <c r="B47" s="214" t="s">
        <v>3671</v>
      </c>
      <c r="C47" s="215" t="s">
        <v>3672</v>
      </c>
      <c r="D47" s="217" t="s">
        <v>3673</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3651</v>
      </c>
      <c r="B48" s="214" t="s">
        <v>3674</v>
      </c>
      <c r="C48" s="215" t="s">
        <v>3675</v>
      </c>
      <c r="D48" s="217" t="s">
        <v>3676</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3677</v>
      </c>
      <c r="B49" s="213" t="s">
        <v>3678</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3677</v>
      </c>
      <c r="B50" s="214" t="s">
        <v>3679</v>
      </c>
      <c r="C50" s="215" t="s">
        <v>3680</v>
      </c>
      <c r="D50" s="217" t="s">
        <v>3681</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3677</v>
      </c>
      <c r="B51" s="214" t="s">
        <v>3682</v>
      </c>
      <c r="C51" s="215" t="s">
        <v>3683</v>
      </c>
      <c r="D51" s="217" t="s">
        <v>3684</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3677</v>
      </c>
      <c r="B52" s="214" t="s">
        <v>3685</v>
      </c>
      <c r="C52" s="215" t="s">
        <v>3686</v>
      </c>
      <c r="D52" s="217" t="s">
        <v>3687</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3677</v>
      </c>
      <c r="B53" s="214" t="s">
        <v>3688</v>
      </c>
      <c r="C53" s="215" t="s">
        <v>3689</v>
      </c>
      <c r="D53" s="217" t="s">
        <v>3690</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3677</v>
      </c>
      <c r="B54" s="214" t="s">
        <v>3691</v>
      </c>
      <c r="C54" s="215" t="s">
        <v>3692</v>
      </c>
      <c r="D54" s="217" t="s">
        <v>3693</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3677</v>
      </c>
      <c r="B55" s="214" t="s">
        <v>3694</v>
      </c>
      <c r="C55" s="215" t="s">
        <v>3695</v>
      </c>
      <c r="D55" s="217" t="s">
        <v>3696</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3677</v>
      </c>
      <c r="B56" s="214" t="s">
        <v>3697</v>
      </c>
      <c r="C56" s="215" t="s">
        <v>3698</v>
      </c>
      <c r="D56" s="217" t="s">
        <v>3699</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3677</v>
      </c>
      <c r="B57" s="214" t="s">
        <v>3700</v>
      </c>
      <c r="C57" s="215" t="s">
        <v>3701</v>
      </c>
      <c r="D57" s="217" t="s">
        <v>3702</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3677</v>
      </c>
      <c r="B58" s="214" t="s">
        <v>3703</v>
      </c>
      <c r="C58" s="215" t="s">
        <v>3704</v>
      </c>
      <c r="D58" s="217" t="s">
        <v>3705</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3677</v>
      </c>
      <c r="B59" s="214" t="s">
        <v>3706</v>
      </c>
      <c r="C59" s="215" t="s">
        <v>3707</v>
      </c>
      <c r="D59" s="217" t="s">
        <v>3708</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3677</v>
      </c>
      <c r="B60" s="214" t="s">
        <v>3709</v>
      </c>
      <c r="C60" s="215" t="s">
        <v>3710</v>
      </c>
      <c r="D60" s="217" t="s">
        <v>3711</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3677</v>
      </c>
      <c r="B61" s="214" t="s">
        <v>3712</v>
      </c>
      <c r="C61" s="215" t="s">
        <v>3713</v>
      </c>
      <c r="D61" s="217" t="s">
        <v>3714</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3677</v>
      </c>
      <c r="B62" s="214" t="s">
        <v>3715</v>
      </c>
      <c r="C62" s="215" t="s">
        <v>3716</v>
      </c>
      <c r="D62" s="217" t="s">
        <v>3717</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3677</v>
      </c>
      <c r="B63" s="214" t="s">
        <v>3718</v>
      </c>
      <c r="C63" s="215" t="s">
        <v>3719</v>
      </c>
      <c r="D63" s="217" t="s">
        <v>3720</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3721</v>
      </c>
      <c r="B64" s="213" t="s">
        <v>3722</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3721</v>
      </c>
      <c r="B65" s="214" t="s">
        <v>3723</v>
      </c>
      <c r="C65" s="215" t="s">
        <v>3724</v>
      </c>
      <c r="D65" s="217" t="s">
        <v>3725</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3721</v>
      </c>
      <c r="B66" s="214" t="s">
        <v>3726</v>
      </c>
      <c r="C66" s="215" t="s">
        <v>3727</v>
      </c>
      <c r="D66" s="217" t="s">
        <v>3728</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3721</v>
      </c>
      <c r="B67" s="214" t="s">
        <v>3729</v>
      </c>
      <c r="C67" s="215" t="s">
        <v>3730</v>
      </c>
      <c r="D67" s="217" t="s">
        <v>3731</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3721</v>
      </c>
      <c r="B68" s="214" t="s">
        <v>3732</v>
      </c>
      <c r="C68" s="215" t="s">
        <v>3733</v>
      </c>
      <c r="D68" s="217" t="s">
        <v>3734</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3721</v>
      </c>
      <c r="B69" s="214" t="s">
        <v>3735</v>
      </c>
      <c r="C69" s="215" t="s">
        <v>3736</v>
      </c>
      <c r="D69" s="217" t="s">
        <v>3737</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3721</v>
      </c>
      <c r="B70" s="214" t="s">
        <v>3738</v>
      </c>
      <c r="C70" s="215" t="s">
        <v>3739</v>
      </c>
      <c r="D70" s="217" t="s">
        <v>3740</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3721</v>
      </c>
      <c r="B71" s="214" t="s">
        <v>3741</v>
      </c>
      <c r="C71" s="215" t="s">
        <v>3742</v>
      </c>
      <c r="D71" s="217" t="s">
        <v>3743</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3721</v>
      </c>
      <c r="B72" s="214" t="s">
        <v>3744</v>
      </c>
      <c r="C72" s="215" t="s">
        <v>3745</v>
      </c>
      <c r="D72" s="217" t="s">
        <v>3746</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3721</v>
      </c>
      <c r="B73" s="214" t="s">
        <v>3747</v>
      </c>
      <c r="C73" s="215" t="s">
        <v>3748</v>
      </c>
      <c r="D73" s="217" t="s">
        <v>3749</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3721</v>
      </c>
      <c r="B74" s="214" t="s">
        <v>3750</v>
      </c>
      <c r="C74" s="215" t="s">
        <v>3751</v>
      </c>
      <c r="D74" s="217" t="s">
        <v>3752</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3721</v>
      </c>
      <c r="B75" s="214" t="s">
        <v>3753</v>
      </c>
      <c r="C75" s="215" t="s">
        <v>3754</v>
      </c>
      <c r="D75" s="217" t="s">
        <v>3755</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3721</v>
      </c>
      <c r="B76" s="214" t="s">
        <v>3756</v>
      </c>
      <c r="C76" s="215" t="s">
        <v>3757</v>
      </c>
      <c r="D76" s="217" t="s">
        <v>3758</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3721</v>
      </c>
      <c r="B77" s="214" t="s">
        <v>3759</v>
      </c>
      <c r="C77" s="215" t="s">
        <v>3760</v>
      </c>
      <c r="D77" s="217" t="s">
        <v>3761</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3721</v>
      </c>
      <c r="B78" s="214" t="s">
        <v>3762</v>
      </c>
      <c r="C78" s="215" t="s">
        <v>3763</v>
      </c>
      <c r="D78" s="217" t="s">
        <v>3764</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3721</v>
      </c>
      <c r="B79" s="214" t="s">
        <v>3765</v>
      </c>
      <c r="C79" s="215" t="s">
        <v>3766</v>
      </c>
      <c r="D79" s="217" t="s">
        <v>3767</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3721</v>
      </c>
      <c r="B80" s="214" t="s">
        <v>3768</v>
      </c>
      <c r="C80" s="215" t="s">
        <v>3769</v>
      </c>
      <c r="D80" s="217" t="s">
        <v>3770</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3721</v>
      </c>
      <c r="B81" s="214" t="s">
        <v>3771</v>
      </c>
      <c r="C81" s="215" t="s">
        <v>3772</v>
      </c>
      <c r="D81" s="217" t="s">
        <v>3773</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3721</v>
      </c>
      <c r="B82" s="214" t="s">
        <v>3774</v>
      </c>
      <c r="C82" s="215" t="s">
        <v>3775</v>
      </c>
      <c r="D82" s="217" t="s">
        <v>3776</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3721</v>
      </c>
      <c r="B83" s="214" t="s">
        <v>3777</v>
      </c>
      <c r="C83" s="215" t="s">
        <v>3778</v>
      </c>
      <c r="D83" s="217" t="s">
        <v>3779</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3721</v>
      </c>
      <c r="B84" s="214" t="s">
        <v>3780</v>
      </c>
      <c r="C84" s="215" t="s">
        <v>3781</v>
      </c>
      <c r="D84" s="217" t="s">
        <v>3782</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3721</v>
      </c>
      <c r="B85" s="214" t="s">
        <v>3783</v>
      </c>
      <c r="C85" s="215" t="s">
        <v>3784</v>
      </c>
      <c r="D85" s="217" t="s">
        <v>3785</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3721</v>
      </c>
      <c r="B86" s="214" t="s">
        <v>3786</v>
      </c>
      <c r="C86" s="215" t="s">
        <v>3787</v>
      </c>
      <c r="D86" s="217" t="s">
        <v>3788</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3721</v>
      </c>
      <c r="B87" s="214" t="s">
        <v>3789</v>
      </c>
      <c r="C87" s="215" t="s">
        <v>3790</v>
      </c>
      <c r="D87" s="217" t="s">
        <v>3791</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3721</v>
      </c>
      <c r="B88" s="214" t="s">
        <v>3792</v>
      </c>
      <c r="C88" s="215" t="s">
        <v>3793</v>
      </c>
      <c r="D88" s="217" t="s">
        <v>3794</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3721</v>
      </c>
      <c r="B89" s="214" t="s">
        <v>3795</v>
      </c>
      <c r="C89" s="215" t="s">
        <v>3796</v>
      </c>
      <c r="D89" s="217" t="s">
        <v>3797</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3721</v>
      </c>
      <c r="B90" s="214" t="s">
        <v>3798</v>
      </c>
      <c r="C90" s="215" t="s">
        <v>3799</v>
      </c>
      <c r="D90" s="217" t="s">
        <v>3800</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3721</v>
      </c>
      <c r="B91" s="214" t="s">
        <v>3801</v>
      </c>
      <c r="C91" s="215" t="s">
        <v>3802</v>
      </c>
      <c r="D91" s="217" t="s">
        <v>3803</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3721</v>
      </c>
      <c r="B92" s="214" t="s">
        <v>3804</v>
      </c>
      <c r="C92" s="215" t="s">
        <v>3805</v>
      </c>
      <c r="D92" s="217" t="s">
        <v>3806</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3721</v>
      </c>
      <c r="B93" s="214" t="s">
        <v>3807</v>
      </c>
      <c r="C93" s="215" t="s">
        <v>3808</v>
      </c>
      <c r="D93" s="217" t="s">
        <v>3809</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3721</v>
      </c>
      <c r="B94" s="214" t="s">
        <v>3810</v>
      </c>
      <c r="C94" s="215" t="s">
        <v>3811</v>
      </c>
      <c r="D94" s="217" t="s">
        <v>3812</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3721</v>
      </c>
      <c r="B95" s="214" t="s">
        <v>3813</v>
      </c>
      <c r="C95" s="215" t="s">
        <v>3814</v>
      </c>
      <c r="D95" s="217" t="s">
        <v>3815</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3721</v>
      </c>
      <c r="B96" s="214" t="s">
        <v>3816</v>
      </c>
      <c r="C96" s="215" t="s">
        <v>3817</v>
      </c>
      <c r="D96" s="217" t="s">
        <v>3818</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3721</v>
      </c>
      <c r="B97" s="214" t="s">
        <v>3819</v>
      </c>
      <c r="C97" s="215" t="s">
        <v>3820</v>
      </c>
      <c r="D97" s="217" t="s">
        <v>3821</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3721</v>
      </c>
      <c r="B98" s="221" t="s">
        <v>3822</v>
      </c>
      <c r="C98" s="222" t="s">
        <v>3823</v>
      </c>
      <c r="D98" s="223" t="s">
        <v>3824</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770</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IFERROR(INDEX('Recommendations'!$H$2:$H$153, MATCH(F2,'Recommendations'!$A$2:$A$153,0))="Implemented", FALSE))</xm:f>
            <x14:dxf>
              <font>
                <color rgb="FF000000"/>
              </font>
              <fill>
                <patternFill>
                  <bgColor rgb="FF3C7D22"/>
                </patternFill>
              </fill>
            </x14:dxf>
          </x14:cfRule>
          <x14:cfRule type="expression" priority="2" id="{00000000-000E-0000-0900-000002000000}">
            <xm:f>AND(F2&lt;&gt;"", IFERROR(INDEX('Recommendations'!$H$2:$H$153, MATCH(F2,'Recommendations'!$A$2:$A$153,0))="Compensated", FALSE))</xm:f>
            <x14:dxf>
              <font>
                <color rgb="FF000000"/>
              </font>
              <fill>
                <patternFill>
                  <bgColor rgb="FFC6E0B4"/>
                </patternFill>
              </fill>
            </x14:dxf>
          </x14:cfRule>
          <x14:cfRule type="expression" priority="3" id="{00000000-000E-0000-0900-000003000000}">
            <xm:f>AND(F2&lt;&gt;"", IFERROR(INDEX('Recommendations'!$H$2:$H$153, MATCH(F2,'Recommendations'!$A$2:$A$153,0))="Testing", FALSE))</xm:f>
            <x14:dxf>
              <font>
                <color rgb="FF000000"/>
              </font>
              <fill>
                <patternFill>
                  <bgColor rgb="FFFFC000"/>
                </patternFill>
              </fill>
            </x14:dxf>
          </x14:cfRule>
          <x14:cfRule type="expression" priority="4" id="{00000000-000E-0000-0900-000004000000}">
            <xm:f>AND(F2&lt;&gt;"", IFERROR(INDEX('Recommendations'!$H$2:$H$153, MATCH(F2,'Recommendations'!$A$2:$A$153,0))="Failed", FALSE))</xm:f>
            <x14:dxf>
              <font>
                <color rgb="FF000000"/>
              </font>
              <fill>
                <patternFill>
                  <bgColor rgb="FFD82891"/>
                </patternFill>
              </fill>
            </x14:dxf>
          </x14:cfRule>
          <x14:cfRule type="expression" priority="5" id="{00000000-000E-0000-0900-000005000000}">
            <xm:f>AND(F2&lt;&gt;"", IFERROR(INDEX('Recommendations'!$H$2:$H$153, MATCH(F2,'Recommendations'!$A$2:$A$153,0))="Risk Accepted", FALSE))</xm:f>
            <x14:dxf>
              <font>
                <color rgb="FF000000"/>
              </font>
              <fill>
                <patternFill>
                  <bgColor rgb="FFD9D9D9"/>
                </patternFill>
              </fill>
            </x14:dxf>
          </x14:cfRule>
          <x14:cfRule type="expression" priority="6" id="{00000000-000E-0000-0900-000006000000}">
            <xm:f>AND(F2&lt;&gt;"", IFERROR(INDEX('Recommendations'!$H$2:$H$153, MATCH(F2,'Recommendations'!$A$2:$A$153,0))="N/A",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3825</v>
      </c>
      <c r="C1" s="256" t="s">
        <v>3826</v>
      </c>
      <c r="D1" s="256" t="s">
        <v>3827</v>
      </c>
      <c r="E1" s="256" t="s">
        <v>3828</v>
      </c>
      <c r="F1" s="256" t="s">
        <v>2654</v>
      </c>
      <c r="G1" s="256" t="s">
        <v>3829</v>
      </c>
      <c r="H1" s="256" t="s">
        <v>3830</v>
      </c>
      <c r="I1" s="256" t="s">
        <v>3831</v>
      </c>
      <c r="J1" s="256" t="s">
        <v>11</v>
      </c>
      <c r="K1" s="256" t="s">
        <v>1020</v>
      </c>
      <c r="L1" s="256" t="s">
        <v>1021</v>
      </c>
      <c r="M1" s="256" t="s">
        <v>1022</v>
      </c>
      <c r="N1" s="256" t="s">
        <v>1023</v>
      </c>
      <c r="O1" s="256" t="s">
        <v>1024</v>
      </c>
      <c r="P1" s="256" t="s">
        <v>1025</v>
      </c>
      <c r="Q1" s="256" t="s">
        <v>1026</v>
      </c>
      <c r="R1" s="256" t="s">
        <v>1027</v>
      </c>
      <c r="S1" s="256" t="s">
        <v>1028</v>
      </c>
      <c r="T1" s="256" t="s">
        <v>1029</v>
      </c>
      <c r="U1" s="256" t="s">
        <v>1030</v>
      </c>
      <c r="V1" s="256" t="s">
        <v>1031</v>
      </c>
      <c r="W1" s="256" t="s">
        <v>1032</v>
      </c>
      <c r="X1" s="256" t="s">
        <v>1033</v>
      </c>
      <c r="Y1" s="256" t="s">
        <v>1034</v>
      </c>
      <c r="Z1" s="256" t="s">
        <v>1035</v>
      </c>
      <c r="AA1" s="256" t="s">
        <v>1036</v>
      </c>
      <c r="AB1" s="256" t="s">
        <v>1037</v>
      </c>
      <c r="AC1" s="256" t="s">
        <v>1038</v>
      </c>
      <c r="AD1" s="256" t="s">
        <v>1039</v>
      </c>
      <c r="AE1" s="256" t="s">
        <v>1040</v>
      </c>
      <c r="AF1" s="256" t="s">
        <v>1041</v>
      </c>
      <c r="AG1" s="256" t="s">
        <v>1042</v>
      </c>
      <c r="AH1" s="256" t="s">
        <v>1043</v>
      </c>
      <c r="AI1" s="256" t="s">
        <v>1044</v>
      </c>
      <c r="AJ1" s="256" t="s">
        <v>1045</v>
      </c>
      <c r="AK1" s="256" t="s">
        <v>1046</v>
      </c>
      <c r="AL1" s="256" t="s">
        <v>1047</v>
      </c>
      <c r="AM1" s="256" t="s">
        <v>1048</v>
      </c>
      <c r="AN1" s="256" t="s">
        <v>1049</v>
      </c>
      <c r="AO1" s="256" t="s">
        <v>1050</v>
      </c>
      <c r="AP1" s="256" t="s">
        <v>1051</v>
      </c>
      <c r="AQ1" s="256" t="s">
        <v>1052</v>
      </c>
      <c r="AR1" s="256" t="s">
        <v>1053</v>
      </c>
      <c r="AS1" s="256" t="s">
        <v>1054</v>
      </c>
      <c r="AT1" s="256" t="s">
        <v>1055</v>
      </c>
      <c r="AU1" s="256" t="s">
        <v>1056</v>
      </c>
      <c r="AV1" s="256" t="s">
        <v>1057</v>
      </c>
      <c r="AW1" s="256" t="s">
        <v>1058</v>
      </c>
      <c r="AX1" s="256" t="s">
        <v>1059</v>
      </c>
      <c r="AY1" s="257" t="s">
        <v>1060</v>
      </c>
    </row>
    <row r="2" spans="1:51" ht="60" customHeight="1" outlineLevel="1" x14ac:dyDescent="0.35">
      <c r="A2" s="247" t="s">
        <v>3832</v>
      </c>
      <c r="B2" s="235" t="s">
        <v>3833</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1063</v>
      </c>
      <c r="B3" s="236" t="s">
        <v>3834</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3835</v>
      </c>
      <c r="B4" s="237" t="s">
        <v>3836</v>
      </c>
      <c r="C4" s="237" t="s">
        <v>3837</v>
      </c>
      <c r="D4" s="237" t="s">
        <v>3838</v>
      </c>
      <c r="E4" s="237" t="s">
        <v>3839</v>
      </c>
      <c r="F4" s="237" t="s">
        <v>21</v>
      </c>
      <c r="G4" s="237" t="s">
        <v>21</v>
      </c>
      <c r="H4" s="237" t="s">
        <v>3840</v>
      </c>
      <c r="I4" s="237" t="s">
        <v>21</v>
      </c>
      <c r="J4" s="237" t="s">
        <v>3841</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3842</v>
      </c>
      <c r="B5" s="237" t="s">
        <v>3843</v>
      </c>
      <c r="C5" s="237" t="s">
        <v>3844</v>
      </c>
      <c r="D5" s="237" t="s">
        <v>3845</v>
      </c>
      <c r="E5" s="237" t="s">
        <v>3846</v>
      </c>
      <c r="F5" s="237" t="s">
        <v>3847</v>
      </c>
      <c r="G5" s="237" t="s">
        <v>21</v>
      </c>
      <c r="H5" s="237" t="s">
        <v>3848</v>
      </c>
      <c r="I5" s="237" t="s">
        <v>21</v>
      </c>
      <c r="J5" s="237" t="s">
        <v>3849</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1069</v>
      </c>
      <c r="B6" s="236" t="s">
        <v>3850</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3851</v>
      </c>
      <c r="B7" s="237" t="s">
        <v>3852</v>
      </c>
      <c r="C7" s="237" t="s">
        <v>3853</v>
      </c>
      <c r="D7" s="237" t="s">
        <v>3854</v>
      </c>
      <c r="E7" s="237" t="s">
        <v>3846</v>
      </c>
      <c r="F7" s="237" t="s">
        <v>3855</v>
      </c>
      <c r="G7" s="237" t="s">
        <v>21</v>
      </c>
      <c r="H7" s="237" t="s">
        <v>3856</v>
      </c>
      <c r="I7" s="237" t="s">
        <v>21</v>
      </c>
      <c r="J7" s="237" t="s">
        <v>3857</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3858</v>
      </c>
      <c r="B8" s="237" t="s">
        <v>3859</v>
      </c>
      <c r="C8" s="237" t="s">
        <v>3860</v>
      </c>
      <c r="D8" s="237" t="s">
        <v>3861</v>
      </c>
      <c r="E8" s="237" t="s">
        <v>21</v>
      </c>
      <c r="F8" s="237" t="s">
        <v>21</v>
      </c>
      <c r="G8" s="237" t="s">
        <v>21</v>
      </c>
      <c r="H8" s="237" t="s">
        <v>3862</v>
      </c>
      <c r="I8" s="237" t="s">
        <v>3863</v>
      </c>
      <c r="J8" s="237" t="s">
        <v>3864</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3865</v>
      </c>
      <c r="B9" s="237" t="s">
        <v>3866</v>
      </c>
      <c r="C9" s="237" t="s">
        <v>3867</v>
      </c>
      <c r="D9" s="237" t="s">
        <v>3868</v>
      </c>
      <c r="E9" s="237" t="s">
        <v>21</v>
      </c>
      <c r="F9" s="237" t="s">
        <v>21</v>
      </c>
      <c r="G9" s="237" t="s">
        <v>21</v>
      </c>
      <c r="H9" s="237" t="s">
        <v>3869</v>
      </c>
      <c r="I9" s="237" t="s">
        <v>3870</v>
      </c>
      <c r="J9" s="237" t="s">
        <v>3871</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3872</v>
      </c>
      <c r="B10" s="237" t="s">
        <v>3873</v>
      </c>
      <c r="C10" s="237" t="s">
        <v>3874</v>
      </c>
      <c r="D10" s="237" t="s">
        <v>3875</v>
      </c>
      <c r="E10" s="237" t="s">
        <v>21</v>
      </c>
      <c r="F10" s="237" t="s">
        <v>21</v>
      </c>
      <c r="G10" s="237" t="s">
        <v>21</v>
      </c>
      <c r="H10" s="237" t="s">
        <v>3876</v>
      </c>
      <c r="I10" s="237" t="s">
        <v>3877</v>
      </c>
      <c r="J10" s="237" t="s">
        <v>3878</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3879</v>
      </c>
      <c r="B11" s="237" t="s">
        <v>3880</v>
      </c>
      <c r="C11" s="237" t="s">
        <v>3881</v>
      </c>
      <c r="D11" s="237" t="s">
        <v>3882</v>
      </c>
      <c r="E11" s="237" t="s">
        <v>21</v>
      </c>
      <c r="F11" s="237" t="s">
        <v>21</v>
      </c>
      <c r="G11" s="237" t="s">
        <v>21</v>
      </c>
      <c r="H11" s="237" t="s">
        <v>3883</v>
      </c>
      <c r="I11" s="237" t="s">
        <v>21</v>
      </c>
      <c r="J11" s="237" t="s">
        <v>3884</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3885</v>
      </c>
      <c r="B12" s="237" t="s">
        <v>3886</v>
      </c>
      <c r="C12" s="237" t="s">
        <v>3887</v>
      </c>
      <c r="D12" s="237" t="s">
        <v>3888</v>
      </c>
      <c r="E12" s="237" t="s">
        <v>21</v>
      </c>
      <c r="F12" s="237" t="s">
        <v>21</v>
      </c>
      <c r="G12" s="237" t="s">
        <v>3889</v>
      </c>
      <c r="H12" s="237" t="s">
        <v>3890</v>
      </c>
      <c r="I12" s="237" t="s">
        <v>21</v>
      </c>
      <c r="J12" s="237" t="s">
        <v>3891</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3892</v>
      </c>
      <c r="B13" s="237" t="s">
        <v>3893</v>
      </c>
      <c r="C13" s="237" t="s">
        <v>3894</v>
      </c>
      <c r="D13" s="237" t="s">
        <v>3895</v>
      </c>
      <c r="E13" s="237" t="s">
        <v>21</v>
      </c>
      <c r="F13" s="237" t="s">
        <v>21</v>
      </c>
      <c r="G13" s="237" t="s">
        <v>21</v>
      </c>
      <c r="H13" s="237" t="s">
        <v>3896</v>
      </c>
      <c r="I13" s="237" t="s">
        <v>21</v>
      </c>
      <c r="J13" s="237" t="s">
        <v>3897</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3898</v>
      </c>
      <c r="B14" s="237" t="s">
        <v>3899</v>
      </c>
      <c r="C14" s="237" t="s">
        <v>3900</v>
      </c>
      <c r="D14" s="237" t="s">
        <v>3901</v>
      </c>
      <c r="E14" s="237" t="s">
        <v>21</v>
      </c>
      <c r="F14" s="237" t="s">
        <v>3902</v>
      </c>
      <c r="G14" s="237" t="s">
        <v>21</v>
      </c>
      <c r="H14" s="237" t="s">
        <v>3903</v>
      </c>
      <c r="I14" s="237" t="s">
        <v>3904</v>
      </c>
      <c r="J14" s="237" t="s">
        <v>3905</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1074</v>
      </c>
      <c r="B15" s="236" t="s">
        <v>3906</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3907</v>
      </c>
      <c r="B16" s="237" t="s">
        <v>3908</v>
      </c>
      <c r="C16" s="237" t="s">
        <v>3909</v>
      </c>
      <c r="D16" s="237" t="s">
        <v>3901</v>
      </c>
      <c r="E16" s="237" t="s">
        <v>21</v>
      </c>
      <c r="F16" s="237" t="s">
        <v>3910</v>
      </c>
      <c r="G16" s="237" t="s">
        <v>21</v>
      </c>
      <c r="H16" s="237" t="s">
        <v>3911</v>
      </c>
      <c r="I16" s="237" t="s">
        <v>21</v>
      </c>
      <c r="J16" s="237" t="s">
        <v>3912</v>
      </c>
      <c r="K16" s="240">
        <f>IF(COUNTIF(L16:AY16,"&lt;&gt;")=0,"",SUMPRODUCT(((Recommendations[ImplStatus]="Implemented")+(Recommendations[ImplStatus]="Compensated"))*ISNUMBER(MATCH(Recommendations[Id],L16:AY16,0)))/COUNTIF(L16:AY16,"&lt;&gt;"))</f>
        <v>0</v>
      </c>
      <c r="L16" s="243" t="s">
        <v>45</v>
      </c>
      <c r="M16" s="243" t="s">
        <v>335</v>
      </c>
      <c r="N16" s="243" t="s">
        <v>405</v>
      </c>
      <c r="O16" s="243" t="s">
        <v>410</v>
      </c>
      <c r="P16" s="243" t="s">
        <v>415</v>
      </c>
      <c r="Q16" s="243" t="s">
        <v>420</v>
      </c>
      <c r="R16" s="243" t="s">
        <v>430</v>
      </c>
      <c r="S16" s="243" t="s">
        <v>435</v>
      </c>
      <c r="T16" s="243" t="s">
        <v>440</v>
      </c>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3913</v>
      </c>
      <c r="B17" s="237" t="s">
        <v>3914</v>
      </c>
      <c r="C17" s="237" t="s">
        <v>3915</v>
      </c>
      <c r="D17" s="237" t="s">
        <v>3916</v>
      </c>
      <c r="E17" s="237" t="s">
        <v>21</v>
      </c>
      <c r="F17" s="237" t="s">
        <v>3910</v>
      </c>
      <c r="G17" s="237" t="s">
        <v>21</v>
      </c>
      <c r="H17" s="237" t="s">
        <v>3917</v>
      </c>
      <c r="I17" s="237" t="s">
        <v>21</v>
      </c>
      <c r="J17" s="237" t="s">
        <v>3918</v>
      </c>
      <c r="K17" s="240">
        <f>IF(COUNTIF(L17:AY17,"&lt;&gt;")=0,"",SUMPRODUCT(((Recommendations[ImplStatus]="Implemented")+(Recommendations[ImplStatus]="Compensated"))*ISNUMBER(MATCH(Recommendations[Id],L17:AY17,0)))/COUNTIF(L17:AY17,"&lt;&gt;"))</f>
        <v>0</v>
      </c>
      <c r="L17" s="243" t="s">
        <v>280</v>
      </c>
      <c r="M17" s="243" t="s">
        <v>285</v>
      </c>
      <c r="N17" s="243" t="s">
        <v>300</v>
      </c>
      <c r="O17" s="243" t="s">
        <v>305</v>
      </c>
      <c r="P17" s="243" t="s">
        <v>310</v>
      </c>
      <c r="Q17" s="243" t="s">
        <v>330</v>
      </c>
      <c r="R17" s="243" t="s">
        <v>405</v>
      </c>
      <c r="S17" s="243" t="s">
        <v>420</v>
      </c>
      <c r="T17" s="243" t="s">
        <v>430</v>
      </c>
      <c r="U17" s="243" t="s">
        <v>435</v>
      </c>
      <c r="V17" s="243" t="s">
        <v>440</v>
      </c>
      <c r="W17" s="243" t="s">
        <v>579</v>
      </c>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3919</v>
      </c>
      <c r="B18" s="237" t="s">
        <v>3920</v>
      </c>
      <c r="C18" s="237" t="s">
        <v>3921</v>
      </c>
      <c r="D18" s="237" t="s">
        <v>21</v>
      </c>
      <c r="E18" s="237" t="s">
        <v>21</v>
      </c>
      <c r="F18" s="237" t="s">
        <v>21</v>
      </c>
      <c r="G18" s="237" t="s">
        <v>21</v>
      </c>
      <c r="H18" s="237" t="s">
        <v>3922</v>
      </c>
      <c r="I18" s="237" t="s">
        <v>21</v>
      </c>
      <c r="J18" s="237" t="s">
        <v>3923</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1079</v>
      </c>
      <c r="B19" s="236" t="s">
        <v>3924</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3925</v>
      </c>
      <c r="B20" s="237" t="s">
        <v>3926</v>
      </c>
      <c r="C20" s="237" t="s">
        <v>3927</v>
      </c>
      <c r="D20" s="237" t="s">
        <v>3928</v>
      </c>
      <c r="E20" s="237" t="s">
        <v>21</v>
      </c>
      <c r="F20" s="237" t="s">
        <v>3929</v>
      </c>
      <c r="G20" s="237" t="s">
        <v>21</v>
      </c>
      <c r="H20" s="237" t="s">
        <v>3930</v>
      </c>
      <c r="I20" s="237" t="s">
        <v>21</v>
      </c>
      <c r="J20" s="237" t="s">
        <v>3931</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3932</v>
      </c>
      <c r="B21" s="237" t="s">
        <v>3933</v>
      </c>
      <c r="C21" s="237" t="s">
        <v>3934</v>
      </c>
      <c r="D21" s="237" t="s">
        <v>3935</v>
      </c>
      <c r="E21" s="237" t="s">
        <v>3936</v>
      </c>
      <c r="F21" s="237" t="s">
        <v>21</v>
      </c>
      <c r="G21" s="237" t="s">
        <v>21</v>
      </c>
      <c r="H21" s="237" t="s">
        <v>3937</v>
      </c>
      <c r="I21" s="237" t="s">
        <v>3938</v>
      </c>
      <c r="J21" s="237" t="s">
        <v>3939</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3940</v>
      </c>
      <c r="B22" s="237" t="s">
        <v>3941</v>
      </c>
      <c r="C22" s="237" t="s">
        <v>3942</v>
      </c>
      <c r="D22" s="237" t="s">
        <v>3943</v>
      </c>
      <c r="E22" s="237" t="s">
        <v>21</v>
      </c>
      <c r="F22" s="237" t="s">
        <v>3944</v>
      </c>
      <c r="G22" s="237" t="s">
        <v>21</v>
      </c>
      <c r="H22" s="237" t="s">
        <v>3945</v>
      </c>
      <c r="I22" s="237" t="s">
        <v>21</v>
      </c>
      <c r="J22" s="237" t="s">
        <v>3946</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3947</v>
      </c>
      <c r="B23" s="237" t="s">
        <v>3948</v>
      </c>
      <c r="C23" s="237" t="s">
        <v>3949</v>
      </c>
      <c r="D23" s="237" t="s">
        <v>3950</v>
      </c>
      <c r="E23" s="237" t="s">
        <v>21</v>
      </c>
      <c r="F23" s="237" t="s">
        <v>21</v>
      </c>
      <c r="G23" s="237" t="s">
        <v>21</v>
      </c>
      <c r="H23" s="237" t="s">
        <v>3951</v>
      </c>
      <c r="I23" s="237" t="s">
        <v>3952</v>
      </c>
      <c r="J23" s="237" t="s">
        <v>3953</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3954</v>
      </c>
      <c r="B24" s="237" t="s">
        <v>3955</v>
      </c>
      <c r="C24" s="237" t="s">
        <v>3956</v>
      </c>
      <c r="D24" s="237" t="s">
        <v>3950</v>
      </c>
      <c r="E24" s="237" t="s">
        <v>21</v>
      </c>
      <c r="F24" s="237" t="s">
        <v>3957</v>
      </c>
      <c r="G24" s="237" t="s">
        <v>21</v>
      </c>
      <c r="H24" s="237" t="s">
        <v>3958</v>
      </c>
      <c r="I24" s="237" t="s">
        <v>21</v>
      </c>
      <c r="J24" s="237" t="s">
        <v>3959</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1083</v>
      </c>
      <c r="B25" s="236" t="s">
        <v>3960</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3961</v>
      </c>
      <c r="B26" s="237" t="s">
        <v>3962</v>
      </c>
      <c r="C26" s="237" t="s">
        <v>3963</v>
      </c>
      <c r="D26" s="237" t="s">
        <v>3964</v>
      </c>
      <c r="E26" s="237" t="s">
        <v>21</v>
      </c>
      <c r="F26" s="237" t="s">
        <v>3965</v>
      </c>
      <c r="G26" s="237" t="s">
        <v>21</v>
      </c>
      <c r="H26" s="237" t="s">
        <v>3966</v>
      </c>
      <c r="I26" s="237" t="s">
        <v>21</v>
      </c>
      <c r="J26" s="237" t="s">
        <v>3967</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3968</v>
      </c>
      <c r="B27" s="235" t="s">
        <v>3969</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1089</v>
      </c>
      <c r="B28" s="236" t="s">
        <v>3970</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3971</v>
      </c>
      <c r="B29" s="237" t="s">
        <v>3972</v>
      </c>
      <c r="C29" s="237" t="s">
        <v>3973</v>
      </c>
      <c r="D29" s="237" t="s">
        <v>3974</v>
      </c>
      <c r="E29" s="237" t="s">
        <v>3975</v>
      </c>
      <c r="F29" s="237" t="s">
        <v>21</v>
      </c>
      <c r="G29" s="237" t="s">
        <v>21</v>
      </c>
      <c r="H29" s="237" t="s">
        <v>3976</v>
      </c>
      <c r="I29" s="237" t="s">
        <v>21</v>
      </c>
      <c r="J29" s="237" t="s">
        <v>3977</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3978</v>
      </c>
      <c r="B30" s="237" t="s">
        <v>3979</v>
      </c>
      <c r="C30" s="237" t="s">
        <v>3844</v>
      </c>
      <c r="D30" s="237" t="s">
        <v>3845</v>
      </c>
      <c r="E30" s="237" t="s">
        <v>21</v>
      </c>
      <c r="F30" s="237" t="s">
        <v>3847</v>
      </c>
      <c r="G30" s="237" t="s">
        <v>21</v>
      </c>
      <c r="H30" s="237" t="s">
        <v>3980</v>
      </c>
      <c r="I30" s="237" t="s">
        <v>21</v>
      </c>
      <c r="J30" s="237" t="s">
        <v>3981</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1094</v>
      </c>
      <c r="B31" s="236" t="s">
        <v>3982</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3983</v>
      </c>
      <c r="B32" s="237" t="s">
        <v>3984</v>
      </c>
      <c r="C32" s="237" t="s">
        <v>3985</v>
      </c>
      <c r="D32" s="237" t="s">
        <v>3986</v>
      </c>
      <c r="E32" s="237" t="s">
        <v>21</v>
      </c>
      <c r="F32" s="237" t="s">
        <v>21</v>
      </c>
      <c r="G32" s="237" t="s">
        <v>3987</v>
      </c>
      <c r="H32" s="237" t="s">
        <v>3988</v>
      </c>
      <c r="I32" s="237" t="s">
        <v>21</v>
      </c>
      <c r="J32" s="237" t="s">
        <v>3989</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3990</v>
      </c>
      <c r="B33" s="237" t="s">
        <v>3991</v>
      </c>
      <c r="C33" s="237" t="s">
        <v>3992</v>
      </c>
      <c r="D33" s="237" t="s">
        <v>3993</v>
      </c>
      <c r="E33" s="237" t="s">
        <v>21</v>
      </c>
      <c r="F33" s="237" t="s">
        <v>3994</v>
      </c>
      <c r="G33" s="237" t="s">
        <v>21</v>
      </c>
      <c r="H33" s="237" t="s">
        <v>3995</v>
      </c>
      <c r="I33" s="237" t="s">
        <v>3996</v>
      </c>
      <c r="J33" s="237" t="s">
        <v>3997</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3998</v>
      </c>
      <c r="B34" s="237" t="s">
        <v>3999</v>
      </c>
      <c r="C34" s="237" t="s">
        <v>4000</v>
      </c>
      <c r="D34" s="237" t="s">
        <v>4001</v>
      </c>
      <c r="E34" s="237" t="s">
        <v>21</v>
      </c>
      <c r="F34" s="237" t="s">
        <v>21</v>
      </c>
      <c r="G34" s="237" t="s">
        <v>21</v>
      </c>
      <c r="H34" s="237" t="s">
        <v>4002</v>
      </c>
      <c r="I34" s="237" t="s">
        <v>21</v>
      </c>
      <c r="J34" s="237" t="s">
        <v>4003</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4004</v>
      </c>
      <c r="B35" s="237" t="s">
        <v>4005</v>
      </c>
      <c r="C35" s="237" t="s">
        <v>4006</v>
      </c>
      <c r="D35" s="237" t="s">
        <v>4007</v>
      </c>
      <c r="E35" s="237" t="s">
        <v>21</v>
      </c>
      <c r="F35" s="237" t="s">
        <v>4008</v>
      </c>
      <c r="G35" s="237" t="s">
        <v>21</v>
      </c>
      <c r="H35" s="237" t="s">
        <v>4009</v>
      </c>
      <c r="I35" s="237" t="s">
        <v>21</v>
      </c>
      <c r="J35" s="237" t="s">
        <v>4010</v>
      </c>
      <c r="K35" s="240">
        <f>IF(COUNTIF(L35:AY35,"&lt;&gt;")=0,"",SUMPRODUCT(((Recommendations[ImplStatus]="Implemented")+(Recommendations[ImplStatus]="Compensated"))*ISNUMBER(MATCH(Recommendations[Id],L35:AY35,0)))/COUNTIF(L35:AY35,"&lt;&gt;"))</f>
        <v>0</v>
      </c>
      <c r="L35" s="243" t="s">
        <v>91</v>
      </c>
      <c r="M35" s="243" t="s">
        <v>346</v>
      </c>
      <c r="N35" s="243" t="s">
        <v>351</v>
      </c>
      <c r="O35" s="243" t="s">
        <v>400</v>
      </c>
      <c r="P35" s="243" t="s">
        <v>449</v>
      </c>
      <c r="Q35" s="243" t="s">
        <v>454</v>
      </c>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4011</v>
      </c>
      <c r="B36" s="237" t="s">
        <v>4012</v>
      </c>
      <c r="C36" s="237" t="s">
        <v>4013</v>
      </c>
      <c r="D36" s="237" t="s">
        <v>4014</v>
      </c>
      <c r="E36" s="237" t="s">
        <v>21</v>
      </c>
      <c r="F36" s="237" t="s">
        <v>21</v>
      </c>
      <c r="G36" s="237" t="s">
        <v>4015</v>
      </c>
      <c r="H36" s="237" t="s">
        <v>4016</v>
      </c>
      <c r="I36" s="237" t="s">
        <v>21</v>
      </c>
      <c r="J36" s="237" t="s">
        <v>4017</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4018</v>
      </c>
      <c r="B37" s="237" t="s">
        <v>4019</v>
      </c>
      <c r="C37" s="237" t="s">
        <v>4020</v>
      </c>
      <c r="D37" s="237" t="s">
        <v>4021</v>
      </c>
      <c r="E37" s="237" t="s">
        <v>21</v>
      </c>
      <c r="F37" s="237" t="s">
        <v>4022</v>
      </c>
      <c r="G37" s="237" t="s">
        <v>4023</v>
      </c>
      <c r="H37" s="237" t="s">
        <v>4024</v>
      </c>
      <c r="I37" s="237" t="s">
        <v>21</v>
      </c>
      <c r="J37" s="237" t="s">
        <v>4025</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4026</v>
      </c>
      <c r="B38" s="237" t="s">
        <v>4027</v>
      </c>
      <c r="C38" s="237" t="s">
        <v>4028</v>
      </c>
      <c r="D38" s="237" t="s">
        <v>4029</v>
      </c>
      <c r="E38" s="237" t="s">
        <v>21</v>
      </c>
      <c r="F38" s="237" t="s">
        <v>4022</v>
      </c>
      <c r="G38" s="237" t="s">
        <v>4030</v>
      </c>
      <c r="H38" s="237" t="s">
        <v>4031</v>
      </c>
      <c r="I38" s="237" t="s">
        <v>4032</v>
      </c>
      <c r="J38" s="237" t="s">
        <v>4033</v>
      </c>
      <c r="K38" s="240">
        <f>IF(COUNTIF(L38:AY38,"&lt;&gt;")=0,"",SUMPRODUCT(((Recommendations[ImplStatus]="Implemented")+(Recommendations[ImplStatus]="Compensated"))*ISNUMBER(MATCH(Recommendations[Id],L38:AY38,0)))/COUNTIF(L38:AY38,"&lt;&gt;"))</f>
        <v>0</v>
      </c>
      <c r="L38" s="243" t="s">
        <v>160</v>
      </c>
      <c r="M38" s="243" t="s">
        <v>165</v>
      </c>
      <c r="N38" s="243" t="s">
        <v>175</v>
      </c>
      <c r="O38" s="243" t="s">
        <v>180</v>
      </c>
      <c r="P38" s="243" t="s">
        <v>569</v>
      </c>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1098</v>
      </c>
      <c r="B39" s="236" t="s">
        <v>4034</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4035</v>
      </c>
      <c r="B40" s="237" t="s">
        <v>4036</v>
      </c>
      <c r="C40" s="237" t="s">
        <v>4037</v>
      </c>
      <c r="D40" s="237" t="s">
        <v>4038</v>
      </c>
      <c r="E40" s="237" t="s">
        <v>21</v>
      </c>
      <c r="F40" s="237" t="s">
        <v>21</v>
      </c>
      <c r="G40" s="237" t="s">
        <v>21</v>
      </c>
      <c r="H40" s="237" t="s">
        <v>4039</v>
      </c>
      <c r="I40" s="237" t="s">
        <v>4040</v>
      </c>
      <c r="J40" s="237" t="s">
        <v>4041</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4042</v>
      </c>
      <c r="B41" s="237" t="s">
        <v>4043</v>
      </c>
      <c r="C41" s="237" t="s">
        <v>4044</v>
      </c>
      <c r="D41" s="237" t="s">
        <v>21</v>
      </c>
      <c r="E41" s="237" t="s">
        <v>21</v>
      </c>
      <c r="F41" s="237" t="s">
        <v>21</v>
      </c>
      <c r="G41" s="237" t="s">
        <v>21</v>
      </c>
      <c r="H41" s="237" t="s">
        <v>4045</v>
      </c>
      <c r="I41" s="237" t="s">
        <v>21</v>
      </c>
      <c r="J41" s="237" t="s">
        <v>4046</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4047</v>
      </c>
      <c r="B42" s="235" t="s">
        <v>4048</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1121</v>
      </c>
      <c r="B43" s="236" t="s">
        <v>4049</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4050</v>
      </c>
      <c r="B44" s="237" t="s">
        <v>4051</v>
      </c>
      <c r="C44" s="237" t="s">
        <v>4052</v>
      </c>
      <c r="D44" s="237" t="s">
        <v>4053</v>
      </c>
      <c r="E44" s="237" t="s">
        <v>3839</v>
      </c>
      <c r="F44" s="237" t="s">
        <v>21</v>
      </c>
      <c r="G44" s="237" t="s">
        <v>21</v>
      </c>
      <c r="H44" s="237" t="s">
        <v>4054</v>
      </c>
      <c r="I44" s="237" t="s">
        <v>21</v>
      </c>
      <c r="J44" s="237" t="s">
        <v>4055</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4056</v>
      </c>
      <c r="B45" s="237" t="s">
        <v>4057</v>
      </c>
      <c r="C45" s="237" t="s">
        <v>4058</v>
      </c>
      <c r="D45" s="237" t="s">
        <v>3845</v>
      </c>
      <c r="E45" s="237" t="s">
        <v>21</v>
      </c>
      <c r="F45" s="237" t="s">
        <v>3847</v>
      </c>
      <c r="G45" s="237" t="s">
        <v>21</v>
      </c>
      <c r="H45" s="237" t="s">
        <v>4059</v>
      </c>
      <c r="I45" s="237" t="s">
        <v>21</v>
      </c>
      <c r="J45" s="237" t="s">
        <v>4060</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1127</v>
      </c>
      <c r="B46" s="236" t="s">
        <v>4061</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4062</v>
      </c>
      <c r="B47" s="237" t="s">
        <v>4063</v>
      </c>
      <c r="C47" s="237" t="s">
        <v>4064</v>
      </c>
      <c r="D47" s="237" t="s">
        <v>4065</v>
      </c>
      <c r="E47" s="237" t="s">
        <v>21</v>
      </c>
      <c r="F47" s="237" t="s">
        <v>4066</v>
      </c>
      <c r="G47" s="237" t="s">
        <v>4067</v>
      </c>
      <c r="H47" s="237" t="s">
        <v>4068</v>
      </c>
      <c r="I47" s="237" t="s">
        <v>4069</v>
      </c>
      <c r="J47" s="237" t="s">
        <v>4070</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1131</v>
      </c>
      <c r="B48" s="236" t="s">
        <v>4071</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4072</v>
      </c>
      <c r="B49" s="237" t="s">
        <v>4073</v>
      </c>
      <c r="C49" s="237" t="s">
        <v>4074</v>
      </c>
      <c r="D49" s="237" t="s">
        <v>4075</v>
      </c>
      <c r="E49" s="237" t="s">
        <v>4076</v>
      </c>
      <c r="F49" s="237" t="s">
        <v>21</v>
      </c>
      <c r="G49" s="237" t="s">
        <v>21</v>
      </c>
      <c r="H49" s="237" t="s">
        <v>4077</v>
      </c>
      <c r="I49" s="237" t="s">
        <v>4078</v>
      </c>
      <c r="J49" s="237" t="s">
        <v>4079</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4080</v>
      </c>
      <c r="B50" s="237" t="s">
        <v>4081</v>
      </c>
      <c r="C50" s="237" t="s">
        <v>4082</v>
      </c>
      <c r="D50" s="237" t="s">
        <v>21</v>
      </c>
      <c r="E50" s="237" t="s">
        <v>4083</v>
      </c>
      <c r="F50" s="237" t="s">
        <v>4084</v>
      </c>
      <c r="G50" s="237" t="s">
        <v>21</v>
      </c>
      <c r="H50" s="237" t="s">
        <v>4077</v>
      </c>
      <c r="I50" s="237" t="s">
        <v>4085</v>
      </c>
      <c r="J50" s="237" t="s">
        <v>4086</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4087</v>
      </c>
      <c r="B51" s="237" t="s">
        <v>4088</v>
      </c>
      <c r="C51" s="237" t="s">
        <v>4089</v>
      </c>
      <c r="D51" s="237" t="s">
        <v>21</v>
      </c>
      <c r="E51" s="237" t="s">
        <v>21</v>
      </c>
      <c r="F51" s="237" t="s">
        <v>4090</v>
      </c>
      <c r="G51" s="237" t="s">
        <v>21</v>
      </c>
      <c r="H51" s="237" t="s">
        <v>4077</v>
      </c>
      <c r="I51" s="237" t="s">
        <v>4091</v>
      </c>
      <c r="J51" s="237" t="s">
        <v>4092</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4093</v>
      </c>
      <c r="B52" s="237" t="s">
        <v>4094</v>
      </c>
      <c r="C52" s="237" t="s">
        <v>4095</v>
      </c>
      <c r="D52" s="237" t="s">
        <v>21</v>
      </c>
      <c r="E52" s="237" t="s">
        <v>21</v>
      </c>
      <c r="F52" s="237" t="s">
        <v>4096</v>
      </c>
      <c r="G52" s="237" t="s">
        <v>21</v>
      </c>
      <c r="H52" s="237" t="s">
        <v>4077</v>
      </c>
      <c r="I52" s="237" t="s">
        <v>4097</v>
      </c>
      <c r="J52" s="237" t="s">
        <v>4098</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4099</v>
      </c>
      <c r="B53" s="237" t="s">
        <v>4100</v>
      </c>
      <c r="C53" s="237" t="s">
        <v>4101</v>
      </c>
      <c r="D53" s="237" t="s">
        <v>4102</v>
      </c>
      <c r="E53" s="237" t="s">
        <v>4103</v>
      </c>
      <c r="F53" s="237" t="s">
        <v>21</v>
      </c>
      <c r="G53" s="237" t="s">
        <v>21</v>
      </c>
      <c r="H53" s="237" t="s">
        <v>4104</v>
      </c>
      <c r="I53" s="237" t="s">
        <v>21</v>
      </c>
      <c r="J53" s="237" t="s">
        <v>4105</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4106</v>
      </c>
      <c r="B54" s="237" t="s">
        <v>4107</v>
      </c>
      <c r="C54" s="237" t="s">
        <v>4101</v>
      </c>
      <c r="D54" s="237" t="s">
        <v>4102</v>
      </c>
      <c r="E54" s="237" t="s">
        <v>21</v>
      </c>
      <c r="F54" s="237" t="s">
        <v>21</v>
      </c>
      <c r="G54" s="237" t="s">
        <v>21</v>
      </c>
      <c r="H54" s="237" t="s">
        <v>4108</v>
      </c>
      <c r="I54" s="237" t="s">
        <v>4109</v>
      </c>
      <c r="J54" s="237" t="s">
        <v>4110</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1135</v>
      </c>
      <c r="B55" s="236" t="s">
        <v>4111</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4112</v>
      </c>
      <c r="B56" s="237" t="s">
        <v>4113</v>
      </c>
      <c r="C56" s="237" t="s">
        <v>4114</v>
      </c>
      <c r="D56" s="237" t="s">
        <v>4115</v>
      </c>
      <c r="E56" s="237" t="s">
        <v>4116</v>
      </c>
      <c r="F56" s="237" t="s">
        <v>21</v>
      </c>
      <c r="G56" s="237" t="s">
        <v>4117</v>
      </c>
      <c r="H56" s="237" t="s">
        <v>21</v>
      </c>
      <c r="I56" s="237" t="s">
        <v>21</v>
      </c>
      <c r="J56" s="237" t="s">
        <v>4118</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4119</v>
      </c>
      <c r="B57" s="237" t="s">
        <v>4120</v>
      </c>
      <c r="C57" s="237" t="s">
        <v>4121</v>
      </c>
      <c r="D57" s="237" t="s">
        <v>4122</v>
      </c>
      <c r="E57" s="237" t="s">
        <v>4123</v>
      </c>
      <c r="F57" s="237" t="s">
        <v>21</v>
      </c>
      <c r="G57" s="237" t="s">
        <v>4124</v>
      </c>
      <c r="H57" s="237" t="s">
        <v>4125</v>
      </c>
      <c r="I57" s="237" t="s">
        <v>21</v>
      </c>
      <c r="J57" s="237" t="s">
        <v>4126</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1139</v>
      </c>
      <c r="B58" s="236" t="s">
        <v>4127</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4128</v>
      </c>
      <c r="B59" s="237" t="s">
        <v>4129</v>
      </c>
      <c r="C59" s="237" t="s">
        <v>4130</v>
      </c>
      <c r="D59" s="237" t="s">
        <v>4131</v>
      </c>
      <c r="E59" s="237" t="s">
        <v>21</v>
      </c>
      <c r="F59" s="237" t="s">
        <v>21</v>
      </c>
      <c r="G59" s="237" t="s">
        <v>4132</v>
      </c>
      <c r="H59" s="237" t="s">
        <v>4133</v>
      </c>
      <c r="I59" s="237" t="s">
        <v>4134</v>
      </c>
      <c r="J59" s="237" t="s">
        <v>4135</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4136</v>
      </c>
      <c r="B60" s="237" t="s">
        <v>4137</v>
      </c>
      <c r="C60" s="237" t="s">
        <v>4138</v>
      </c>
      <c r="D60" s="237" t="s">
        <v>21</v>
      </c>
      <c r="E60" s="237" t="s">
        <v>4139</v>
      </c>
      <c r="F60" s="237" t="s">
        <v>4140</v>
      </c>
      <c r="G60" s="237" t="s">
        <v>21</v>
      </c>
      <c r="H60" s="237" t="s">
        <v>4141</v>
      </c>
      <c r="I60" s="237" t="s">
        <v>4142</v>
      </c>
      <c r="J60" s="237" t="s">
        <v>4143</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4144</v>
      </c>
      <c r="B61" s="237" t="s">
        <v>4145</v>
      </c>
      <c r="C61" s="237" t="s">
        <v>4146</v>
      </c>
      <c r="D61" s="237" t="s">
        <v>21</v>
      </c>
      <c r="E61" s="237" t="s">
        <v>21</v>
      </c>
      <c r="F61" s="237" t="s">
        <v>21</v>
      </c>
      <c r="G61" s="237" t="s">
        <v>4147</v>
      </c>
      <c r="H61" s="237" t="s">
        <v>4148</v>
      </c>
      <c r="I61" s="237" t="s">
        <v>4149</v>
      </c>
      <c r="J61" s="237" t="s">
        <v>4150</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4151</v>
      </c>
      <c r="B62" s="237" t="s">
        <v>4152</v>
      </c>
      <c r="C62" s="237" t="s">
        <v>4153</v>
      </c>
      <c r="D62" s="237" t="s">
        <v>4154</v>
      </c>
      <c r="E62" s="237" t="s">
        <v>21</v>
      </c>
      <c r="F62" s="237" t="s">
        <v>21</v>
      </c>
      <c r="G62" s="237" t="s">
        <v>21</v>
      </c>
      <c r="H62" s="237" t="s">
        <v>4155</v>
      </c>
      <c r="I62" s="237" t="s">
        <v>4156</v>
      </c>
      <c r="J62" s="237" t="s">
        <v>4157</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1143</v>
      </c>
      <c r="B63" s="236" t="s">
        <v>4158</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4159</v>
      </c>
      <c r="B64" s="237" t="s">
        <v>4160</v>
      </c>
      <c r="C64" s="237" t="s">
        <v>4161</v>
      </c>
      <c r="D64" s="237" t="s">
        <v>4162</v>
      </c>
      <c r="E64" s="237" t="s">
        <v>21</v>
      </c>
      <c r="F64" s="237" t="s">
        <v>21</v>
      </c>
      <c r="G64" s="237" t="s">
        <v>4163</v>
      </c>
      <c r="H64" s="237" t="s">
        <v>4164</v>
      </c>
      <c r="I64" s="237" t="s">
        <v>4165</v>
      </c>
      <c r="J64" s="237" t="s">
        <v>4166</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4167</v>
      </c>
      <c r="B65" s="237" t="s">
        <v>4168</v>
      </c>
      <c r="C65" s="237" t="s">
        <v>4169</v>
      </c>
      <c r="D65" s="237" t="s">
        <v>4170</v>
      </c>
      <c r="E65" s="237" t="s">
        <v>21</v>
      </c>
      <c r="F65" s="237" t="s">
        <v>21</v>
      </c>
      <c r="G65" s="237" t="s">
        <v>21</v>
      </c>
      <c r="H65" s="237" t="s">
        <v>4171</v>
      </c>
      <c r="I65" s="237" t="s">
        <v>4172</v>
      </c>
      <c r="J65" s="237" t="s">
        <v>4173</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4174</v>
      </c>
      <c r="B66" s="237" t="s">
        <v>4175</v>
      </c>
      <c r="C66" s="237" t="s">
        <v>4176</v>
      </c>
      <c r="D66" s="237" t="s">
        <v>4177</v>
      </c>
      <c r="E66" s="237" t="s">
        <v>21</v>
      </c>
      <c r="F66" s="237" t="s">
        <v>21</v>
      </c>
      <c r="G66" s="237" t="s">
        <v>21</v>
      </c>
      <c r="H66" s="237" t="s">
        <v>4178</v>
      </c>
      <c r="I66" s="237" t="s">
        <v>4179</v>
      </c>
      <c r="J66" s="237" t="s">
        <v>4180</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4181</v>
      </c>
      <c r="B67" s="237" t="s">
        <v>4182</v>
      </c>
      <c r="C67" s="237" t="s">
        <v>4183</v>
      </c>
      <c r="D67" s="237" t="s">
        <v>4184</v>
      </c>
      <c r="E67" s="237" t="s">
        <v>21</v>
      </c>
      <c r="F67" s="237" t="s">
        <v>21</v>
      </c>
      <c r="G67" s="237" t="s">
        <v>21</v>
      </c>
      <c r="H67" s="237" t="s">
        <v>4185</v>
      </c>
      <c r="I67" s="237" t="s">
        <v>21</v>
      </c>
      <c r="J67" s="237" t="s">
        <v>4186</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4187</v>
      </c>
      <c r="B68" s="237" t="s">
        <v>4188</v>
      </c>
      <c r="C68" s="237" t="s">
        <v>4189</v>
      </c>
      <c r="D68" s="237" t="s">
        <v>21</v>
      </c>
      <c r="E68" s="237" t="s">
        <v>21</v>
      </c>
      <c r="F68" s="237" t="s">
        <v>21</v>
      </c>
      <c r="G68" s="237" t="s">
        <v>21</v>
      </c>
      <c r="H68" s="237" t="s">
        <v>4190</v>
      </c>
      <c r="I68" s="237" t="s">
        <v>21</v>
      </c>
      <c r="J68" s="237" t="s">
        <v>4191</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1147</v>
      </c>
      <c r="B69" s="236" t="s">
        <v>4192</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4193</v>
      </c>
      <c r="B70" s="237" t="s">
        <v>4194</v>
      </c>
      <c r="C70" s="237" t="s">
        <v>4195</v>
      </c>
      <c r="D70" s="237" t="s">
        <v>21</v>
      </c>
      <c r="E70" s="237" t="s">
        <v>21</v>
      </c>
      <c r="F70" s="237" t="s">
        <v>21</v>
      </c>
      <c r="G70" s="237" t="s">
        <v>4196</v>
      </c>
      <c r="H70" s="237" t="s">
        <v>4197</v>
      </c>
      <c r="I70" s="237" t="s">
        <v>21</v>
      </c>
      <c r="J70" s="237" t="s">
        <v>4198</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4199</v>
      </c>
      <c r="B71" s="237" t="s">
        <v>4200</v>
      </c>
      <c r="C71" s="237" t="s">
        <v>4201</v>
      </c>
      <c r="D71" s="237" t="s">
        <v>21</v>
      </c>
      <c r="E71" s="237" t="s">
        <v>21</v>
      </c>
      <c r="F71" s="237" t="s">
        <v>21</v>
      </c>
      <c r="G71" s="237" t="s">
        <v>21</v>
      </c>
      <c r="H71" s="237" t="s">
        <v>4202</v>
      </c>
      <c r="I71" s="237" t="s">
        <v>21</v>
      </c>
      <c r="J71" s="237" t="s">
        <v>4203</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4204</v>
      </c>
      <c r="B72" s="237" t="s">
        <v>4205</v>
      </c>
      <c r="C72" s="237" t="s">
        <v>4206</v>
      </c>
      <c r="D72" s="237" t="s">
        <v>4207</v>
      </c>
      <c r="E72" s="237" t="s">
        <v>4208</v>
      </c>
      <c r="F72" s="237" t="s">
        <v>21</v>
      </c>
      <c r="G72" s="237" t="s">
        <v>21</v>
      </c>
      <c r="H72" s="237" t="s">
        <v>4209</v>
      </c>
      <c r="I72" s="237" t="s">
        <v>21</v>
      </c>
      <c r="J72" s="237" t="s">
        <v>4210</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4211</v>
      </c>
      <c r="B73" s="237" t="s">
        <v>4212</v>
      </c>
      <c r="C73" s="237" t="s">
        <v>4213</v>
      </c>
      <c r="D73" s="237" t="s">
        <v>4214</v>
      </c>
      <c r="E73" s="237" t="s">
        <v>4208</v>
      </c>
      <c r="F73" s="237" t="s">
        <v>21</v>
      </c>
      <c r="G73" s="237" t="s">
        <v>4215</v>
      </c>
      <c r="H73" s="237" t="s">
        <v>4216</v>
      </c>
      <c r="I73" s="237" t="s">
        <v>21</v>
      </c>
      <c r="J73" s="237" t="s">
        <v>4217</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4218</v>
      </c>
      <c r="B74" s="237" t="s">
        <v>4219</v>
      </c>
      <c r="C74" s="237" t="s">
        <v>4220</v>
      </c>
      <c r="D74" s="237" t="s">
        <v>4214</v>
      </c>
      <c r="E74" s="237" t="s">
        <v>4221</v>
      </c>
      <c r="F74" s="237" t="s">
        <v>21</v>
      </c>
      <c r="G74" s="237" t="s">
        <v>4222</v>
      </c>
      <c r="H74" s="237" t="s">
        <v>4223</v>
      </c>
      <c r="I74" s="237" t="s">
        <v>4224</v>
      </c>
      <c r="J74" s="237" t="s">
        <v>4225</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4226</v>
      </c>
      <c r="B75" s="237" t="s">
        <v>4227</v>
      </c>
      <c r="C75" s="237" t="s">
        <v>4228</v>
      </c>
      <c r="D75" s="237" t="s">
        <v>4229</v>
      </c>
      <c r="E75" s="237" t="s">
        <v>4221</v>
      </c>
      <c r="F75" s="237" t="s">
        <v>4230</v>
      </c>
      <c r="G75" s="237" t="s">
        <v>4231</v>
      </c>
      <c r="H75" s="237" t="s">
        <v>4232</v>
      </c>
      <c r="I75" s="237" t="s">
        <v>4233</v>
      </c>
      <c r="J75" s="237" t="s">
        <v>4234</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4235</v>
      </c>
      <c r="B76" s="237" t="s">
        <v>4236</v>
      </c>
      <c r="C76" s="237" t="s">
        <v>4237</v>
      </c>
      <c r="D76" s="237" t="s">
        <v>4238</v>
      </c>
      <c r="E76" s="237" t="s">
        <v>21</v>
      </c>
      <c r="F76" s="237" t="s">
        <v>21</v>
      </c>
      <c r="G76" s="237" t="s">
        <v>21</v>
      </c>
      <c r="H76" s="237" t="s">
        <v>4239</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4240</v>
      </c>
      <c r="B77" s="237" t="s">
        <v>4241</v>
      </c>
      <c r="C77" s="237" t="s">
        <v>4242</v>
      </c>
      <c r="D77" s="237" t="s">
        <v>21</v>
      </c>
      <c r="E77" s="237" t="s">
        <v>21</v>
      </c>
      <c r="F77" s="237" t="s">
        <v>21</v>
      </c>
      <c r="G77" s="237" t="s">
        <v>4243</v>
      </c>
      <c r="H77" s="237" t="s">
        <v>4244</v>
      </c>
      <c r="I77" s="237" t="s">
        <v>21</v>
      </c>
      <c r="J77" s="237" t="s">
        <v>4245</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4246</v>
      </c>
      <c r="B78" s="237" t="s">
        <v>4247</v>
      </c>
      <c r="C78" s="237" t="s">
        <v>4248</v>
      </c>
      <c r="D78" s="237" t="s">
        <v>21</v>
      </c>
      <c r="E78" s="237" t="s">
        <v>21</v>
      </c>
      <c r="F78" s="237" t="s">
        <v>21</v>
      </c>
      <c r="G78" s="237" t="s">
        <v>4249</v>
      </c>
      <c r="H78" s="237" t="s">
        <v>4250</v>
      </c>
      <c r="I78" s="237" t="s">
        <v>4251</v>
      </c>
      <c r="J78" s="237" t="s">
        <v>4252</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4253</v>
      </c>
      <c r="B79" s="235" t="s">
        <v>4254</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1181</v>
      </c>
      <c r="B80" s="236" t="s">
        <v>4255</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4256</v>
      </c>
      <c r="B81" s="237" t="s">
        <v>4257</v>
      </c>
      <c r="C81" s="237" t="s">
        <v>4258</v>
      </c>
      <c r="D81" s="237" t="s">
        <v>4053</v>
      </c>
      <c r="E81" s="237" t="s">
        <v>4259</v>
      </c>
      <c r="F81" s="237" t="s">
        <v>21</v>
      </c>
      <c r="G81" s="237" t="s">
        <v>21</v>
      </c>
      <c r="H81" s="237" t="s">
        <v>4260</v>
      </c>
      <c r="I81" s="237" t="s">
        <v>21</v>
      </c>
      <c r="J81" s="237" t="s">
        <v>4261</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4262</v>
      </c>
      <c r="B82" s="237" t="s">
        <v>4263</v>
      </c>
      <c r="C82" s="237" t="s">
        <v>3844</v>
      </c>
      <c r="D82" s="237" t="s">
        <v>3845</v>
      </c>
      <c r="E82" s="237" t="s">
        <v>21</v>
      </c>
      <c r="F82" s="237" t="s">
        <v>3847</v>
      </c>
      <c r="G82" s="237" t="s">
        <v>21</v>
      </c>
      <c r="H82" s="237" t="s">
        <v>4264</v>
      </c>
      <c r="I82" s="237" t="s">
        <v>21</v>
      </c>
      <c r="J82" s="237" t="s">
        <v>4265</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1186</v>
      </c>
      <c r="B83" s="236" t="s">
        <v>4266</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4267</v>
      </c>
      <c r="B84" s="237" t="s">
        <v>4268</v>
      </c>
      <c r="C84" s="237" t="s">
        <v>4269</v>
      </c>
      <c r="D84" s="237" t="s">
        <v>4270</v>
      </c>
      <c r="E84" s="237" t="s">
        <v>21</v>
      </c>
      <c r="F84" s="237" t="s">
        <v>4271</v>
      </c>
      <c r="G84" s="237" t="s">
        <v>4272</v>
      </c>
      <c r="H84" s="237" t="s">
        <v>4273</v>
      </c>
      <c r="I84" s="237" t="s">
        <v>4274</v>
      </c>
      <c r="J84" s="237" t="s">
        <v>4275</v>
      </c>
      <c r="K84" s="240">
        <f>IF(COUNTIF(L84:AY84,"&lt;&gt;")=0,"",SUMPRODUCT(((Recommendations[ImplStatus]="Implemented")+(Recommendations[ImplStatus]="Compensated"))*ISNUMBER(MATCH(Recommendations[Id],L84:AY84,0)))/COUNTIF(L84:AY84,"&lt;&gt;"))</f>
        <v>0</v>
      </c>
      <c r="L84" s="243" t="s">
        <v>160</v>
      </c>
      <c r="M84" s="243" t="s">
        <v>165</v>
      </c>
      <c r="N84" s="243" t="s">
        <v>175</v>
      </c>
      <c r="O84" s="243" t="s">
        <v>180</v>
      </c>
      <c r="P84" s="243" t="s">
        <v>208</v>
      </c>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4276</v>
      </c>
      <c r="B85" s="237" t="s">
        <v>4277</v>
      </c>
      <c r="C85" s="237" t="s">
        <v>4278</v>
      </c>
      <c r="D85" s="237" t="s">
        <v>4279</v>
      </c>
      <c r="E85" s="237" t="s">
        <v>21</v>
      </c>
      <c r="F85" s="237" t="s">
        <v>21</v>
      </c>
      <c r="G85" s="237" t="s">
        <v>21</v>
      </c>
      <c r="H85" s="237" t="s">
        <v>4280</v>
      </c>
      <c r="I85" s="237" t="s">
        <v>4281</v>
      </c>
      <c r="J85" s="237" t="s">
        <v>4282</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4283</v>
      </c>
      <c r="B86" s="237" t="s">
        <v>4284</v>
      </c>
      <c r="C86" s="237" t="s">
        <v>4285</v>
      </c>
      <c r="D86" s="237" t="s">
        <v>4286</v>
      </c>
      <c r="E86" s="237" t="s">
        <v>21</v>
      </c>
      <c r="F86" s="237" t="s">
        <v>21</v>
      </c>
      <c r="G86" s="237" t="s">
        <v>4287</v>
      </c>
      <c r="H86" s="237" t="s">
        <v>4288</v>
      </c>
      <c r="I86" s="237" t="s">
        <v>21</v>
      </c>
      <c r="J86" s="237" t="s">
        <v>4289</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4290</v>
      </c>
      <c r="B87" s="237" t="s">
        <v>4291</v>
      </c>
      <c r="C87" s="237" t="s">
        <v>4292</v>
      </c>
      <c r="D87" s="237" t="s">
        <v>4293</v>
      </c>
      <c r="E87" s="237" t="s">
        <v>21</v>
      </c>
      <c r="F87" s="237" t="s">
        <v>4294</v>
      </c>
      <c r="G87" s="237" t="s">
        <v>21</v>
      </c>
      <c r="H87" s="237" t="s">
        <v>4295</v>
      </c>
      <c r="I87" s="237" t="s">
        <v>4296</v>
      </c>
      <c r="J87" s="237" t="s">
        <v>4297</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4298</v>
      </c>
      <c r="B88" s="235" t="s">
        <v>4299</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1233</v>
      </c>
      <c r="B89" s="236" t="s">
        <v>4300</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4301</v>
      </c>
      <c r="B90" s="237" t="s">
        <v>4302</v>
      </c>
      <c r="C90" s="237" t="s">
        <v>4303</v>
      </c>
      <c r="D90" s="237" t="s">
        <v>4053</v>
      </c>
      <c r="E90" s="237" t="s">
        <v>3839</v>
      </c>
      <c r="F90" s="237" t="s">
        <v>21</v>
      </c>
      <c r="G90" s="237" t="s">
        <v>21</v>
      </c>
      <c r="H90" s="237" t="s">
        <v>4304</v>
      </c>
      <c r="I90" s="237" t="s">
        <v>21</v>
      </c>
      <c r="J90" s="237" t="s">
        <v>4305</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4306</v>
      </c>
      <c r="B91" s="237" t="s">
        <v>4307</v>
      </c>
      <c r="C91" s="237" t="s">
        <v>4308</v>
      </c>
      <c r="D91" s="237" t="s">
        <v>3845</v>
      </c>
      <c r="E91" s="237" t="s">
        <v>21</v>
      </c>
      <c r="F91" s="237" t="s">
        <v>3847</v>
      </c>
      <c r="G91" s="237" t="s">
        <v>21</v>
      </c>
      <c r="H91" s="237" t="s">
        <v>4309</v>
      </c>
      <c r="I91" s="237" t="s">
        <v>21</v>
      </c>
      <c r="J91" s="237" t="s">
        <v>4310</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1237</v>
      </c>
      <c r="B92" s="236" t="s">
        <v>4311</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4312</v>
      </c>
      <c r="B93" s="237" t="s">
        <v>4313</v>
      </c>
      <c r="C93" s="237" t="s">
        <v>4314</v>
      </c>
      <c r="D93" s="237" t="s">
        <v>4315</v>
      </c>
      <c r="E93" s="237" t="s">
        <v>4316</v>
      </c>
      <c r="F93" s="237" t="s">
        <v>21</v>
      </c>
      <c r="G93" s="237" t="s">
        <v>21</v>
      </c>
      <c r="H93" s="237" t="s">
        <v>4317</v>
      </c>
      <c r="I93" s="237" t="s">
        <v>21</v>
      </c>
      <c r="J93" s="237" t="s">
        <v>4318</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4319</v>
      </c>
      <c r="B94" s="237" t="s">
        <v>4320</v>
      </c>
      <c r="C94" s="237" t="s">
        <v>4321</v>
      </c>
      <c r="D94" s="237" t="s">
        <v>4322</v>
      </c>
      <c r="E94" s="237" t="s">
        <v>21</v>
      </c>
      <c r="F94" s="237" t="s">
        <v>4323</v>
      </c>
      <c r="G94" s="237" t="s">
        <v>21</v>
      </c>
      <c r="H94" s="237" t="s">
        <v>4324</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4325</v>
      </c>
      <c r="B95" s="237" t="s">
        <v>4326</v>
      </c>
      <c r="C95" s="237" t="s">
        <v>4327</v>
      </c>
      <c r="D95" s="237" t="s">
        <v>4328</v>
      </c>
      <c r="E95" s="237" t="s">
        <v>21</v>
      </c>
      <c r="F95" s="237" t="s">
        <v>21</v>
      </c>
      <c r="G95" s="237" t="s">
        <v>21</v>
      </c>
      <c r="H95" s="237" t="s">
        <v>4329</v>
      </c>
      <c r="I95" s="237" t="s">
        <v>4330</v>
      </c>
      <c r="J95" s="237" t="s">
        <v>4331</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4332</v>
      </c>
      <c r="B96" s="237" t="s">
        <v>4333</v>
      </c>
      <c r="C96" s="237" t="s">
        <v>4334</v>
      </c>
      <c r="D96" s="237" t="s">
        <v>21</v>
      </c>
      <c r="E96" s="237" t="s">
        <v>21</v>
      </c>
      <c r="F96" s="237" t="s">
        <v>21</v>
      </c>
      <c r="G96" s="237" t="s">
        <v>21</v>
      </c>
      <c r="H96" s="237" t="s">
        <v>4335</v>
      </c>
      <c r="I96" s="237" t="s">
        <v>4281</v>
      </c>
      <c r="J96" s="237" t="s">
        <v>4336</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1241</v>
      </c>
      <c r="B97" s="236" t="s">
        <v>4337</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4338</v>
      </c>
      <c r="B98" s="237" t="s">
        <v>4339</v>
      </c>
      <c r="C98" s="237" t="s">
        <v>4340</v>
      </c>
      <c r="D98" s="237" t="s">
        <v>4341</v>
      </c>
      <c r="E98" s="237" t="s">
        <v>21</v>
      </c>
      <c r="F98" s="237" t="s">
        <v>21</v>
      </c>
      <c r="G98" s="237" t="s">
        <v>21</v>
      </c>
      <c r="H98" s="237" t="s">
        <v>4342</v>
      </c>
      <c r="I98" s="237" t="s">
        <v>21</v>
      </c>
      <c r="J98" s="237" t="s">
        <v>4343</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4344</v>
      </c>
      <c r="B99" s="237" t="s">
        <v>4345</v>
      </c>
      <c r="C99" s="237" t="s">
        <v>4346</v>
      </c>
      <c r="D99" s="237" t="s">
        <v>4347</v>
      </c>
      <c r="E99" s="237" t="s">
        <v>4348</v>
      </c>
      <c r="F99" s="237" t="s">
        <v>21</v>
      </c>
      <c r="G99" s="237" t="s">
        <v>21</v>
      </c>
      <c r="H99" s="237" t="s">
        <v>4349</v>
      </c>
      <c r="I99" s="237" t="s">
        <v>21</v>
      </c>
      <c r="J99" s="237" t="s">
        <v>4350</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4351</v>
      </c>
      <c r="B100" s="237" t="s">
        <v>4352</v>
      </c>
      <c r="C100" s="237" t="s">
        <v>4353</v>
      </c>
      <c r="D100" s="237" t="s">
        <v>21</v>
      </c>
      <c r="E100" s="237" t="s">
        <v>21</v>
      </c>
      <c r="F100" s="237" t="s">
        <v>21</v>
      </c>
      <c r="G100" s="237" t="s">
        <v>21</v>
      </c>
      <c r="H100" s="237" t="s">
        <v>4354</v>
      </c>
      <c r="I100" s="237" t="s">
        <v>4355</v>
      </c>
      <c r="J100" s="237" t="s">
        <v>4356</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4357</v>
      </c>
      <c r="B101" s="237" t="s">
        <v>4358</v>
      </c>
      <c r="C101" s="237" t="s">
        <v>4359</v>
      </c>
      <c r="D101" s="237" t="s">
        <v>21</v>
      </c>
      <c r="E101" s="237" t="s">
        <v>21</v>
      </c>
      <c r="F101" s="237" t="s">
        <v>21</v>
      </c>
      <c r="G101" s="237" t="s">
        <v>21</v>
      </c>
      <c r="H101" s="237" t="s">
        <v>4360</v>
      </c>
      <c r="I101" s="237" t="s">
        <v>4281</v>
      </c>
      <c r="J101" s="237" t="s">
        <v>4361</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4362</v>
      </c>
      <c r="B102" s="237" t="s">
        <v>4363</v>
      </c>
      <c r="C102" s="237" t="s">
        <v>4364</v>
      </c>
      <c r="D102" s="237" t="s">
        <v>4365</v>
      </c>
      <c r="E102" s="237" t="s">
        <v>21</v>
      </c>
      <c r="F102" s="237" t="s">
        <v>21</v>
      </c>
      <c r="G102" s="237" t="s">
        <v>21</v>
      </c>
      <c r="H102" s="237" t="s">
        <v>4366</v>
      </c>
      <c r="I102" s="237" t="s">
        <v>21</v>
      </c>
      <c r="J102" s="237" t="s">
        <v>4367</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4368</v>
      </c>
      <c r="B103" s="237" t="s">
        <v>4369</v>
      </c>
      <c r="C103" s="237" t="s">
        <v>4370</v>
      </c>
      <c r="D103" s="237" t="s">
        <v>4365</v>
      </c>
      <c r="E103" s="237" t="s">
        <v>21</v>
      </c>
      <c r="F103" s="237" t="s">
        <v>4371</v>
      </c>
      <c r="G103" s="237" t="s">
        <v>21</v>
      </c>
      <c r="H103" s="237" t="s">
        <v>4372</v>
      </c>
      <c r="I103" s="237" t="s">
        <v>4373</v>
      </c>
      <c r="J103" s="237" t="s">
        <v>4374</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1245</v>
      </c>
      <c r="B104" s="236" t="s">
        <v>4375</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4376</v>
      </c>
      <c r="B105" s="237" t="s">
        <v>4377</v>
      </c>
      <c r="C105" s="237" t="s">
        <v>4378</v>
      </c>
      <c r="D105" s="237" t="s">
        <v>4379</v>
      </c>
      <c r="E105" s="237" t="s">
        <v>4380</v>
      </c>
      <c r="F105" s="237" t="s">
        <v>21</v>
      </c>
      <c r="G105" s="237" t="s">
        <v>21</v>
      </c>
      <c r="H105" s="237" t="s">
        <v>4381</v>
      </c>
      <c r="I105" s="237" t="s">
        <v>4382</v>
      </c>
      <c r="J105" s="237" t="s">
        <v>4383</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4384</v>
      </c>
      <c r="B106" s="235" t="s">
        <v>4385</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1259</v>
      </c>
      <c r="B107" s="236" t="s">
        <v>4386</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4387</v>
      </c>
      <c r="B108" s="237" t="s">
        <v>4388</v>
      </c>
      <c r="C108" s="237" t="s">
        <v>4389</v>
      </c>
      <c r="D108" s="237" t="s">
        <v>4053</v>
      </c>
      <c r="E108" s="237" t="s">
        <v>3839</v>
      </c>
      <c r="F108" s="237" t="s">
        <v>21</v>
      </c>
      <c r="G108" s="237" t="s">
        <v>21</v>
      </c>
      <c r="H108" s="237" t="s">
        <v>4390</v>
      </c>
      <c r="I108" s="237" t="s">
        <v>21</v>
      </c>
      <c r="J108" s="237" t="s">
        <v>4391</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4392</v>
      </c>
      <c r="B109" s="237" t="s">
        <v>4393</v>
      </c>
      <c r="C109" s="237" t="s">
        <v>4394</v>
      </c>
      <c r="D109" s="237" t="s">
        <v>3845</v>
      </c>
      <c r="E109" s="237" t="s">
        <v>21</v>
      </c>
      <c r="F109" s="237" t="s">
        <v>3847</v>
      </c>
      <c r="G109" s="237" t="s">
        <v>21</v>
      </c>
      <c r="H109" s="237" t="s">
        <v>4395</v>
      </c>
      <c r="I109" s="237" t="s">
        <v>21</v>
      </c>
      <c r="J109" s="237" t="s">
        <v>4396</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1263</v>
      </c>
      <c r="B110" s="236" t="s">
        <v>4397</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4398</v>
      </c>
      <c r="B111" s="237" t="s">
        <v>4399</v>
      </c>
      <c r="C111" s="237" t="s">
        <v>4400</v>
      </c>
      <c r="D111" s="237" t="s">
        <v>4401</v>
      </c>
      <c r="E111" s="237" t="s">
        <v>21</v>
      </c>
      <c r="F111" s="237" t="s">
        <v>4402</v>
      </c>
      <c r="G111" s="237" t="s">
        <v>21</v>
      </c>
      <c r="H111" s="237" t="s">
        <v>4403</v>
      </c>
      <c r="I111" s="237" t="s">
        <v>4404</v>
      </c>
      <c r="J111" s="237" t="s">
        <v>4405</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4406</v>
      </c>
      <c r="B112" s="237" t="s">
        <v>4407</v>
      </c>
      <c r="C112" s="237" t="s">
        <v>4408</v>
      </c>
      <c r="D112" s="237" t="s">
        <v>4409</v>
      </c>
      <c r="E112" s="237" t="s">
        <v>21</v>
      </c>
      <c r="F112" s="237" t="s">
        <v>21</v>
      </c>
      <c r="G112" s="237" t="s">
        <v>21</v>
      </c>
      <c r="H112" s="237" t="s">
        <v>4410</v>
      </c>
      <c r="I112" s="237" t="s">
        <v>21</v>
      </c>
      <c r="J112" s="237" t="s">
        <v>4411</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4412</v>
      </c>
      <c r="B113" s="237" t="s">
        <v>4413</v>
      </c>
      <c r="C113" s="237" t="s">
        <v>4414</v>
      </c>
      <c r="D113" s="237" t="s">
        <v>4415</v>
      </c>
      <c r="E113" s="237" t="s">
        <v>21</v>
      </c>
      <c r="F113" s="237" t="s">
        <v>21</v>
      </c>
      <c r="G113" s="237" t="s">
        <v>21</v>
      </c>
      <c r="H113" s="237" t="s">
        <v>4416</v>
      </c>
      <c r="I113" s="237" t="s">
        <v>4417</v>
      </c>
      <c r="J113" s="237" t="s">
        <v>4418</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4419</v>
      </c>
      <c r="B114" s="237" t="s">
        <v>4420</v>
      </c>
      <c r="C114" s="237" t="s">
        <v>4421</v>
      </c>
      <c r="D114" s="237" t="s">
        <v>4422</v>
      </c>
      <c r="E114" s="237" t="s">
        <v>21</v>
      </c>
      <c r="F114" s="237" t="s">
        <v>21</v>
      </c>
      <c r="G114" s="237" t="s">
        <v>4423</v>
      </c>
      <c r="H114" s="237" t="s">
        <v>4424</v>
      </c>
      <c r="I114" s="237" t="s">
        <v>4425</v>
      </c>
      <c r="J114" s="237" t="s">
        <v>4426</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4427</v>
      </c>
      <c r="B115" s="237" t="s">
        <v>4428</v>
      </c>
      <c r="C115" s="237" t="s">
        <v>4429</v>
      </c>
      <c r="D115" s="237" t="s">
        <v>4430</v>
      </c>
      <c r="E115" s="237" t="s">
        <v>21</v>
      </c>
      <c r="F115" s="237" t="s">
        <v>4431</v>
      </c>
      <c r="G115" s="237" t="s">
        <v>21</v>
      </c>
      <c r="H115" s="237" t="s">
        <v>4432</v>
      </c>
      <c r="I115" s="237" t="s">
        <v>4432</v>
      </c>
      <c r="J115" s="237" t="s">
        <v>4433</v>
      </c>
      <c r="K115" s="240">
        <f>IF(COUNTIF(L115:AY115,"&lt;&gt;")=0,"",SUMPRODUCT(((Recommendations[ImplStatus]="Implemented")+(Recommendations[ImplStatus]="Compensated"))*ISNUMBER(MATCH(Recommendations[Id],L115:AY115,0)))/COUNTIF(L115:AY115,"&lt;&gt;"))</f>
        <v>0</v>
      </c>
      <c r="L115" s="243" t="s">
        <v>91</v>
      </c>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1267</v>
      </c>
      <c r="B116" s="236" t="s">
        <v>4434</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4435</v>
      </c>
      <c r="B117" s="237" t="s">
        <v>4436</v>
      </c>
      <c r="C117" s="237" t="s">
        <v>4437</v>
      </c>
      <c r="D117" s="237" t="s">
        <v>4438</v>
      </c>
      <c r="E117" s="237" t="s">
        <v>21</v>
      </c>
      <c r="F117" s="237" t="s">
        <v>4439</v>
      </c>
      <c r="G117" s="237" t="s">
        <v>4440</v>
      </c>
      <c r="H117" s="237" t="s">
        <v>4441</v>
      </c>
      <c r="I117" s="237" t="s">
        <v>4442</v>
      </c>
      <c r="J117" s="237" t="s">
        <v>4443</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4444</v>
      </c>
      <c r="B118" s="237" t="s">
        <v>4445</v>
      </c>
      <c r="C118" s="237" t="s">
        <v>4446</v>
      </c>
      <c r="D118" s="237" t="s">
        <v>4447</v>
      </c>
      <c r="E118" s="237" t="s">
        <v>21</v>
      </c>
      <c r="F118" s="237" t="s">
        <v>21</v>
      </c>
      <c r="G118" s="237" t="s">
        <v>21</v>
      </c>
      <c r="H118" s="237" t="s">
        <v>4448</v>
      </c>
      <c r="I118" s="237" t="s">
        <v>4281</v>
      </c>
      <c r="J118" s="237" t="s">
        <v>4449</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4450</v>
      </c>
      <c r="B119" s="237" t="s">
        <v>4451</v>
      </c>
      <c r="C119" s="237" t="s">
        <v>4452</v>
      </c>
      <c r="D119" s="237" t="s">
        <v>4453</v>
      </c>
      <c r="E119" s="237" t="s">
        <v>21</v>
      </c>
      <c r="F119" s="237" t="s">
        <v>4454</v>
      </c>
      <c r="G119" s="237" t="s">
        <v>21</v>
      </c>
      <c r="H119" s="237" t="s">
        <v>4455</v>
      </c>
      <c r="I119" s="237" t="s">
        <v>4456</v>
      </c>
      <c r="J119" s="237" t="s">
        <v>4457</v>
      </c>
      <c r="K119" s="240">
        <f>IF(COUNTIF(L119:AY119,"&lt;&gt;")=0,"",SUMPRODUCT(((Recommendations[ImplStatus]="Implemented")+(Recommendations[ImplStatus]="Compensated"))*ISNUMBER(MATCH(Recommendations[Id],L119:AY119,0)))/COUNTIF(L119:AY119,"&lt;&gt;"))</f>
        <v>0</v>
      </c>
      <c r="L119" s="243" t="s">
        <v>218</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1271</v>
      </c>
      <c r="B120" s="236" t="s">
        <v>4458</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4459</v>
      </c>
      <c r="B121" s="237" t="s">
        <v>4460</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4461</v>
      </c>
      <c r="B122" s="237" t="s">
        <v>4462</v>
      </c>
      <c r="C122" s="237" t="s">
        <v>4463</v>
      </c>
      <c r="D122" s="237" t="s">
        <v>4464</v>
      </c>
      <c r="E122" s="237" t="s">
        <v>21</v>
      </c>
      <c r="F122" s="237" t="s">
        <v>4465</v>
      </c>
      <c r="G122" s="237" t="s">
        <v>21</v>
      </c>
      <c r="H122" s="237" t="s">
        <v>4466</v>
      </c>
      <c r="I122" s="237" t="s">
        <v>4467</v>
      </c>
      <c r="J122" s="237" t="s">
        <v>4468</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4469</v>
      </c>
      <c r="B123" s="237" t="s">
        <v>4470</v>
      </c>
      <c r="C123" s="237" t="s">
        <v>4471</v>
      </c>
      <c r="D123" s="237" t="s">
        <v>4472</v>
      </c>
      <c r="E123" s="237" t="s">
        <v>21</v>
      </c>
      <c r="F123" s="237" t="s">
        <v>4473</v>
      </c>
      <c r="G123" s="237" t="s">
        <v>21</v>
      </c>
      <c r="H123" s="237" t="s">
        <v>4474</v>
      </c>
      <c r="I123" s="237" t="s">
        <v>21</v>
      </c>
      <c r="J123" s="237" t="s">
        <v>4475</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1275</v>
      </c>
      <c r="B124" s="236" t="s">
        <v>4476</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4477</v>
      </c>
      <c r="B125" s="237" t="s">
        <v>4478</v>
      </c>
      <c r="C125" s="237" t="s">
        <v>4479</v>
      </c>
      <c r="D125" s="237" t="s">
        <v>4480</v>
      </c>
      <c r="E125" s="237" t="s">
        <v>21</v>
      </c>
      <c r="F125" s="237" t="s">
        <v>21</v>
      </c>
      <c r="G125" s="237" t="s">
        <v>21</v>
      </c>
      <c r="H125" s="237" t="s">
        <v>4481</v>
      </c>
      <c r="I125" s="237" t="s">
        <v>21</v>
      </c>
      <c r="J125" s="237" t="s">
        <v>4482</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4483</v>
      </c>
      <c r="B126" s="237" t="s">
        <v>4484</v>
      </c>
      <c r="C126" s="237" t="s">
        <v>4485</v>
      </c>
      <c r="D126" s="237" t="s">
        <v>4486</v>
      </c>
      <c r="E126" s="237" t="s">
        <v>21</v>
      </c>
      <c r="F126" s="237" t="s">
        <v>4487</v>
      </c>
      <c r="G126" s="237" t="s">
        <v>21</v>
      </c>
      <c r="H126" s="237" t="s">
        <v>4488</v>
      </c>
      <c r="I126" s="237" t="s">
        <v>4489</v>
      </c>
      <c r="J126" s="237" t="s">
        <v>4490</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4491</v>
      </c>
      <c r="B127" s="237" t="s">
        <v>4492</v>
      </c>
      <c r="C127" s="237" t="s">
        <v>4493</v>
      </c>
      <c r="D127" s="237" t="s">
        <v>4494</v>
      </c>
      <c r="E127" s="237" t="s">
        <v>4495</v>
      </c>
      <c r="F127" s="237" t="s">
        <v>21</v>
      </c>
      <c r="G127" s="237" t="s">
        <v>21</v>
      </c>
      <c r="H127" s="237" t="s">
        <v>4496</v>
      </c>
      <c r="I127" s="237" t="s">
        <v>21</v>
      </c>
      <c r="J127" s="237" t="s">
        <v>4497</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4498</v>
      </c>
      <c r="B128" s="237" t="s">
        <v>4499</v>
      </c>
      <c r="C128" s="237" t="s">
        <v>4500</v>
      </c>
      <c r="D128" s="237" t="s">
        <v>21</v>
      </c>
      <c r="E128" s="237" t="s">
        <v>21</v>
      </c>
      <c r="F128" s="237" t="s">
        <v>21</v>
      </c>
      <c r="G128" s="237" t="s">
        <v>21</v>
      </c>
      <c r="H128" s="237" t="s">
        <v>4501</v>
      </c>
      <c r="I128" s="237" t="s">
        <v>4502</v>
      </c>
      <c r="J128" s="237" t="s">
        <v>4503</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4504</v>
      </c>
      <c r="B129" s="237" t="s">
        <v>4505</v>
      </c>
      <c r="C129" s="237" t="s">
        <v>4506</v>
      </c>
      <c r="D129" s="237" t="s">
        <v>21</v>
      </c>
      <c r="E129" s="237" t="s">
        <v>4507</v>
      </c>
      <c r="F129" s="237" t="s">
        <v>21</v>
      </c>
      <c r="G129" s="237" t="s">
        <v>21</v>
      </c>
      <c r="H129" s="237" t="s">
        <v>4508</v>
      </c>
      <c r="I129" s="237" t="s">
        <v>21</v>
      </c>
      <c r="J129" s="237" t="s">
        <v>4509</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4510</v>
      </c>
      <c r="B130" s="237" t="s">
        <v>4511</v>
      </c>
      <c r="C130" s="237" t="s">
        <v>4512</v>
      </c>
      <c r="D130" s="237" t="s">
        <v>21</v>
      </c>
      <c r="E130" s="237" t="s">
        <v>21</v>
      </c>
      <c r="F130" s="237" t="s">
        <v>21</v>
      </c>
      <c r="G130" s="237" t="s">
        <v>21</v>
      </c>
      <c r="H130" s="237" t="s">
        <v>4513</v>
      </c>
      <c r="I130" s="237" t="s">
        <v>21</v>
      </c>
      <c r="J130" s="237" t="s">
        <v>4514</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4515</v>
      </c>
      <c r="B131" s="235" t="s">
        <v>4516</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1293</v>
      </c>
      <c r="B132" s="236" t="s">
        <v>4517</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4518</v>
      </c>
      <c r="B133" s="237" t="s">
        <v>4519</v>
      </c>
      <c r="C133" s="237" t="s">
        <v>4520</v>
      </c>
      <c r="D133" s="237" t="s">
        <v>4053</v>
      </c>
      <c r="E133" s="237" t="s">
        <v>3839</v>
      </c>
      <c r="F133" s="237" t="s">
        <v>21</v>
      </c>
      <c r="G133" s="237" t="s">
        <v>21</v>
      </c>
      <c r="H133" s="237" t="s">
        <v>4521</v>
      </c>
      <c r="I133" s="237" t="s">
        <v>21</v>
      </c>
      <c r="J133" s="237" t="s">
        <v>4522</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4523</v>
      </c>
      <c r="B134" s="237" t="s">
        <v>4524</v>
      </c>
      <c r="C134" s="237" t="s">
        <v>4058</v>
      </c>
      <c r="D134" s="237" t="s">
        <v>3845</v>
      </c>
      <c r="E134" s="237" t="s">
        <v>21</v>
      </c>
      <c r="F134" s="237" t="s">
        <v>3847</v>
      </c>
      <c r="G134" s="237" t="s">
        <v>21</v>
      </c>
      <c r="H134" s="237" t="s">
        <v>4525</v>
      </c>
      <c r="I134" s="237" t="s">
        <v>21</v>
      </c>
      <c r="J134" s="237" t="s">
        <v>4526</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1297</v>
      </c>
      <c r="B135" s="236" t="s">
        <v>4527</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4528</v>
      </c>
      <c r="B136" s="237" t="s">
        <v>4529</v>
      </c>
      <c r="C136" s="237" t="s">
        <v>4530</v>
      </c>
      <c r="D136" s="237" t="s">
        <v>4531</v>
      </c>
      <c r="E136" s="237" t="s">
        <v>4532</v>
      </c>
      <c r="F136" s="237" t="s">
        <v>4533</v>
      </c>
      <c r="G136" s="237" t="s">
        <v>21</v>
      </c>
      <c r="H136" s="237" t="s">
        <v>4534</v>
      </c>
      <c r="I136" s="237" t="s">
        <v>21</v>
      </c>
      <c r="J136" s="237" t="s">
        <v>4535</v>
      </c>
      <c r="K136" s="240">
        <f>IF(COUNTIF(L136:AY136,"&lt;&gt;")=0,"",SUMPRODUCT(((Recommendations[ImplStatus]="Implemented")+(Recommendations[ImplStatus]="Compensated"))*ISNUMBER(MATCH(Recommendations[Id],L136:AY136,0)))/COUNTIF(L136:AY136,"&lt;&gt;"))</f>
        <v>0</v>
      </c>
      <c r="L136" s="243" t="s">
        <v>45</v>
      </c>
      <c r="M136" s="243" t="s">
        <v>335</v>
      </c>
      <c r="N136" s="243" t="s">
        <v>410</v>
      </c>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4536</v>
      </c>
      <c r="B137" s="237" t="s">
        <v>4537</v>
      </c>
      <c r="C137" s="237" t="s">
        <v>4538</v>
      </c>
      <c r="D137" s="237" t="s">
        <v>4539</v>
      </c>
      <c r="E137" s="237" t="s">
        <v>21</v>
      </c>
      <c r="F137" s="237" t="s">
        <v>21</v>
      </c>
      <c r="G137" s="237" t="s">
        <v>21</v>
      </c>
      <c r="H137" s="237" t="s">
        <v>4540</v>
      </c>
      <c r="I137" s="237" t="s">
        <v>21</v>
      </c>
      <c r="J137" s="237" t="s">
        <v>4541</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4542</v>
      </c>
      <c r="B138" s="237" t="s">
        <v>4543</v>
      </c>
      <c r="C138" s="237" t="s">
        <v>4544</v>
      </c>
      <c r="D138" s="237" t="s">
        <v>21</v>
      </c>
      <c r="E138" s="237" t="s">
        <v>21</v>
      </c>
      <c r="F138" s="237" t="s">
        <v>21</v>
      </c>
      <c r="G138" s="237" t="s">
        <v>21</v>
      </c>
      <c r="H138" s="237" t="s">
        <v>4545</v>
      </c>
      <c r="I138" s="237" t="s">
        <v>21</v>
      </c>
      <c r="J138" s="237" t="s">
        <v>4546</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4547</v>
      </c>
      <c r="B139" s="237" t="s">
        <v>4548</v>
      </c>
      <c r="C139" s="237" t="s">
        <v>4549</v>
      </c>
      <c r="D139" s="237" t="s">
        <v>4550</v>
      </c>
      <c r="E139" s="237" t="s">
        <v>21</v>
      </c>
      <c r="F139" s="237" t="s">
        <v>21</v>
      </c>
      <c r="G139" s="237" t="s">
        <v>21</v>
      </c>
      <c r="H139" s="237" t="s">
        <v>4551</v>
      </c>
      <c r="I139" s="237" t="s">
        <v>4552</v>
      </c>
      <c r="J139" s="237" t="s">
        <v>4553</v>
      </c>
      <c r="K139" s="240">
        <f>IF(COUNTIF(L139:AY139,"&lt;&gt;")=0,"",SUMPRODUCT(((Recommendations[ImplStatus]="Implemented")+(Recommendations[ImplStatus]="Compensated"))*ISNUMBER(MATCH(Recommendations[Id],L139:AY139,0)))/COUNTIF(L139:AY139,"&lt;&gt;"))</f>
        <v>0</v>
      </c>
      <c r="L139" s="243" t="s">
        <v>60</v>
      </c>
      <c r="M139" s="243" t="s">
        <v>88</v>
      </c>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4554</v>
      </c>
      <c r="B140" s="237" t="s">
        <v>4555</v>
      </c>
      <c r="C140" s="237" t="s">
        <v>4556</v>
      </c>
      <c r="D140" s="237" t="s">
        <v>4557</v>
      </c>
      <c r="E140" s="237" t="s">
        <v>21</v>
      </c>
      <c r="F140" s="237" t="s">
        <v>21</v>
      </c>
      <c r="G140" s="237" t="s">
        <v>21</v>
      </c>
      <c r="H140" s="237" t="s">
        <v>4558</v>
      </c>
      <c r="I140" s="237" t="s">
        <v>4281</v>
      </c>
      <c r="J140" s="237" t="s">
        <v>4559</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4560</v>
      </c>
      <c r="B141" s="237" t="s">
        <v>4561</v>
      </c>
      <c r="C141" s="237" t="s">
        <v>4562</v>
      </c>
      <c r="D141" s="237" t="s">
        <v>21</v>
      </c>
      <c r="E141" s="237" t="s">
        <v>4563</v>
      </c>
      <c r="F141" s="237" t="s">
        <v>21</v>
      </c>
      <c r="G141" s="237" t="s">
        <v>21</v>
      </c>
      <c r="H141" s="237" t="s">
        <v>4564</v>
      </c>
      <c r="I141" s="237" t="s">
        <v>4281</v>
      </c>
      <c r="J141" s="237" t="s">
        <v>4565</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4566</v>
      </c>
      <c r="B142" s="237" t="s">
        <v>4567</v>
      </c>
      <c r="C142" s="237" t="s">
        <v>4568</v>
      </c>
      <c r="D142" s="237" t="s">
        <v>4569</v>
      </c>
      <c r="E142" s="237" t="s">
        <v>4563</v>
      </c>
      <c r="F142" s="237" t="s">
        <v>21</v>
      </c>
      <c r="G142" s="237" t="s">
        <v>21</v>
      </c>
      <c r="H142" s="237" t="s">
        <v>4570</v>
      </c>
      <c r="I142" s="237" t="s">
        <v>4571</v>
      </c>
      <c r="J142" s="237" t="s">
        <v>4572</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1301</v>
      </c>
      <c r="B143" s="236" t="s">
        <v>4573</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4574</v>
      </c>
      <c r="B144" s="237" t="s">
        <v>4575</v>
      </c>
      <c r="C144" s="237" t="s">
        <v>4576</v>
      </c>
      <c r="D144" s="237" t="s">
        <v>21</v>
      </c>
      <c r="E144" s="237" t="s">
        <v>21</v>
      </c>
      <c r="F144" s="237" t="s">
        <v>21</v>
      </c>
      <c r="G144" s="237" t="s">
        <v>21</v>
      </c>
      <c r="H144" s="237" t="s">
        <v>4577</v>
      </c>
      <c r="I144" s="237" t="s">
        <v>21</v>
      </c>
      <c r="J144" s="237" t="s">
        <v>4578</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4579</v>
      </c>
      <c r="B145" s="237" t="s">
        <v>4580</v>
      </c>
      <c r="C145" s="237" t="s">
        <v>4581</v>
      </c>
      <c r="D145" s="237" t="s">
        <v>21</v>
      </c>
      <c r="E145" s="237" t="s">
        <v>21</v>
      </c>
      <c r="F145" s="237" t="s">
        <v>21</v>
      </c>
      <c r="G145" s="237" t="s">
        <v>21</v>
      </c>
      <c r="H145" s="237" t="s">
        <v>4582</v>
      </c>
      <c r="I145" s="237" t="s">
        <v>21</v>
      </c>
      <c r="J145" s="237" t="s">
        <v>4583</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4584</v>
      </c>
      <c r="B146" s="237" t="s">
        <v>4585</v>
      </c>
      <c r="C146" s="237" t="s">
        <v>4586</v>
      </c>
      <c r="D146" s="237" t="s">
        <v>4587</v>
      </c>
      <c r="E146" s="237" t="s">
        <v>21</v>
      </c>
      <c r="F146" s="237" t="s">
        <v>21</v>
      </c>
      <c r="G146" s="237" t="s">
        <v>21</v>
      </c>
      <c r="H146" s="237" t="s">
        <v>4588</v>
      </c>
      <c r="I146" s="237" t="s">
        <v>21</v>
      </c>
      <c r="J146" s="237" t="s">
        <v>4589</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4590</v>
      </c>
      <c r="B147" s="235" t="s">
        <v>4591</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1323</v>
      </c>
      <c r="B148" s="236" t="s">
        <v>4592</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4593</v>
      </c>
      <c r="B149" s="237" t="s">
        <v>4594</v>
      </c>
      <c r="C149" s="237" t="s">
        <v>4595</v>
      </c>
      <c r="D149" s="237" t="s">
        <v>4053</v>
      </c>
      <c r="E149" s="237" t="s">
        <v>3839</v>
      </c>
      <c r="F149" s="237" t="s">
        <v>21</v>
      </c>
      <c r="G149" s="237" t="s">
        <v>21</v>
      </c>
      <c r="H149" s="237" t="s">
        <v>4596</v>
      </c>
      <c r="I149" s="237" t="s">
        <v>21</v>
      </c>
      <c r="J149" s="237" t="s">
        <v>4597</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4598</v>
      </c>
      <c r="B150" s="237" t="s">
        <v>4599</v>
      </c>
      <c r="C150" s="237" t="s">
        <v>3844</v>
      </c>
      <c r="D150" s="237" t="s">
        <v>3845</v>
      </c>
      <c r="E150" s="237" t="s">
        <v>21</v>
      </c>
      <c r="F150" s="237" t="s">
        <v>3847</v>
      </c>
      <c r="G150" s="237" t="s">
        <v>21</v>
      </c>
      <c r="H150" s="237" t="s">
        <v>4600</v>
      </c>
      <c r="I150" s="237" t="s">
        <v>21</v>
      </c>
      <c r="J150" s="237" t="s">
        <v>4601</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1327</v>
      </c>
      <c r="B151" s="236" t="s">
        <v>4602</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4603</v>
      </c>
      <c r="B152" s="237" t="s">
        <v>4604</v>
      </c>
      <c r="C152" s="237" t="s">
        <v>4605</v>
      </c>
      <c r="D152" s="237" t="s">
        <v>21</v>
      </c>
      <c r="E152" s="237" t="s">
        <v>21</v>
      </c>
      <c r="F152" s="237" t="s">
        <v>21</v>
      </c>
      <c r="G152" s="237" t="s">
        <v>21</v>
      </c>
      <c r="H152" s="237" t="s">
        <v>4606</v>
      </c>
      <c r="I152" s="237" t="s">
        <v>4607</v>
      </c>
      <c r="J152" s="237" t="s">
        <v>4608</v>
      </c>
      <c r="K152" s="240">
        <f>IF(COUNTIF(L152:AY152,"&lt;&gt;")=0,"",SUMPRODUCT(((Recommendations[ImplStatus]="Implemented")+(Recommendations[ImplStatus]="Compensated"))*ISNUMBER(MATCH(Recommendations[Id],L152:AY152,0)))/COUNTIF(L152:AY152,"&lt;&gt;"))</f>
        <v>0</v>
      </c>
      <c r="L152" s="243" t="s">
        <v>25</v>
      </c>
      <c r="M152" s="243" t="s">
        <v>30</v>
      </c>
      <c r="N152" s="243" t="s">
        <v>35</v>
      </c>
      <c r="O152" s="243" t="s">
        <v>40</v>
      </c>
      <c r="P152" s="243" t="s">
        <v>97</v>
      </c>
      <c r="Q152" s="243" t="s">
        <v>140</v>
      </c>
      <c r="R152" s="243" t="s">
        <v>198</v>
      </c>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4609</v>
      </c>
      <c r="B153" s="237" t="s">
        <v>4610</v>
      </c>
      <c r="C153" s="237" t="s">
        <v>4611</v>
      </c>
      <c r="D153" s="237" t="s">
        <v>4612</v>
      </c>
      <c r="E153" s="237" t="s">
        <v>21</v>
      </c>
      <c r="F153" s="237" t="s">
        <v>4613</v>
      </c>
      <c r="G153" s="237" t="s">
        <v>21</v>
      </c>
      <c r="H153" s="237" t="s">
        <v>4614</v>
      </c>
      <c r="I153" s="237" t="s">
        <v>4615</v>
      </c>
      <c r="J153" s="237" t="s">
        <v>4616</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4617</v>
      </c>
      <c r="B154" s="237" t="s">
        <v>4618</v>
      </c>
      <c r="C154" s="237" t="s">
        <v>4619</v>
      </c>
      <c r="D154" s="237" t="s">
        <v>21</v>
      </c>
      <c r="E154" s="237" t="s">
        <v>21</v>
      </c>
      <c r="F154" s="237" t="s">
        <v>4620</v>
      </c>
      <c r="G154" s="237" t="s">
        <v>21</v>
      </c>
      <c r="H154" s="237" t="s">
        <v>4621</v>
      </c>
      <c r="I154" s="237" t="s">
        <v>21</v>
      </c>
      <c r="J154" s="237" t="s">
        <v>4622</v>
      </c>
      <c r="K154" s="240">
        <f>IF(COUNTIF(L154:AY154,"&lt;&gt;")=0,"",SUMPRODUCT(((Recommendations[ImplStatus]="Implemented")+(Recommendations[ImplStatus]="Compensated"))*ISNUMBER(MATCH(Recommendations[Id],L154:AY154,0)))/COUNTIF(L154:AY154,"&lt;&gt;"))</f>
        <v>0</v>
      </c>
      <c r="L154" s="243" t="s">
        <v>60</v>
      </c>
      <c r="M154" s="243" t="s">
        <v>88</v>
      </c>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4623</v>
      </c>
      <c r="B155" s="237" t="s">
        <v>4624</v>
      </c>
      <c r="C155" s="237" t="s">
        <v>4625</v>
      </c>
      <c r="D155" s="237" t="s">
        <v>21</v>
      </c>
      <c r="E155" s="237" t="s">
        <v>21</v>
      </c>
      <c r="F155" s="237" t="s">
        <v>21</v>
      </c>
      <c r="G155" s="237" t="s">
        <v>21</v>
      </c>
      <c r="H155" s="237" t="s">
        <v>4626</v>
      </c>
      <c r="I155" s="237" t="s">
        <v>4627</v>
      </c>
      <c r="J155" s="237" t="s">
        <v>4628</v>
      </c>
      <c r="K155" s="240">
        <f>IF(COUNTIF(L155:AY155,"&lt;&gt;")=0,"",SUMPRODUCT(((Recommendations[ImplStatus]="Implemented")+(Recommendations[ImplStatus]="Compensated"))*ISNUMBER(MATCH(Recommendations[Id],L155:AY155,0)))/COUNTIF(L155:AY155,"&lt;&gt;"))</f>
        <v>0</v>
      </c>
      <c r="L155" s="243" t="s">
        <v>14</v>
      </c>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4629</v>
      </c>
      <c r="B156" s="237" t="s">
        <v>4630</v>
      </c>
      <c r="C156" s="237" t="s">
        <v>4631</v>
      </c>
      <c r="D156" s="237" t="s">
        <v>21</v>
      </c>
      <c r="E156" s="237" t="s">
        <v>21</v>
      </c>
      <c r="F156" s="237" t="s">
        <v>21</v>
      </c>
      <c r="G156" s="237" t="s">
        <v>21</v>
      </c>
      <c r="H156" s="237" t="s">
        <v>4632</v>
      </c>
      <c r="I156" s="237" t="s">
        <v>21</v>
      </c>
      <c r="J156" s="237" t="s">
        <v>4633</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4634</v>
      </c>
      <c r="B157" s="237" t="s">
        <v>4635</v>
      </c>
      <c r="C157" s="237" t="s">
        <v>4636</v>
      </c>
      <c r="D157" s="237" t="s">
        <v>4637</v>
      </c>
      <c r="E157" s="237" t="s">
        <v>21</v>
      </c>
      <c r="F157" s="237" t="s">
        <v>21</v>
      </c>
      <c r="G157" s="237" t="s">
        <v>21</v>
      </c>
      <c r="H157" s="237" t="s">
        <v>4638</v>
      </c>
      <c r="I157" s="237" t="s">
        <v>21</v>
      </c>
      <c r="J157" s="237" t="s">
        <v>4639</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4640</v>
      </c>
      <c r="B158" s="237" t="s">
        <v>4641</v>
      </c>
      <c r="C158" s="237" t="s">
        <v>4642</v>
      </c>
      <c r="D158" s="237" t="s">
        <v>4643</v>
      </c>
      <c r="E158" s="237" t="s">
        <v>21</v>
      </c>
      <c r="F158" s="237" t="s">
        <v>21</v>
      </c>
      <c r="G158" s="237" t="s">
        <v>21</v>
      </c>
      <c r="H158" s="237" t="s">
        <v>21</v>
      </c>
      <c r="I158" s="237" t="s">
        <v>21</v>
      </c>
      <c r="J158" s="237" t="s">
        <v>4644</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4645</v>
      </c>
      <c r="B159" s="237" t="s">
        <v>4646</v>
      </c>
      <c r="C159" s="237" t="s">
        <v>4647</v>
      </c>
      <c r="D159" s="237" t="s">
        <v>4648</v>
      </c>
      <c r="E159" s="237" t="s">
        <v>21</v>
      </c>
      <c r="F159" s="237" t="s">
        <v>4649</v>
      </c>
      <c r="G159" s="237" t="s">
        <v>21</v>
      </c>
      <c r="H159" s="237" t="s">
        <v>4650</v>
      </c>
      <c r="I159" s="237" t="s">
        <v>4651</v>
      </c>
      <c r="J159" s="237" t="s">
        <v>4652</v>
      </c>
      <c r="K159" s="240">
        <f>IF(COUNTIF(L159:AY159,"&lt;&gt;")=0,"",SUMPRODUCT(((Recommendations[ImplStatus]="Implemented")+(Recommendations[ImplStatus]="Compensated"))*ISNUMBER(MATCH(Recommendations[Id],L159:AY159,0)))/COUNTIF(L159:AY159,"&lt;&gt;"))</f>
        <v>0</v>
      </c>
      <c r="L159" s="243" t="s">
        <v>55</v>
      </c>
      <c r="M159" s="243" t="s">
        <v>135</v>
      </c>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1331</v>
      </c>
      <c r="B160" s="236" t="s">
        <v>4653</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4654</v>
      </c>
      <c r="B161" s="237" t="s">
        <v>4655</v>
      </c>
      <c r="C161" s="237" t="s">
        <v>4656</v>
      </c>
      <c r="D161" s="237" t="s">
        <v>4657</v>
      </c>
      <c r="E161" s="237" t="s">
        <v>21</v>
      </c>
      <c r="F161" s="237" t="s">
        <v>21</v>
      </c>
      <c r="G161" s="237" t="s">
        <v>4658</v>
      </c>
      <c r="H161" s="237" t="s">
        <v>4659</v>
      </c>
      <c r="I161" s="237" t="s">
        <v>4660</v>
      </c>
      <c r="J161" s="237" t="s">
        <v>4661</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4662</v>
      </c>
      <c r="B162" s="237" t="s">
        <v>4663</v>
      </c>
      <c r="C162" s="237" t="s">
        <v>4664</v>
      </c>
      <c r="D162" s="237" t="s">
        <v>4665</v>
      </c>
      <c r="E162" s="237" t="s">
        <v>21</v>
      </c>
      <c r="F162" s="237" t="s">
        <v>21</v>
      </c>
      <c r="G162" s="237" t="s">
        <v>21</v>
      </c>
      <c r="H162" s="237" t="s">
        <v>4666</v>
      </c>
      <c r="I162" s="237" t="s">
        <v>21</v>
      </c>
      <c r="J162" s="237" t="s">
        <v>4667</v>
      </c>
      <c r="K162" s="240">
        <f>IF(COUNTIF(L162:AY162,"&lt;&gt;")=0,"",SUMPRODUCT(((Recommendations[ImplStatus]="Implemented")+(Recommendations[ImplStatus]="Compensated"))*ISNUMBER(MATCH(Recommendations[Id],L162:AY162,0)))/COUNTIF(L162:AY162,"&lt;&gt;"))</f>
        <v>0</v>
      </c>
      <c r="L162" s="243" t="s">
        <v>130</v>
      </c>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4668</v>
      </c>
      <c r="B163" s="237" t="s">
        <v>4669</v>
      </c>
      <c r="C163" s="237" t="s">
        <v>4670</v>
      </c>
      <c r="D163" s="237" t="s">
        <v>4665</v>
      </c>
      <c r="E163" s="237" t="s">
        <v>21</v>
      </c>
      <c r="F163" s="237" t="s">
        <v>4671</v>
      </c>
      <c r="G163" s="237" t="s">
        <v>21</v>
      </c>
      <c r="H163" s="237" t="s">
        <v>4672</v>
      </c>
      <c r="I163" s="237" t="s">
        <v>21</v>
      </c>
      <c r="J163" s="237" t="s">
        <v>4673</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4674</v>
      </c>
      <c r="B164" s="237" t="s">
        <v>4675</v>
      </c>
      <c r="C164" s="237" t="s">
        <v>4676</v>
      </c>
      <c r="D164" s="237" t="s">
        <v>4677</v>
      </c>
      <c r="E164" s="237" t="s">
        <v>21</v>
      </c>
      <c r="F164" s="237" t="s">
        <v>21</v>
      </c>
      <c r="G164" s="237" t="s">
        <v>21</v>
      </c>
      <c r="H164" s="237" t="s">
        <v>4678</v>
      </c>
      <c r="I164" s="237" t="s">
        <v>4679</v>
      </c>
      <c r="J164" s="237" t="s">
        <v>4680</v>
      </c>
      <c r="K164" s="240">
        <f>IF(COUNTIF(L164:AY164,"&lt;&gt;")=0,"",SUMPRODUCT(((Recommendations[ImplStatus]="Implemented")+(Recommendations[ImplStatus]="Compensated"))*ISNUMBER(MATCH(Recommendations[Id],L164:AY164,0)))/COUNTIF(L164:AY164,"&lt;&gt;"))</f>
        <v>0</v>
      </c>
      <c r="L164" s="243" t="s">
        <v>50</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4681</v>
      </c>
      <c r="B165" s="237" t="s">
        <v>4682</v>
      </c>
      <c r="C165" s="237" t="s">
        <v>4683</v>
      </c>
      <c r="D165" s="237" t="s">
        <v>21</v>
      </c>
      <c r="E165" s="237" t="s">
        <v>21</v>
      </c>
      <c r="F165" s="237" t="s">
        <v>21</v>
      </c>
      <c r="G165" s="237" t="s">
        <v>21</v>
      </c>
      <c r="H165" s="237" t="s">
        <v>4684</v>
      </c>
      <c r="I165" s="237" t="s">
        <v>21</v>
      </c>
      <c r="J165" s="237" t="s">
        <v>4685</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4686</v>
      </c>
      <c r="B166" s="237" t="s">
        <v>4687</v>
      </c>
      <c r="C166" s="237" t="s">
        <v>4688</v>
      </c>
      <c r="D166" s="237" t="s">
        <v>4689</v>
      </c>
      <c r="E166" s="237" t="s">
        <v>21</v>
      </c>
      <c r="F166" s="237" t="s">
        <v>21</v>
      </c>
      <c r="G166" s="237" t="s">
        <v>21</v>
      </c>
      <c r="H166" s="237" t="s">
        <v>4690</v>
      </c>
      <c r="I166" s="237" t="s">
        <v>4691</v>
      </c>
      <c r="J166" s="237" t="s">
        <v>4692</v>
      </c>
      <c r="K166" s="240">
        <f>IF(COUNTIF(L166:AY166,"&lt;&gt;")=0,"",SUMPRODUCT(((Recommendations[ImplStatus]="Implemented")+(Recommendations[ImplStatus]="Compensated"))*ISNUMBER(MATCH(Recommendations[Id],L166:AY166,0)))/COUNTIF(L166:AY166,"&lt;&gt;"))</f>
        <v>0</v>
      </c>
      <c r="L166" s="243" t="s">
        <v>102</v>
      </c>
      <c r="M166" s="243" t="s">
        <v>107</v>
      </c>
      <c r="N166" s="243" t="s">
        <v>112</v>
      </c>
      <c r="O166" s="243" t="s">
        <v>117</v>
      </c>
      <c r="P166" s="243" t="s">
        <v>121</v>
      </c>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4693</v>
      </c>
      <c r="B167" s="237" t="s">
        <v>4694</v>
      </c>
      <c r="C167" s="237" t="s">
        <v>4695</v>
      </c>
      <c r="D167" s="237" t="s">
        <v>21</v>
      </c>
      <c r="E167" s="237" t="s">
        <v>21</v>
      </c>
      <c r="F167" s="237" t="s">
        <v>21</v>
      </c>
      <c r="G167" s="237" t="s">
        <v>21</v>
      </c>
      <c r="H167" s="237" t="s">
        <v>4696</v>
      </c>
      <c r="I167" s="237" t="s">
        <v>4697</v>
      </c>
      <c r="J167" s="237" t="s">
        <v>4698</v>
      </c>
      <c r="K167" s="240">
        <f>IF(COUNTIF(L167:AY167,"&lt;&gt;")=0,"",SUMPRODUCT(((Recommendations[ImplStatus]="Implemented")+(Recommendations[ImplStatus]="Compensated"))*ISNUMBER(MATCH(Recommendations[Id],L167:AY167,0)))/COUNTIF(L167:AY167,"&lt;&gt;"))</f>
        <v>0</v>
      </c>
      <c r="L167" s="243" t="s">
        <v>102</v>
      </c>
      <c r="M167" s="243" t="s">
        <v>107</v>
      </c>
      <c r="N167" s="243" t="s">
        <v>112</v>
      </c>
      <c r="O167" s="243" t="s">
        <v>117</v>
      </c>
      <c r="P167" s="243" t="s">
        <v>121</v>
      </c>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4699</v>
      </c>
      <c r="B168" s="237" t="s">
        <v>4700</v>
      </c>
      <c r="C168" s="237" t="s">
        <v>4701</v>
      </c>
      <c r="D168" s="237" t="s">
        <v>4702</v>
      </c>
      <c r="E168" s="237" t="s">
        <v>21</v>
      </c>
      <c r="F168" s="237" t="s">
        <v>21</v>
      </c>
      <c r="G168" s="237" t="s">
        <v>21</v>
      </c>
      <c r="H168" s="237" t="s">
        <v>4703</v>
      </c>
      <c r="I168" s="237" t="s">
        <v>21</v>
      </c>
      <c r="J168" s="237" t="s">
        <v>4704</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4705</v>
      </c>
      <c r="B169" s="237" t="s">
        <v>4706</v>
      </c>
      <c r="C169" s="237" t="s">
        <v>4707</v>
      </c>
      <c r="D169" s="237" t="s">
        <v>4708</v>
      </c>
      <c r="E169" s="237" t="s">
        <v>21</v>
      </c>
      <c r="F169" s="237" t="s">
        <v>21</v>
      </c>
      <c r="G169" s="237" t="s">
        <v>4709</v>
      </c>
      <c r="H169" s="237" t="s">
        <v>4710</v>
      </c>
      <c r="I169" s="237" t="s">
        <v>4711</v>
      </c>
      <c r="J169" s="237" t="s">
        <v>4712</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4713</v>
      </c>
      <c r="B170" s="237" t="s">
        <v>4714</v>
      </c>
      <c r="C170" s="237" t="s">
        <v>4715</v>
      </c>
      <c r="D170" s="237" t="s">
        <v>4716</v>
      </c>
      <c r="E170" s="237" t="s">
        <v>21</v>
      </c>
      <c r="F170" s="237" t="s">
        <v>21</v>
      </c>
      <c r="G170" s="237" t="s">
        <v>21</v>
      </c>
      <c r="H170" s="237" t="s">
        <v>4717</v>
      </c>
      <c r="I170" s="237" t="s">
        <v>4718</v>
      </c>
      <c r="J170" s="237" t="s">
        <v>4719</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4720</v>
      </c>
      <c r="B171" s="237" t="s">
        <v>4721</v>
      </c>
      <c r="C171" s="237" t="s">
        <v>4715</v>
      </c>
      <c r="D171" s="237" t="s">
        <v>4722</v>
      </c>
      <c r="E171" s="237" t="s">
        <v>21</v>
      </c>
      <c r="F171" s="237" t="s">
        <v>21</v>
      </c>
      <c r="G171" s="237" t="s">
        <v>4723</v>
      </c>
      <c r="H171" s="237" t="s">
        <v>4717</v>
      </c>
      <c r="I171" s="237" t="s">
        <v>4724</v>
      </c>
      <c r="J171" s="237" t="s">
        <v>4725</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4726</v>
      </c>
      <c r="B172" s="237" t="s">
        <v>4727</v>
      </c>
      <c r="C172" s="237" t="s">
        <v>4728</v>
      </c>
      <c r="D172" s="237" t="s">
        <v>4729</v>
      </c>
      <c r="E172" s="237" t="s">
        <v>21</v>
      </c>
      <c r="F172" s="237" t="s">
        <v>21</v>
      </c>
      <c r="G172" s="237" t="s">
        <v>21</v>
      </c>
      <c r="H172" s="237" t="s">
        <v>4730</v>
      </c>
      <c r="I172" s="237" t="s">
        <v>21</v>
      </c>
      <c r="J172" s="237" t="s">
        <v>4731</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1335</v>
      </c>
      <c r="B173" s="236" t="s">
        <v>4732</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4733</v>
      </c>
      <c r="B174" s="237" t="s">
        <v>4734</v>
      </c>
      <c r="C174" s="237" t="s">
        <v>4735</v>
      </c>
      <c r="D174" s="237" t="s">
        <v>4736</v>
      </c>
      <c r="E174" s="237" t="s">
        <v>4737</v>
      </c>
      <c r="F174" s="237" t="s">
        <v>21</v>
      </c>
      <c r="G174" s="237" t="s">
        <v>21</v>
      </c>
      <c r="H174" s="237" t="s">
        <v>4738</v>
      </c>
      <c r="I174" s="237" t="s">
        <v>4739</v>
      </c>
      <c r="J174" s="237" t="s">
        <v>4740</v>
      </c>
      <c r="K174" s="240">
        <f>IF(COUNTIF(L174:AY174,"&lt;&gt;")=0,"",SUMPRODUCT(((Recommendations[ImplStatus]="Implemented")+(Recommendations[ImplStatus]="Compensated"))*ISNUMBER(MATCH(Recommendations[Id],L174:AY174,0)))/COUNTIF(L174:AY174,"&lt;&gt;"))</f>
        <v>0</v>
      </c>
      <c r="L174" s="243" t="s">
        <v>223</v>
      </c>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4741</v>
      </c>
      <c r="B175" s="237" t="s">
        <v>4742</v>
      </c>
      <c r="C175" s="237" t="s">
        <v>4743</v>
      </c>
      <c r="D175" s="237" t="s">
        <v>21</v>
      </c>
      <c r="E175" s="237" t="s">
        <v>4744</v>
      </c>
      <c r="F175" s="237" t="s">
        <v>21</v>
      </c>
      <c r="G175" s="237" t="s">
        <v>21</v>
      </c>
      <c r="H175" s="237" t="s">
        <v>4745</v>
      </c>
      <c r="I175" s="237" t="s">
        <v>21</v>
      </c>
      <c r="J175" s="237" t="s">
        <v>4746</v>
      </c>
      <c r="K175" s="240">
        <f>IF(COUNTIF(L175:AY175,"&lt;&gt;")=0,"",SUMPRODUCT(((Recommendations[ImplStatus]="Implemented")+(Recommendations[ImplStatus]="Compensated"))*ISNUMBER(MATCH(Recommendations[Id],L175:AY175,0)))/COUNTIF(L175:AY175,"&lt;&gt;"))</f>
        <v>0</v>
      </c>
      <c r="L175" s="243" t="s">
        <v>198</v>
      </c>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4747</v>
      </c>
      <c r="B176" s="237" t="s">
        <v>4748</v>
      </c>
      <c r="C176" s="237" t="s">
        <v>4749</v>
      </c>
      <c r="D176" s="237" t="s">
        <v>21</v>
      </c>
      <c r="E176" s="237" t="s">
        <v>4750</v>
      </c>
      <c r="F176" s="237" t="s">
        <v>21</v>
      </c>
      <c r="G176" s="237" t="s">
        <v>21</v>
      </c>
      <c r="H176" s="237" t="s">
        <v>4751</v>
      </c>
      <c r="I176" s="237" t="s">
        <v>4752</v>
      </c>
      <c r="J176" s="237" t="s">
        <v>4753</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1340</v>
      </c>
      <c r="B177" s="236" t="s">
        <v>4754</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4755</v>
      </c>
      <c r="B178" s="237" t="s">
        <v>4756</v>
      </c>
      <c r="C178" s="237" t="s">
        <v>4757</v>
      </c>
      <c r="D178" s="237" t="s">
        <v>4758</v>
      </c>
      <c r="E178" s="237" t="s">
        <v>4759</v>
      </c>
      <c r="F178" s="237" t="s">
        <v>4760</v>
      </c>
      <c r="G178" s="237" t="s">
        <v>21</v>
      </c>
      <c r="H178" s="237" t="s">
        <v>4761</v>
      </c>
      <c r="I178" s="237" t="s">
        <v>4762</v>
      </c>
      <c r="J178" s="237" t="s">
        <v>4763</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1344</v>
      </c>
      <c r="B179" s="236" t="s">
        <v>4764</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4765</v>
      </c>
      <c r="B180" s="237" t="s">
        <v>4766</v>
      </c>
      <c r="C180" s="237" t="s">
        <v>4767</v>
      </c>
      <c r="D180" s="237" t="s">
        <v>4758</v>
      </c>
      <c r="E180" s="237" t="s">
        <v>4768</v>
      </c>
      <c r="F180" s="237" t="s">
        <v>21</v>
      </c>
      <c r="G180" s="237" t="s">
        <v>21</v>
      </c>
      <c r="H180" s="237" t="s">
        <v>4769</v>
      </c>
      <c r="I180" s="237" t="s">
        <v>4281</v>
      </c>
      <c r="J180" s="237" t="s">
        <v>4770</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4771</v>
      </c>
      <c r="B181" s="237" t="s">
        <v>4772</v>
      </c>
      <c r="C181" s="237" t="s">
        <v>4773</v>
      </c>
      <c r="D181" s="237" t="s">
        <v>4774</v>
      </c>
      <c r="E181" s="237" t="s">
        <v>21</v>
      </c>
      <c r="F181" s="237" t="s">
        <v>21</v>
      </c>
      <c r="G181" s="237" t="s">
        <v>21</v>
      </c>
      <c r="H181" s="237" t="s">
        <v>4775</v>
      </c>
      <c r="I181" s="237" t="s">
        <v>4776</v>
      </c>
      <c r="J181" s="237" t="s">
        <v>4777</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4778</v>
      </c>
      <c r="B182" s="237" t="s">
        <v>4779</v>
      </c>
      <c r="C182" s="237" t="s">
        <v>4780</v>
      </c>
      <c r="D182" s="237" t="s">
        <v>4781</v>
      </c>
      <c r="E182" s="237" t="s">
        <v>21</v>
      </c>
      <c r="F182" s="237" t="s">
        <v>21</v>
      </c>
      <c r="G182" s="237" t="s">
        <v>21</v>
      </c>
      <c r="H182" s="237" t="s">
        <v>4782</v>
      </c>
      <c r="I182" s="237" t="s">
        <v>4281</v>
      </c>
      <c r="J182" s="237" t="s">
        <v>4783</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4784</v>
      </c>
      <c r="B183" s="235" t="s">
        <v>4785</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1374</v>
      </c>
      <c r="B184" s="236" t="s">
        <v>4786</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4787</v>
      </c>
      <c r="B185" s="237" t="s">
        <v>4788</v>
      </c>
      <c r="C185" s="237" t="s">
        <v>4789</v>
      </c>
      <c r="D185" s="237" t="s">
        <v>4053</v>
      </c>
      <c r="E185" s="237" t="s">
        <v>4790</v>
      </c>
      <c r="F185" s="237" t="s">
        <v>21</v>
      </c>
      <c r="G185" s="237" t="s">
        <v>21</v>
      </c>
      <c r="H185" s="237" t="s">
        <v>4791</v>
      </c>
      <c r="I185" s="237" t="s">
        <v>21</v>
      </c>
      <c r="J185" s="237" t="s">
        <v>4792</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4793</v>
      </c>
      <c r="B186" s="237" t="s">
        <v>4794</v>
      </c>
      <c r="C186" s="237" t="s">
        <v>4058</v>
      </c>
      <c r="D186" s="237" t="s">
        <v>4795</v>
      </c>
      <c r="E186" s="237" t="s">
        <v>21</v>
      </c>
      <c r="F186" s="237" t="s">
        <v>21</v>
      </c>
      <c r="G186" s="237" t="s">
        <v>21</v>
      </c>
      <c r="H186" s="237" t="s">
        <v>4796</v>
      </c>
      <c r="I186" s="237" t="s">
        <v>21</v>
      </c>
      <c r="J186" s="237" t="s">
        <v>4797</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1378</v>
      </c>
      <c r="B187" s="236" t="s">
        <v>4798</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4799</v>
      </c>
      <c r="B188" s="237" t="s">
        <v>4800</v>
      </c>
      <c r="C188" s="237" t="s">
        <v>4801</v>
      </c>
      <c r="D188" s="237" t="s">
        <v>4802</v>
      </c>
      <c r="E188" s="237" t="s">
        <v>21</v>
      </c>
      <c r="F188" s="237" t="s">
        <v>4803</v>
      </c>
      <c r="G188" s="237" t="s">
        <v>21</v>
      </c>
      <c r="H188" s="237" t="s">
        <v>4804</v>
      </c>
      <c r="I188" s="237" t="s">
        <v>4805</v>
      </c>
      <c r="J188" s="237" t="s">
        <v>4806</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4807</v>
      </c>
      <c r="B189" s="237" t="s">
        <v>4808</v>
      </c>
      <c r="C189" s="237" t="s">
        <v>4809</v>
      </c>
      <c r="D189" s="237" t="s">
        <v>4810</v>
      </c>
      <c r="E189" s="237" t="s">
        <v>21</v>
      </c>
      <c r="F189" s="237" t="s">
        <v>21</v>
      </c>
      <c r="G189" s="237" t="s">
        <v>21</v>
      </c>
      <c r="H189" s="237" t="s">
        <v>4811</v>
      </c>
      <c r="I189" s="237" t="s">
        <v>21</v>
      </c>
      <c r="J189" s="237" t="s">
        <v>4812</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4813</v>
      </c>
      <c r="B190" s="237" t="s">
        <v>4814</v>
      </c>
      <c r="C190" s="237" t="s">
        <v>4815</v>
      </c>
      <c r="D190" s="237" t="s">
        <v>4816</v>
      </c>
      <c r="E190" s="237" t="s">
        <v>21</v>
      </c>
      <c r="F190" s="237" t="s">
        <v>4817</v>
      </c>
      <c r="G190" s="237" t="s">
        <v>21</v>
      </c>
      <c r="H190" s="237" t="s">
        <v>4818</v>
      </c>
      <c r="I190" s="237" t="s">
        <v>21</v>
      </c>
      <c r="J190" s="237" t="s">
        <v>4819</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4820</v>
      </c>
      <c r="B191" s="237" t="s">
        <v>4821</v>
      </c>
      <c r="C191" s="237" t="s">
        <v>4822</v>
      </c>
      <c r="D191" s="237" t="s">
        <v>21</v>
      </c>
      <c r="E191" s="237" t="s">
        <v>21</v>
      </c>
      <c r="F191" s="237" t="s">
        <v>21</v>
      </c>
      <c r="G191" s="237" t="s">
        <v>21</v>
      </c>
      <c r="H191" s="237" t="s">
        <v>4823</v>
      </c>
      <c r="I191" s="237" t="s">
        <v>21</v>
      </c>
      <c r="J191" s="237" t="s">
        <v>4824</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4825</v>
      </c>
      <c r="B192" s="237" t="s">
        <v>4826</v>
      </c>
      <c r="C192" s="237" t="s">
        <v>4827</v>
      </c>
      <c r="D192" s="237" t="s">
        <v>4828</v>
      </c>
      <c r="E192" s="237" t="s">
        <v>4829</v>
      </c>
      <c r="F192" s="237" t="s">
        <v>21</v>
      </c>
      <c r="G192" s="237" t="s">
        <v>21</v>
      </c>
      <c r="H192" s="237" t="s">
        <v>4830</v>
      </c>
      <c r="I192" s="237" t="s">
        <v>21</v>
      </c>
      <c r="J192" s="237" t="s">
        <v>4831</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1382</v>
      </c>
      <c r="B193" s="236" t="s">
        <v>4832</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4833</v>
      </c>
      <c r="B194" s="237" t="s">
        <v>4834</v>
      </c>
      <c r="C194" s="237" t="s">
        <v>4835</v>
      </c>
      <c r="D194" s="237" t="s">
        <v>4828</v>
      </c>
      <c r="E194" s="237" t="s">
        <v>4829</v>
      </c>
      <c r="F194" s="237" t="s">
        <v>4836</v>
      </c>
      <c r="G194" s="237" t="s">
        <v>21</v>
      </c>
      <c r="H194" s="237" t="s">
        <v>4837</v>
      </c>
      <c r="I194" s="237" t="s">
        <v>21</v>
      </c>
      <c r="J194" s="237" t="s">
        <v>4838</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4839</v>
      </c>
      <c r="B195" s="237" t="s">
        <v>4840</v>
      </c>
      <c r="C195" s="237" t="s">
        <v>4841</v>
      </c>
      <c r="D195" s="237" t="s">
        <v>4842</v>
      </c>
      <c r="E195" s="237" t="s">
        <v>21</v>
      </c>
      <c r="F195" s="237" t="s">
        <v>21</v>
      </c>
      <c r="G195" s="237" t="s">
        <v>21</v>
      </c>
      <c r="H195" s="237" t="s">
        <v>4843</v>
      </c>
      <c r="I195" s="237" t="s">
        <v>21</v>
      </c>
      <c r="J195" s="237" t="s">
        <v>4844</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4845</v>
      </c>
      <c r="B196" s="237" t="s">
        <v>4846</v>
      </c>
      <c r="C196" s="237" t="s">
        <v>4847</v>
      </c>
      <c r="D196" s="237" t="s">
        <v>21</v>
      </c>
      <c r="E196" s="237" t="s">
        <v>4848</v>
      </c>
      <c r="F196" s="237" t="s">
        <v>21</v>
      </c>
      <c r="G196" s="237" t="s">
        <v>21</v>
      </c>
      <c r="H196" s="237" t="s">
        <v>4849</v>
      </c>
      <c r="I196" s="237" t="s">
        <v>21</v>
      </c>
      <c r="J196" s="237" t="s">
        <v>4850</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4851</v>
      </c>
      <c r="B197" s="237" t="s">
        <v>4852</v>
      </c>
      <c r="C197" s="237" t="s">
        <v>4853</v>
      </c>
      <c r="D197" s="237" t="s">
        <v>21</v>
      </c>
      <c r="E197" s="237" t="s">
        <v>21</v>
      </c>
      <c r="F197" s="237" t="s">
        <v>21</v>
      </c>
      <c r="G197" s="237" t="s">
        <v>21</v>
      </c>
      <c r="H197" s="237" t="s">
        <v>4854</v>
      </c>
      <c r="I197" s="237" t="s">
        <v>21</v>
      </c>
      <c r="J197" s="237" t="s">
        <v>4855</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4856</v>
      </c>
      <c r="B198" s="237" t="s">
        <v>4857</v>
      </c>
      <c r="C198" s="237" t="s">
        <v>4858</v>
      </c>
      <c r="D198" s="237" t="s">
        <v>4859</v>
      </c>
      <c r="E198" s="237" t="s">
        <v>21</v>
      </c>
      <c r="F198" s="237" t="s">
        <v>21</v>
      </c>
      <c r="G198" s="237" t="s">
        <v>21</v>
      </c>
      <c r="H198" s="237" t="s">
        <v>4860</v>
      </c>
      <c r="I198" s="237" t="s">
        <v>21</v>
      </c>
      <c r="J198" s="237" t="s">
        <v>4861</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1386</v>
      </c>
      <c r="B199" s="236" t="s">
        <v>4862</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4863</v>
      </c>
      <c r="B200" s="237" t="s">
        <v>4864</v>
      </c>
      <c r="C200" s="237" t="s">
        <v>4865</v>
      </c>
      <c r="D200" s="237" t="s">
        <v>21</v>
      </c>
      <c r="E200" s="237" t="s">
        <v>21</v>
      </c>
      <c r="F200" s="237" t="s">
        <v>21</v>
      </c>
      <c r="G200" s="237" t="s">
        <v>21</v>
      </c>
      <c r="H200" s="237" t="s">
        <v>4866</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4867</v>
      </c>
      <c r="B201" s="237" t="s">
        <v>4868</v>
      </c>
      <c r="C201" s="237" t="s">
        <v>4869</v>
      </c>
      <c r="D201" s="237" t="s">
        <v>4870</v>
      </c>
      <c r="E201" s="237" t="s">
        <v>21</v>
      </c>
      <c r="F201" s="237" t="s">
        <v>21</v>
      </c>
      <c r="G201" s="237" t="s">
        <v>21</v>
      </c>
      <c r="H201" s="237" t="s">
        <v>4871</v>
      </c>
      <c r="I201" s="237" t="s">
        <v>21</v>
      </c>
      <c r="J201" s="237" t="s">
        <v>4872</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4873</v>
      </c>
      <c r="B202" s="237" t="s">
        <v>4874</v>
      </c>
      <c r="C202" s="237" t="s">
        <v>4875</v>
      </c>
      <c r="D202" s="237" t="s">
        <v>21</v>
      </c>
      <c r="E202" s="237" t="s">
        <v>21</v>
      </c>
      <c r="F202" s="237" t="s">
        <v>21</v>
      </c>
      <c r="G202" s="237" t="s">
        <v>21</v>
      </c>
      <c r="H202" s="237" t="s">
        <v>4876</v>
      </c>
      <c r="I202" s="237" t="s">
        <v>21</v>
      </c>
      <c r="J202" s="237" t="s">
        <v>4877</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4878</v>
      </c>
      <c r="B203" s="237" t="s">
        <v>4879</v>
      </c>
      <c r="C203" s="237" t="s">
        <v>4880</v>
      </c>
      <c r="D203" s="237" t="s">
        <v>4881</v>
      </c>
      <c r="E203" s="237" t="s">
        <v>21</v>
      </c>
      <c r="F203" s="237" t="s">
        <v>21</v>
      </c>
      <c r="G203" s="237" t="s">
        <v>21</v>
      </c>
      <c r="H203" s="237" t="s">
        <v>4882</v>
      </c>
      <c r="I203" s="237" t="s">
        <v>21</v>
      </c>
      <c r="J203" s="237" t="s">
        <v>4883</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4884</v>
      </c>
      <c r="B204" s="237" t="s">
        <v>4885</v>
      </c>
      <c r="C204" s="237" t="s">
        <v>4886</v>
      </c>
      <c r="D204" s="237" t="s">
        <v>21</v>
      </c>
      <c r="E204" s="237" t="s">
        <v>21</v>
      </c>
      <c r="F204" s="237" t="s">
        <v>21</v>
      </c>
      <c r="G204" s="237" t="s">
        <v>21</v>
      </c>
      <c r="H204" s="237" t="s">
        <v>4887</v>
      </c>
      <c r="I204" s="237" t="s">
        <v>21</v>
      </c>
      <c r="J204" s="237" t="s">
        <v>4888</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4889</v>
      </c>
      <c r="B205" s="237" t="s">
        <v>4890</v>
      </c>
      <c r="C205" s="237" t="s">
        <v>4891</v>
      </c>
      <c r="D205" s="237" t="s">
        <v>21</v>
      </c>
      <c r="E205" s="237" t="s">
        <v>21</v>
      </c>
      <c r="F205" s="237" t="s">
        <v>21</v>
      </c>
      <c r="G205" s="237" t="s">
        <v>21</v>
      </c>
      <c r="H205" s="237" t="s">
        <v>4892</v>
      </c>
      <c r="I205" s="237" t="s">
        <v>4893</v>
      </c>
      <c r="J205" s="237" t="s">
        <v>4894</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4895</v>
      </c>
      <c r="B206" s="237" t="s">
        <v>4896</v>
      </c>
      <c r="C206" s="237" t="s">
        <v>4897</v>
      </c>
      <c r="D206" s="237" t="s">
        <v>21</v>
      </c>
      <c r="E206" s="237" t="s">
        <v>21</v>
      </c>
      <c r="F206" s="237" t="s">
        <v>21</v>
      </c>
      <c r="G206" s="237" t="s">
        <v>21</v>
      </c>
      <c r="H206" s="237" t="s">
        <v>4898</v>
      </c>
      <c r="I206" s="237" t="s">
        <v>21</v>
      </c>
      <c r="J206" s="237" t="s">
        <v>4899</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4900</v>
      </c>
      <c r="B207" s="237" t="s">
        <v>4901</v>
      </c>
      <c r="C207" s="237" t="s">
        <v>4897</v>
      </c>
      <c r="D207" s="237" t="s">
        <v>4902</v>
      </c>
      <c r="E207" s="237" t="s">
        <v>21</v>
      </c>
      <c r="F207" s="237" t="s">
        <v>21</v>
      </c>
      <c r="G207" s="237" t="s">
        <v>21</v>
      </c>
      <c r="H207" s="237" t="s">
        <v>4903</v>
      </c>
      <c r="I207" s="237" t="s">
        <v>21</v>
      </c>
      <c r="J207" s="237" t="s">
        <v>4904</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4905</v>
      </c>
      <c r="B208" s="237" t="s">
        <v>4906</v>
      </c>
      <c r="C208" s="237" t="s">
        <v>4907</v>
      </c>
      <c r="D208" s="237" t="s">
        <v>4902</v>
      </c>
      <c r="E208" s="237" t="s">
        <v>21</v>
      </c>
      <c r="F208" s="237" t="s">
        <v>4908</v>
      </c>
      <c r="G208" s="237" t="s">
        <v>4909</v>
      </c>
      <c r="H208" s="237" t="s">
        <v>4910</v>
      </c>
      <c r="I208" s="237" t="s">
        <v>4911</v>
      </c>
      <c r="J208" s="237" t="s">
        <v>4912</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4913</v>
      </c>
      <c r="B209" s="237" t="s">
        <v>4914</v>
      </c>
      <c r="C209" s="237" t="s">
        <v>4915</v>
      </c>
      <c r="D209" s="237" t="s">
        <v>4916</v>
      </c>
      <c r="E209" s="237" t="s">
        <v>21</v>
      </c>
      <c r="F209" s="237" t="s">
        <v>4908</v>
      </c>
      <c r="G209" s="237" t="s">
        <v>4917</v>
      </c>
      <c r="H209" s="237" t="s">
        <v>4918</v>
      </c>
      <c r="I209" s="237" t="s">
        <v>4911</v>
      </c>
      <c r="J209" s="237" t="s">
        <v>4919</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1390</v>
      </c>
      <c r="B210" s="236" t="s">
        <v>4920</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4921</v>
      </c>
      <c r="B211" s="237" t="s">
        <v>4922</v>
      </c>
      <c r="C211" s="237" t="s">
        <v>4923</v>
      </c>
      <c r="D211" s="237" t="s">
        <v>4924</v>
      </c>
      <c r="E211" s="237" t="s">
        <v>21</v>
      </c>
      <c r="F211" s="237" t="s">
        <v>21</v>
      </c>
      <c r="G211" s="237" t="s">
        <v>4925</v>
      </c>
      <c r="H211" s="237" t="s">
        <v>4926</v>
      </c>
      <c r="I211" s="237" t="s">
        <v>4927</v>
      </c>
      <c r="J211" s="237" t="s">
        <v>4928</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4929</v>
      </c>
      <c r="B212" s="237" t="s">
        <v>4930</v>
      </c>
      <c r="C212" s="237" t="s">
        <v>4931</v>
      </c>
      <c r="D212" s="237" t="s">
        <v>4932</v>
      </c>
      <c r="E212" s="237" t="s">
        <v>21</v>
      </c>
      <c r="F212" s="237" t="s">
        <v>4933</v>
      </c>
      <c r="G212" s="237" t="s">
        <v>21</v>
      </c>
      <c r="H212" s="237" t="s">
        <v>21</v>
      </c>
      <c r="I212" s="237" t="s">
        <v>21</v>
      </c>
      <c r="J212" s="237" t="s">
        <v>4934</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4935</v>
      </c>
      <c r="B213" s="237" t="s">
        <v>4936</v>
      </c>
      <c r="C213" s="237" t="s">
        <v>4937</v>
      </c>
      <c r="D213" s="237" t="s">
        <v>4938</v>
      </c>
      <c r="E213" s="237" t="s">
        <v>21</v>
      </c>
      <c r="F213" s="237" t="s">
        <v>4939</v>
      </c>
      <c r="G213" s="237" t="s">
        <v>21</v>
      </c>
      <c r="H213" s="237" t="s">
        <v>4940</v>
      </c>
      <c r="I213" s="237" t="s">
        <v>21</v>
      </c>
      <c r="J213" s="237" t="s">
        <v>4941</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4942</v>
      </c>
      <c r="B214" s="237" t="s">
        <v>4943</v>
      </c>
      <c r="C214" s="237" t="s">
        <v>4944</v>
      </c>
      <c r="D214" s="237" t="s">
        <v>4945</v>
      </c>
      <c r="E214" s="237" t="s">
        <v>21</v>
      </c>
      <c r="F214" s="237" t="s">
        <v>21</v>
      </c>
      <c r="G214" s="237" t="s">
        <v>21</v>
      </c>
      <c r="H214" s="237" t="s">
        <v>4946</v>
      </c>
      <c r="I214" s="237" t="s">
        <v>4281</v>
      </c>
      <c r="J214" s="237" t="s">
        <v>4947</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4948</v>
      </c>
      <c r="B215" s="237" t="s">
        <v>4949</v>
      </c>
      <c r="C215" s="237" t="s">
        <v>4950</v>
      </c>
      <c r="D215" s="237" t="s">
        <v>4951</v>
      </c>
      <c r="E215" s="237" t="s">
        <v>21</v>
      </c>
      <c r="F215" s="237" t="s">
        <v>21</v>
      </c>
      <c r="G215" s="237" t="s">
        <v>21</v>
      </c>
      <c r="H215" s="237" t="s">
        <v>4952</v>
      </c>
      <c r="I215" s="237" t="s">
        <v>21</v>
      </c>
      <c r="J215" s="237" t="s">
        <v>4953</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4954</v>
      </c>
      <c r="B216" s="235" t="s">
        <v>4955</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1404</v>
      </c>
      <c r="B217" s="236" t="s">
        <v>4956</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4957</v>
      </c>
      <c r="B218" s="237" t="s">
        <v>4958</v>
      </c>
      <c r="C218" s="237" t="s">
        <v>4959</v>
      </c>
      <c r="D218" s="237" t="s">
        <v>4053</v>
      </c>
      <c r="E218" s="237" t="s">
        <v>3839</v>
      </c>
      <c r="F218" s="237" t="s">
        <v>21</v>
      </c>
      <c r="G218" s="237" t="s">
        <v>21</v>
      </c>
      <c r="H218" s="237" t="s">
        <v>4960</v>
      </c>
      <c r="I218" s="237" t="s">
        <v>21</v>
      </c>
      <c r="J218" s="237" t="s">
        <v>4961</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4962</v>
      </c>
      <c r="B219" s="237" t="s">
        <v>4963</v>
      </c>
      <c r="C219" s="237" t="s">
        <v>3844</v>
      </c>
      <c r="D219" s="237" t="s">
        <v>3845</v>
      </c>
      <c r="E219" s="237" t="s">
        <v>21</v>
      </c>
      <c r="F219" s="237" t="s">
        <v>3847</v>
      </c>
      <c r="G219" s="237" t="s">
        <v>21</v>
      </c>
      <c r="H219" s="237" t="s">
        <v>4964</v>
      </c>
      <c r="I219" s="237" t="s">
        <v>21</v>
      </c>
      <c r="J219" s="237" t="s">
        <v>4965</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1408</v>
      </c>
      <c r="B220" s="236" t="s">
        <v>4966</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4967</v>
      </c>
      <c r="B221" s="237" t="s">
        <v>4968</v>
      </c>
      <c r="C221" s="237" t="s">
        <v>4969</v>
      </c>
      <c r="D221" s="237" t="s">
        <v>4970</v>
      </c>
      <c r="E221" s="237" t="s">
        <v>21</v>
      </c>
      <c r="F221" s="237" t="s">
        <v>21</v>
      </c>
      <c r="G221" s="237" t="s">
        <v>21</v>
      </c>
      <c r="H221" s="237" t="s">
        <v>4971</v>
      </c>
      <c r="I221" s="237" t="s">
        <v>21</v>
      </c>
      <c r="J221" s="237" t="s">
        <v>4972</v>
      </c>
      <c r="K221" s="240">
        <f>IF(COUNTIF(L221:AY221,"&lt;&gt;")=0,"",SUMPRODUCT(((Recommendations[ImplStatus]="Implemented")+(Recommendations[ImplStatus]="Compensated"))*ISNUMBER(MATCH(Recommendations[Id],L221:AY221,0)))/COUNTIF(L221:AY221,"&lt;&gt;"))</f>
        <v>0</v>
      </c>
      <c r="L221" s="243" t="s">
        <v>25</v>
      </c>
      <c r="M221" s="243" t="s">
        <v>30</v>
      </c>
      <c r="N221" s="243" t="s">
        <v>35</v>
      </c>
      <c r="O221" s="243" t="s">
        <v>40</v>
      </c>
      <c r="P221" s="243" t="s">
        <v>65</v>
      </c>
      <c r="Q221" s="243" t="s">
        <v>70</v>
      </c>
      <c r="R221" s="243" t="s">
        <v>75</v>
      </c>
      <c r="S221" s="243" t="s">
        <v>140</v>
      </c>
      <c r="T221" s="243" t="s">
        <v>145</v>
      </c>
      <c r="U221" s="243" t="s">
        <v>185</v>
      </c>
      <c r="V221" s="243" t="s">
        <v>190</v>
      </c>
      <c r="W221" s="243" t="s">
        <v>194</v>
      </c>
      <c r="X221" s="243" t="s">
        <v>391</v>
      </c>
      <c r="Y221" s="243" t="s">
        <v>396</v>
      </c>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4973</v>
      </c>
      <c r="B222" s="237" t="s">
        <v>4974</v>
      </c>
      <c r="C222" s="237" t="s">
        <v>4975</v>
      </c>
      <c r="D222" s="237" t="s">
        <v>4976</v>
      </c>
      <c r="E222" s="237" t="s">
        <v>21</v>
      </c>
      <c r="F222" s="237" t="s">
        <v>21</v>
      </c>
      <c r="G222" s="237" t="s">
        <v>21</v>
      </c>
      <c r="H222" s="237" t="s">
        <v>4977</v>
      </c>
      <c r="I222" s="237" t="s">
        <v>21</v>
      </c>
      <c r="J222" s="237" t="s">
        <v>4978</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4979</v>
      </c>
      <c r="B223" s="237" t="s">
        <v>4980</v>
      </c>
      <c r="C223" s="237" t="s">
        <v>4981</v>
      </c>
      <c r="D223" s="237" t="s">
        <v>21</v>
      </c>
      <c r="E223" s="237" t="s">
        <v>4982</v>
      </c>
      <c r="F223" s="237" t="s">
        <v>21</v>
      </c>
      <c r="G223" s="237" t="s">
        <v>21</v>
      </c>
      <c r="H223" s="237" t="s">
        <v>4983</v>
      </c>
      <c r="I223" s="237" t="s">
        <v>21</v>
      </c>
      <c r="J223" s="237" t="s">
        <v>4984</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4985</v>
      </c>
      <c r="B224" s="237" t="s">
        <v>4986</v>
      </c>
      <c r="C224" s="237" t="s">
        <v>4987</v>
      </c>
      <c r="D224" s="237" t="s">
        <v>21</v>
      </c>
      <c r="E224" s="237" t="s">
        <v>21</v>
      </c>
      <c r="F224" s="237" t="s">
        <v>21</v>
      </c>
      <c r="G224" s="237" t="s">
        <v>21</v>
      </c>
      <c r="H224" s="237" t="s">
        <v>4988</v>
      </c>
      <c r="I224" s="237" t="s">
        <v>21</v>
      </c>
      <c r="J224" s="237" t="s">
        <v>4989</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4990</v>
      </c>
      <c r="B225" s="237" t="s">
        <v>4991</v>
      </c>
      <c r="C225" s="237" t="s">
        <v>4992</v>
      </c>
      <c r="D225" s="237" t="s">
        <v>21</v>
      </c>
      <c r="E225" s="237" t="s">
        <v>21</v>
      </c>
      <c r="F225" s="237" t="s">
        <v>21</v>
      </c>
      <c r="G225" s="237" t="s">
        <v>21</v>
      </c>
      <c r="H225" s="237" t="s">
        <v>4993</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4994</v>
      </c>
      <c r="B226" s="237" t="s">
        <v>4995</v>
      </c>
      <c r="C226" s="237" t="s">
        <v>4996</v>
      </c>
      <c r="D226" s="237" t="s">
        <v>21</v>
      </c>
      <c r="E226" s="237" t="s">
        <v>21</v>
      </c>
      <c r="F226" s="237" t="s">
        <v>21</v>
      </c>
      <c r="G226" s="237" t="s">
        <v>21</v>
      </c>
      <c r="H226" s="237" t="s">
        <v>4997</v>
      </c>
      <c r="I226" s="237" t="s">
        <v>21</v>
      </c>
      <c r="J226" s="237" t="s">
        <v>4998</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4999</v>
      </c>
      <c r="B227" s="237" t="s">
        <v>5000</v>
      </c>
      <c r="C227" s="237" t="s">
        <v>5001</v>
      </c>
      <c r="D227" s="237" t="s">
        <v>21</v>
      </c>
      <c r="E227" s="237" t="s">
        <v>21</v>
      </c>
      <c r="F227" s="237" t="s">
        <v>21</v>
      </c>
      <c r="G227" s="237" t="s">
        <v>21</v>
      </c>
      <c r="H227" s="237" t="s">
        <v>5002</v>
      </c>
      <c r="I227" s="237" t="s">
        <v>21</v>
      </c>
      <c r="J227" s="237" t="s">
        <v>5003</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5004</v>
      </c>
      <c r="B228" s="237" t="s">
        <v>5005</v>
      </c>
      <c r="C228" s="237" t="s">
        <v>5006</v>
      </c>
      <c r="D228" s="237" t="s">
        <v>21</v>
      </c>
      <c r="E228" s="237" t="s">
        <v>21</v>
      </c>
      <c r="F228" s="237" t="s">
        <v>21</v>
      </c>
      <c r="G228" s="237" t="s">
        <v>21</v>
      </c>
      <c r="H228" s="237" t="s">
        <v>5007</v>
      </c>
      <c r="I228" s="237" t="s">
        <v>21</v>
      </c>
      <c r="J228" s="237" t="s">
        <v>5008</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5009</v>
      </c>
      <c r="B229" s="237" t="s">
        <v>5010</v>
      </c>
      <c r="C229" s="237" t="s">
        <v>5011</v>
      </c>
      <c r="D229" s="237" t="s">
        <v>21</v>
      </c>
      <c r="E229" s="237" t="s">
        <v>21</v>
      </c>
      <c r="F229" s="237" t="s">
        <v>21</v>
      </c>
      <c r="G229" s="237" t="s">
        <v>21</v>
      </c>
      <c r="H229" s="237" t="s">
        <v>5012</v>
      </c>
      <c r="I229" s="237" t="s">
        <v>21</v>
      </c>
      <c r="J229" s="237" t="s">
        <v>5013</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1412</v>
      </c>
      <c r="B230" s="236" t="s">
        <v>5014</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5015</v>
      </c>
      <c r="B231" s="237" t="s">
        <v>5016</v>
      </c>
      <c r="C231" s="237" t="s">
        <v>5017</v>
      </c>
      <c r="D231" s="237" t="s">
        <v>5018</v>
      </c>
      <c r="E231" s="237" t="s">
        <v>21</v>
      </c>
      <c r="F231" s="237" t="s">
        <v>21</v>
      </c>
      <c r="G231" s="237" t="s">
        <v>21</v>
      </c>
      <c r="H231" s="237" t="s">
        <v>5019</v>
      </c>
      <c r="I231" s="237" t="s">
        <v>21</v>
      </c>
      <c r="J231" s="237" t="s">
        <v>5020</v>
      </c>
      <c r="K231" s="240">
        <f>IF(COUNTIF(L231:AY231,"&lt;&gt;")=0,"",SUMPRODUCT(((Recommendations[ImplStatus]="Implemented")+(Recommendations[ImplStatus]="Compensated"))*ISNUMBER(MATCH(Recommendations[Id],L231:AY231,0)))/COUNTIF(L231:AY231,"&lt;&gt;"))</f>
        <v>0</v>
      </c>
      <c r="L231" s="243" t="s">
        <v>70</v>
      </c>
      <c r="M231" s="243" t="s">
        <v>75</v>
      </c>
      <c r="N231" s="243" t="s">
        <v>145</v>
      </c>
      <c r="O231" s="243" t="s">
        <v>185</v>
      </c>
      <c r="P231" s="243" t="s">
        <v>194</v>
      </c>
      <c r="Q231" s="243" t="s">
        <v>391</v>
      </c>
      <c r="R231" s="243" t="s">
        <v>396</v>
      </c>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5021</v>
      </c>
      <c r="B232" s="237" t="s">
        <v>5022</v>
      </c>
      <c r="C232" s="237" t="s">
        <v>5023</v>
      </c>
      <c r="D232" s="237" t="s">
        <v>5024</v>
      </c>
      <c r="E232" s="237" t="s">
        <v>21</v>
      </c>
      <c r="F232" s="237" t="s">
        <v>21</v>
      </c>
      <c r="G232" s="237" t="s">
        <v>21</v>
      </c>
      <c r="H232" s="237" t="s">
        <v>5025</v>
      </c>
      <c r="I232" s="237" t="s">
        <v>21</v>
      </c>
      <c r="J232" s="237" t="s">
        <v>5026</v>
      </c>
      <c r="K232" s="240">
        <f>IF(COUNTIF(L232:AY232,"&lt;&gt;")=0,"",SUMPRODUCT(((Recommendations[ImplStatus]="Implemented")+(Recommendations[ImplStatus]="Compensated"))*ISNUMBER(MATCH(Recommendations[Id],L232:AY232,0)))/COUNTIF(L232:AY232,"&lt;&gt;"))</f>
        <v>0</v>
      </c>
      <c r="L232" s="243" t="s">
        <v>213</v>
      </c>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5027</v>
      </c>
      <c r="B233" s="237" t="s">
        <v>5028</v>
      </c>
      <c r="C233" s="237" t="s">
        <v>5029</v>
      </c>
      <c r="D233" s="237" t="s">
        <v>5030</v>
      </c>
      <c r="E233" s="237" t="s">
        <v>21</v>
      </c>
      <c r="F233" s="237" t="s">
        <v>21</v>
      </c>
      <c r="G233" s="237" t="s">
        <v>21</v>
      </c>
      <c r="H233" s="237" t="s">
        <v>5031</v>
      </c>
      <c r="I233" s="237" t="s">
        <v>21</v>
      </c>
      <c r="J233" s="237" t="s">
        <v>5032</v>
      </c>
      <c r="K233" s="240">
        <f>IF(COUNTIF(L233:AY233,"&lt;&gt;")=0,"",SUMPRODUCT(((Recommendations[ImplStatus]="Implemented")+(Recommendations[ImplStatus]="Compensated"))*ISNUMBER(MATCH(Recommendations[Id],L233:AY233,0)))/COUNTIF(L233:AY233,"&lt;&gt;"))</f>
        <v>0</v>
      </c>
      <c r="L233" s="243" t="s">
        <v>213</v>
      </c>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5033</v>
      </c>
      <c r="B234" s="237" t="s">
        <v>5034</v>
      </c>
      <c r="C234" s="237" t="s">
        <v>5035</v>
      </c>
      <c r="D234" s="237" t="s">
        <v>5036</v>
      </c>
      <c r="E234" s="237" t="s">
        <v>21</v>
      </c>
      <c r="F234" s="237" t="s">
        <v>21</v>
      </c>
      <c r="G234" s="237" t="s">
        <v>21</v>
      </c>
      <c r="H234" s="237" t="s">
        <v>5037</v>
      </c>
      <c r="I234" s="237" t="s">
        <v>21</v>
      </c>
      <c r="J234" s="237" t="s">
        <v>5038</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1416</v>
      </c>
      <c r="B235" s="236" t="s">
        <v>5039</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5040</v>
      </c>
      <c r="B236" s="237" t="s">
        <v>5041</v>
      </c>
      <c r="C236" s="237" t="s">
        <v>5042</v>
      </c>
      <c r="D236" s="237" t="s">
        <v>5043</v>
      </c>
      <c r="E236" s="237" t="s">
        <v>21</v>
      </c>
      <c r="F236" s="237" t="s">
        <v>21</v>
      </c>
      <c r="G236" s="237" t="s">
        <v>21</v>
      </c>
      <c r="H236" s="237" t="s">
        <v>5044</v>
      </c>
      <c r="I236" s="237" t="s">
        <v>21</v>
      </c>
      <c r="J236" s="237" t="s">
        <v>5045</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5046</v>
      </c>
      <c r="B237" s="237" t="s">
        <v>5047</v>
      </c>
      <c r="C237" s="237" t="s">
        <v>5048</v>
      </c>
      <c r="D237" s="237" t="s">
        <v>5049</v>
      </c>
      <c r="E237" s="237" t="s">
        <v>21</v>
      </c>
      <c r="F237" s="237" t="s">
        <v>21</v>
      </c>
      <c r="G237" s="237" t="s">
        <v>5050</v>
      </c>
      <c r="H237" s="237" t="s">
        <v>5051</v>
      </c>
      <c r="I237" s="237" t="s">
        <v>4281</v>
      </c>
      <c r="J237" s="237" t="s">
        <v>5052</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5053</v>
      </c>
      <c r="B238" s="237" t="s">
        <v>5054</v>
      </c>
      <c r="C238" s="237" t="s">
        <v>5055</v>
      </c>
      <c r="D238" s="237" t="s">
        <v>21</v>
      </c>
      <c r="E238" s="237" t="s">
        <v>21</v>
      </c>
      <c r="F238" s="237" t="s">
        <v>21</v>
      </c>
      <c r="G238" s="237" t="s">
        <v>21</v>
      </c>
      <c r="H238" s="237" t="s">
        <v>5056</v>
      </c>
      <c r="I238" s="237" t="s">
        <v>5057</v>
      </c>
      <c r="J238" s="237" t="s">
        <v>5058</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5059</v>
      </c>
      <c r="B239" s="237" t="s">
        <v>5060</v>
      </c>
      <c r="C239" s="237" t="s">
        <v>5061</v>
      </c>
      <c r="D239" s="237" t="s">
        <v>21</v>
      </c>
      <c r="E239" s="237" t="s">
        <v>21</v>
      </c>
      <c r="F239" s="237" t="s">
        <v>21</v>
      </c>
      <c r="G239" s="237" t="s">
        <v>21</v>
      </c>
      <c r="H239" s="237" t="s">
        <v>5062</v>
      </c>
      <c r="I239" s="237" t="s">
        <v>4281</v>
      </c>
      <c r="J239" s="237" t="s">
        <v>5063</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5064</v>
      </c>
      <c r="B240" s="237" t="s">
        <v>5065</v>
      </c>
      <c r="C240" s="237" t="s">
        <v>5066</v>
      </c>
      <c r="D240" s="237" t="s">
        <v>5067</v>
      </c>
      <c r="E240" s="237" t="s">
        <v>21</v>
      </c>
      <c r="F240" s="237" t="s">
        <v>21</v>
      </c>
      <c r="G240" s="237" t="s">
        <v>21</v>
      </c>
      <c r="H240" s="237" t="s">
        <v>5068</v>
      </c>
      <c r="I240" s="237" t="s">
        <v>21</v>
      </c>
      <c r="J240" s="237" t="s">
        <v>5069</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1420</v>
      </c>
      <c r="B241" s="236" t="s">
        <v>5070</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5071</v>
      </c>
      <c r="B242" s="237" t="s">
        <v>5072</v>
      </c>
      <c r="C242" s="237" t="s">
        <v>5073</v>
      </c>
      <c r="D242" s="237" t="s">
        <v>21</v>
      </c>
      <c r="E242" s="237" t="s">
        <v>21</v>
      </c>
      <c r="F242" s="237" t="s">
        <v>5074</v>
      </c>
      <c r="G242" s="237" t="s">
        <v>21</v>
      </c>
      <c r="H242" s="237" t="s">
        <v>5075</v>
      </c>
      <c r="I242" s="237" t="s">
        <v>21</v>
      </c>
      <c r="J242" s="237" t="s">
        <v>5076</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1424</v>
      </c>
      <c r="B243" s="236" t="s">
        <v>5077</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5078</v>
      </c>
      <c r="B244" s="237" t="s">
        <v>5079</v>
      </c>
      <c r="C244" s="237" t="s">
        <v>5080</v>
      </c>
      <c r="D244" s="237" t="s">
        <v>21</v>
      </c>
      <c r="E244" s="237" t="s">
        <v>21</v>
      </c>
      <c r="F244" s="237" t="s">
        <v>5081</v>
      </c>
      <c r="G244" s="237" t="s">
        <v>21</v>
      </c>
      <c r="H244" s="237" t="s">
        <v>5082</v>
      </c>
      <c r="I244" s="237" t="s">
        <v>5083</v>
      </c>
      <c r="J244" s="237" t="s">
        <v>5084</v>
      </c>
      <c r="K244" s="240">
        <f>IF(COUNTIF(L244:AY244,"&lt;&gt;")=0,"",SUMPRODUCT(((Recommendations[ImplStatus]="Implemented")+(Recommendations[ImplStatus]="Compensated"))*ISNUMBER(MATCH(Recommendations[Id],L244:AY244,0)))/COUNTIF(L244:AY244,"&lt;&gt;"))</f>
        <v>0</v>
      </c>
      <c r="L244" s="243" t="s">
        <v>65</v>
      </c>
      <c r="M244" s="243" t="s">
        <v>155</v>
      </c>
      <c r="N244" s="243" t="s">
        <v>170</v>
      </c>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5085</v>
      </c>
      <c r="B245" s="237" t="s">
        <v>5086</v>
      </c>
      <c r="C245" s="237" t="s">
        <v>5087</v>
      </c>
      <c r="D245" s="237" t="s">
        <v>5088</v>
      </c>
      <c r="E245" s="237" t="s">
        <v>21</v>
      </c>
      <c r="F245" s="237" t="s">
        <v>21</v>
      </c>
      <c r="G245" s="237" t="s">
        <v>21</v>
      </c>
      <c r="H245" s="237" t="s">
        <v>5089</v>
      </c>
      <c r="I245" s="237" t="s">
        <v>21</v>
      </c>
      <c r="J245" s="237" t="s">
        <v>5090</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5091</v>
      </c>
      <c r="B246" s="237" t="s">
        <v>5092</v>
      </c>
      <c r="C246" s="237" t="s">
        <v>5093</v>
      </c>
      <c r="D246" s="237" t="s">
        <v>21</v>
      </c>
      <c r="E246" s="237" t="s">
        <v>21</v>
      </c>
      <c r="F246" s="237" t="s">
        <v>21</v>
      </c>
      <c r="G246" s="237" t="s">
        <v>21</v>
      </c>
      <c r="H246" s="237" t="s">
        <v>5094</v>
      </c>
      <c r="I246" s="237" t="s">
        <v>21</v>
      </c>
      <c r="J246" s="237" t="s">
        <v>5095</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1428</v>
      </c>
      <c r="B247" s="236" t="s">
        <v>5096</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5097</v>
      </c>
      <c r="B248" s="237" t="s">
        <v>5098</v>
      </c>
      <c r="C248" s="237" t="s">
        <v>5099</v>
      </c>
      <c r="D248" s="237" t="s">
        <v>5100</v>
      </c>
      <c r="E248" s="237" t="s">
        <v>21</v>
      </c>
      <c r="F248" s="237" t="s">
        <v>21</v>
      </c>
      <c r="G248" s="237" t="s">
        <v>21</v>
      </c>
      <c r="H248" s="237" t="s">
        <v>5101</v>
      </c>
      <c r="I248" s="237" t="s">
        <v>5102</v>
      </c>
      <c r="J248" s="237" t="s">
        <v>5103</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5104</v>
      </c>
      <c r="B249" s="237" t="s">
        <v>5105</v>
      </c>
      <c r="C249" s="237" t="s">
        <v>5099</v>
      </c>
      <c r="D249" s="237" t="s">
        <v>5106</v>
      </c>
      <c r="E249" s="237" t="s">
        <v>21</v>
      </c>
      <c r="F249" s="237" t="s">
        <v>21</v>
      </c>
      <c r="G249" s="237" t="s">
        <v>21</v>
      </c>
      <c r="H249" s="237" t="s">
        <v>5101</v>
      </c>
      <c r="I249" s="237" t="s">
        <v>5107</v>
      </c>
      <c r="J249" s="237" t="s">
        <v>5108</v>
      </c>
      <c r="K249" s="240">
        <f>IF(COUNTIF(L249:AY249,"&lt;&gt;")=0,"",SUMPRODUCT(((Recommendations[ImplStatus]="Implemented")+(Recommendations[ImplStatus]="Compensated"))*ISNUMBER(MATCH(Recommendations[Id],L249:AY249,0)))/COUNTIF(L249:AY249,"&lt;&gt;"))</f>
        <v>0</v>
      </c>
      <c r="L249" s="243" t="s">
        <v>150</v>
      </c>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5109</v>
      </c>
      <c r="B250" s="237" t="s">
        <v>5110</v>
      </c>
      <c r="C250" s="237" t="s">
        <v>5111</v>
      </c>
      <c r="D250" s="237" t="s">
        <v>5112</v>
      </c>
      <c r="E250" s="237" t="s">
        <v>21</v>
      </c>
      <c r="F250" s="237" t="s">
        <v>21</v>
      </c>
      <c r="G250" s="237" t="s">
        <v>21</v>
      </c>
      <c r="H250" s="237" t="s">
        <v>5113</v>
      </c>
      <c r="I250" s="237" t="s">
        <v>21</v>
      </c>
      <c r="J250" s="237" t="s">
        <v>5114</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5115</v>
      </c>
      <c r="B251" s="235" t="s">
        <v>5116</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1434</v>
      </c>
      <c r="B252" s="236" t="s">
        <v>5117</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5118</v>
      </c>
      <c r="B253" s="237" t="s">
        <v>5119</v>
      </c>
      <c r="C253" s="237" t="s">
        <v>5120</v>
      </c>
      <c r="D253" s="237" t="s">
        <v>4053</v>
      </c>
      <c r="E253" s="237" t="s">
        <v>3839</v>
      </c>
      <c r="F253" s="237" t="s">
        <v>21</v>
      </c>
      <c r="G253" s="237" t="s">
        <v>21</v>
      </c>
      <c r="H253" s="237" t="s">
        <v>5121</v>
      </c>
      <c r="I253" s="237" t="s">
        <v>21</v>
      </c>
      <c r="J253" s="237" t="s">
        <v>5122</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5123</v>
      </c>
      <c r="B254" s="237" t="s">
        <v>5124</v>
      </c>
      <c r="C254" s="237" t="s">
        <v>3844</v>
      </c>
      <c r="D254" s="237" t="s">
        <v>3845</v>
      </c>
      <c r="E254" s="237" t="s">
        <v>21</v>
      </c>
      <c r="F254" s="237" t="s">
        <v>3847</v>
      </c>
      <c r="G254" s="237" t="s">
        <v>21</v>
      </c>
      <c r="H254" s="237" t="s">
        <v>5125</v>
      </c>
      <c r="I254" s="237" t="s">
        <v>21</v>
      </c>
      <c r="J254" s="237" t="s">
        <v>5126</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1438</v>
      </c>
      <c r="B255" s="236" t="s">
        <v>5127</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5128</v>
      </c>
      <c r="B256" s="237" t="s">
        <v>5129</v>
      </c>
      <c r="C256" s="237" t="s">
        <v>5130</v>
      </c>
      <c r="D256" s="237" t="s">
        <v>5131</v>
      </c>
      <c r="E256" s="237" t="s">
        <v>5132</v>
      </c>
      <c r="F256" s="237" t="s">
        <v>5133</v>
      </c>
      <c r="G256" s="237" t="s">
        <v>21</v>
      </c>
      <c r="H256" s="237" t="s">
        <v>5134</v>
      </c>
      <c r="I256" s="237" t="s">
        <v>21</v>
      </c>
      <c r="J256" s="237" t="s">
        <v>5135</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5136</v>
      </c>
      <c r="B257" s="237" t="s">
        <v>5137</v>
      </c>
      <c r="C257" s="237" t="s">
        <v>5138</v>
      </c>
      <c r="D257" s="237" t="s">
        <v>5139</v>
      </c>
      <c r="E257" s="237" t="s">
        <v>21</v>
      </c>
      <c r="F257" s="237" t="s">
        <v>21</v>
      </c>
      <c r="G257" s="237" t="s">
        <v>21</v>
      </c>
      <c r="H257" s="237" t="s">
        <v>5140</v>
      </c>
      <c r="I257" s="237" t="s">
        <v>21</v>
      </c>
      <c r="J257" s="237" t="s">
        <v>5141</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1443</v>
      </c>
      <c r="B258" s="236" t="s">
        <v>5142</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5143</v>
      </c>
      <c r="B259" s="237" t="s">
        <v>5144</v>
      </c>
      <c r="C259" s="237" t="s">
        <v>5145</v>
      </c>
      <c r="D259" s="237" t="s">
        <v>5146</v>
      </c>
      <c r="E259" s="237" t="s">
        <v>5147</v>
      </c>
      <c r="F259" s="237" t="s">
        <v>21</v>
      </c>
      <c r="G259" s="237" t="s">
        <v>21</v>
      </c>
      <c r="H259" s="237" t="s">
        <v>5148</v>
      </c>
      <c r="I259" s="237" t="s">
        <v>21</v>
      </c>
      <c r="J259" s="237" t="s">
        <v>5149</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5150</v>
      </c>
      <c r="B260" s="237" t="s">
        <v>5151</v>
      </c>
      <c r="C260" s="237" t="s">
        <v>5152</v>
      </c>
      <c r="D260" s="237" t="s">
        <v>21</v>
      </c>
      <c r="E260" s="237" t="s">
        <v>21</v>
      </c>
      <c r="F260" s="237" t="s">
        <v>21</v>
      </c>
      <c r="G260" s="237" t="s">
        <v>21</v>
      </c>
      <c r="H260" s="237" t="s">
        <v>5153</v>
      </c>
      <c r="I260" s="237" t="s">
        <v>5154</v>
      </c>
      <c r="J260" s="237" t="s">
        <v>5155</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5156</v>
      </c>
      <c r="B261" s="237" t="s">
        <v>5157</v>
      </c>
      <c r="C261" s="237" t="s">
        <v>5158</v>
      </c>
      <c r="D261" s="237" t="s">
        <v>5159</v>
      </c>
      <c r="E261" s="237" t="s">
        <v>21</v>
      </c>
      <c r="F261" s="237" t="s">
        <v>21</v>
      </c>
      <c r="G261" s="237" t="s">
        <v>21</v>
      </c>
      <c r="H261" s="237" t="s">
        <v>5160</v>
      </c>
      <c r="I261" s="237" t="s">
        <v>5161</v>
      </c>
      <c r="J261" s="237" t="s">
        <v>5162</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5163</v>
      </c>
      <c r="B262" s="237" t="s">
        <v>5164</v>
      </c>
      <c r="C262" s="237" t="s">
        <v>5165</v>
      </c>
      <c r="D262" s="237" t="s">
        <v>5166</v>
      </c>
      <c r="E262" s="237" t="s">
        <v>21</v>
      </c>
      <c r="F262" s="237" t="s">
        <v>21</v>
      </c>
      <c r="G262" s="237" t="s">
        <v>21</v>
      </c>
      <c r="H262" s="237" t="s">
        <v>5167</v>
      </c>
      <c r="I262" s="237" t="s">
        <v>5168</v>
      </c>
      <c r="J262" s="237" t="s">
        <v>5169</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5170</v>
      </c>
      <c r="B263" s="237" t="s">
        <v>5171</v>
      </c>
      <c r="C263" s="237" t="s">
        <v>5172</v>
      </c>
      <c r="D263" s="237" t="s">
        <v>5173</v>
      </c>
      <c r="E263" s="237" t="s">
        <v>21</v>
      </c>
      <c r="F263" s="237" t="s">
        <v>21</v>
      </c>
      <c r="G263" s="237" t="s">
        <v>5174</v>
      </c>
      <c r="H263" s="237" t="s">
        <v>4077</v>
      </c>
      <c r="I263" s="237" t="s">
        <v>5175</v>
      </c>
      <c r="J263" s="237" t="s">
        <v>5176</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5177</v>
      </c>
      <c r="B264" s="237" t="s">
        <v>5178</v>
      </c>
      <c r="C264" s="237" t="s">
        <v>5165</v>
      </c>
      <c r="D264" s="237" t="s">
        <v>5179</v>
      </c>
      <c r="E264" s="237" t="s">
        <v>21</v>
      </c>
      <c r="F264" s="237" t="s">
        <v>21</v>
      </c>
      <c r="G264" s="237" t="s">
        <v>21</v>
      </c>
      <c r="H264" s="237" t="s">
        <v>5180</v>
      </c>
      <c r="I264" s="237" t="s">
        <v>21</v>
      </c>
      <c r="J264" s="237" t="s">
        <v>5181</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1447</v>
      </c>
      <c r="B265" s="236" t="s">
        <v>5182</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5183</v>
      </c>
      <c r="B266" s="237" t="s">
        <v>5184</v>
      </c>
      <c r="C266" s="237" t="s">
        <v>5185</v>
      </c>
      <c r="D266" s="237" t="s">
        <v>5186</v>
      </c>
      <c r="E266" s="237" t="s">
        <v>5187</v>
      </c>
      <c r="F266" s="237" t="s">
        <v>21</v>
      </c>
      <c r="G266" s="237" t="s">
        <v>5188</v>
      </c>
      <c r="H266" s="237" t="s">
        <v>5189</v>
      </c>
      <c r="I266" s="237" t="s">
        <v>5190</v>
      </c>
      <c r="J266" s="237" t="s">
        <v>5191</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5192</v>
      </c>
      <c r="B267" s="237" t="s">
        <v>5193</v>
      </c>
      <c r="C267" s="237" t="s">
        <v>5194</v>
      </c>
      <c r="D267" s="237" t="s">
        <v>5195</v>
      </c>
      <c r="E267" s="237" t="s">
        <v>21</v>
      </c>
      <c r="F267" s="237" t="s">
        <v>21</v>
      </c>
      <c r="G267" s="237" t="s">
        <v>21</v>
      </c>
      <c r="H267" s="237" t="s">
        <v>5196</v>
      </c>
      <c r="I267" s="237" t="s">
        <v>21</v>
      </c>
      <c r="J267" s="237" t="s">
        <v>5197</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5198</v>
      </c>
      <c r="B268" s="237" t="s">
        <v>5199</v>
      </c>
      <c r="C268" s="237" t="s">
        <v>5200</v>
      </c>
      <c r="D268" s="237" t="s">
        <v>5195</v>
      </c>
      <c r="E268" s="237" t="s">
        <v>21</v>
      </c>
      <c r="F268" s="237" t="s">
        <v>21</v>
      </c>
      <c r="G268" s="237" t="s">
        <v>5201</v>
      </c>
      <c r="H268" s="237" t="s">
        <v>5202</v>
      </c>
      <c r="I268" s="237" t="s">
        <v>21</v>
      </c>
      <c r="J268" s="237" t="s">
        <v>5203</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5204</v>
      </c>
      <c r="B269" s="237" t="s">
        <v>5205</v>
      </c>
      <c r="C269" s="237" t="s">
        <v>5200</v>
      </c>
      <c r="D269" s="237" t="s">
        <v>5206</v>
      </c>
      <c r="E269" s="237" t="s">
        <v>21</v>
      </c>
      <c r="F269" s="237" t="s">
        <v>21</v>
      </c>
      <c r="G269" s="237" t="s">
        <v>21</v>
      </c>
      <c r="H269" s="237" t="s">
        <v>5207</v>
      </c>
      <c r="I269" s="237" t="s">
        <v>21</v>
      </c>
      <c r="J269" s="237" t="s">
        <v>5208</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5209</v>
      </c>
      <c r="B270" s="237" t="s">
        <v>5210</v>
      </c>
      <c r="C270" s="237" t="s">
        <v>5211</v>
      </c>
      <c r="D270" s="237" t="s">
        <v>5212</v>
      </c>
      <c r="E270" s="237" t="s">
        <v>21</v>
      </c>
      <c r="F270" s="237" t="s">
        <v>21</v>
      </c>
      <c r="G270" s="237" t="s">
        <v>21</v>
      </c>
      <c r="H270" s="237" t="s">
        <v>5213</v>
      </c>
      <c r="I270" s="237" t="s">
        <v>21</v>
      </c>
      <c r="J270" s="237" t="s">
        <v>5214</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5215</v>
      </c>
      <c r="B271" s="237" t="s">
        <v>5216</v>
      </c>
      <c r="C271" s="237" t="s">
        <v>5217</v>
      </c>
      <c r="D271" s="237" t="s">
        <v>5218</v>
      </c>
      <c r="E271" s="237" t="s">
        <v>21</v>
      </c>
      <c r="F271" s="237" t="s">
        <v>21</v>
      </c>
      <c r="G271" s="237" t="s">
        <v>21</v>
      </c>
      <c r="H271" s="237" t="s">
        <v>5219</v>
      </c>
      <c r="I271" s="237" t="s">
        <v>5220</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5221</v>
      </c>
      <c r="B272" s="237" t="s">
        <v>5222</v>
      </c>
      <c r="C272" s="237" t="s">
        <v>5223</v>
      </c>
      <c r="D272" s="237" t="s">
        <v>5224</v>
      </c>
      <c r="E272" s="237" t="s">
        <v>21</v>
      </c>
      <c r="F272" s="237" t="s">
        <v>21</v>
      </c>
      <c r="G272" s="237" t="s">
        <v>21</v>
      </c>
      <c r="H272" s="237" t="s">
        <v>5225</v>
      </c>
      <c r="I272" s="237" t="s">
        <v>5226</v>
      </c>
      <c r="J272" s="237" t="s">
        <v>5227</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1451</v>
      </c>
      <c r="B273" s="236" t="s">
        <v>5228</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5229</v>
      </c>
      <c r="B274" s="237" t="s">
        <v>5230</v>
      </c>
      <c r="C274" s="237" t="s">
        <v>5231</v>
      </c>
      <c r="D274" s="237" t="s">
        <v>5224</v>
      </c>
      <c r="E274" s="237" t="s">
        <v>5232</v>
      </c>
      <c r="F274" s="237" t="s">
        <v>21</v>
      </c>
      <c r="G274" s="237" t="s">
        <v>21</v>
      </c>
      <c r="H274" s="237" t="s">
        <v>5233</v>
      </c>
      <c r="I274" s="237" t="s">
        <v>21</v>
      </c>
      <c r="J274" s="237" t="s">
        <v>5234</v>
      </c>
      <c r="K274" s="240">
        <f>IF(COUNTIF(L274:AY274,"&lt;&gt;")=0,"",SUMPRODUCT(((Recommendations[ImplStatus]="Implemented")+(Recommendations[ImplStatus]="Compensated"))*ISNUMBER(MATCH(Recommendations[Id],L274:AY274,0)))/COUNTIF(L274:AY274,"&lt;&gt;"))</f>
        <v>0</v>
      </c>
      <c r="L274" s="243" t="s">
        <v>234</v>
      </c>
      <c r="M274" s="243" t="s">
        <v>255</v>
      </c>
      <c r="N274" s="243" t="s">
        <v>356</v>
      </c>
      <c r="O274" s="243" t="s">
        <v>519</v>
      </c>
      <c r="P274" s="243" t="s">
        <v>627</v>
      </c>
      <c r="Q274" s="243" t="s">
        <v>662</v>
      </c>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5235</v>
      </c>
      <c r="B275" s="237" t="s">
        <v>5236</v>
      </c>
      <c r="C275" s="237" t="s">
        <v>5237</v>
      </c>
      <c r="D275" s="237" t="s">
        <v>5238</v>
      </c>
      <c r="E275" s="237" t="s">
        <v>21</v>
      </c>
      <c r="F275" s="237" t="s">
        <v>21</v>
      </c>
      <c r="G275" s="237" t="s">
        <v>21</v>
      </c>
      <c r="H275" s="237" t="s">
        <v>5239</v>
      </c>
      <c r="I275" s="237" t="s">
        <v>21</v>
      </c>
      <c r="J275" s="237" t="s">
        <v>5240</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5241</v>
      </c>
      <c r="B276" s="237" t="s">
        <v>5242</v>
      </c>
      <c r="C276" s="237" t="s">
        <v>5243</v>
      </c>
      <c r="D276" s="237" t="s">
        <v>5244</v>
      </c>
      <c r="E276" s="237" t="s">
        <v>21</v>
      </c>
      <c r="F276" s="237" t="s">
        <v>5245</v>
      </c>
      <c r="G276" s="237" t="s">
        <v>21</v>
      </c>
      <c r="H276" s="237" t="s">
        <v>5246</v>
      </c>
      <c r="I276" s="237" t="s">
        <v>5247</v>
      </c>
      <c r="J276" s="237" t="s">
        <v>5248</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5249</v>
      </c>
      <c r="B277" s="236" t="s">
        <v>5250</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5251</v>
      </c>
      <c r="B278" s="237" t="s">
        <v>5252</v>
      </c>
      <c r="C278" s="237" t="s">
        <v>5253</v>
      </c>
      <c r="D278" s="237" t="s">
        <v>5254</v>
      </c>
      <c r="E278" s="237" t="s">
        <v>21</v>
      </c>
      <c r="F278" s="237" t="s">
        <v>5255</v>
      </c>
      <c r="G278" s="237" t="s">
        <v>21</v>
      </c>
      <c r="H278" s="237" t="s">
        <v>5256</v>
      </c>
      <c r="I278" s="237" t="s">
        <v>21</v>
      </c>
      <c r="J278" s="237" t="s">
        <v>5257</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5258</v>
      </c>
      <c r="B279" s="235" t="s">
        <v>5259</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1457</v>
      </c>
      <c r="B280" s="236" t="s">
        <v>5260</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5261</v>
      </c>
      <c r="B281" s="237" t="s">
        <v>5262</v>
      </c>
      <c r="C281" s="237" t="s">
        <v>5263</v>
      </c>
      <c r="D281" s="237" t="s">
        <v>5264</v>
      </c>
      <c r="E281" s="237" t="s">
        <v>5265</v>
      </c>
      <c r="F281" s="237" t="s">
        <v>21</v>
      </c>
      <c r="G281" s="237" t="s">
        <v>21</v>
      </c>
      <c r="H281" s="237" t="s">
        <v>5266</v>
      </c>
      <c r="I281" s="237" t="s">
        <v>21</v>
      </c>
      <c r="J281" s="237" t="s">
        <v>5267</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5268</v>
      </c>
      <c r="B282" s="237" t="s">
        <v>5269</v>
      </c>
      <c r="C282" s="237" t="s">
        <v>5270</v>
      </c>
      <c r="D282" s="237" t="s">
        <v>21</v>
      </c>
      <c r="E282" s="237" t="s">
        <v>21</v>
      </c>
      <c r="F282" s="237" t="s">
        <v>21</v>
      </c>
      <c r="G282" s="237" t="s">
        <v>21</v>
      </c>
      <c r="H282" s="237" t="s">
        <v>5271</v>
      </c>
      <c r="I282" s="237" t="s">
        <v>21</v>
      </c>
      <c r="J282" s="237" t="s">
        <v>5272</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5273</v>
      </c>
      <c r="B283" s="237" t="s">
        <v>5274</v>
      </c>
      <c r="C283" s="237" t="s">
        <v>5275</v>
      </c>
      <c r="D283" s="237" t="s">
        <v>21</v>
      </c>
      <c r="E283" s="237" t="s">
        <v>21</v>
      </c>
      <c r="F283" s="237" t="s">
        <v>21</v>
      </c>
      <c r="G283" s="237" t="s">
        <v>21</v>
      </c>
      <c r="H283" s="237" t="s">
        <v>5276</v>
      </c>
      <c r="I283" s="237" t="s">
        <v>21</v>
      </c>
      <c r="J283" s="237" t="s">
        <v>5277</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5278</v>
      </c>
      <c r="B284" s="237" t="s">
        <v>5279</v>
      </c>
      <c r="C284" s="237" t="s">
        <v>5280</v>
      </c>
      <c r="D284" s="237" t="s">
        <v>5281</v>
      </c>
      <c r="E284" s="237" t="s">
        <v>21</v>
      </c>
      <c r="F284" s="237" t="s">
        <v>21</v>
      </c>
      <c r="G284" s="237" t="s">
        <v>21</v>
      </c>
      <c r="H284" s="237" t="s">
        <v>5282</v>
      </c>
      <c r="I284" s="237" t="s">
        <v>21</v>
      </c>
      <c r="J284" s="237" t="s">
        <v>5283</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1461</v>
      </c>
      <c r="B285" s="236" t="s">
        <v>5284</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5285</v>
      </c>
      <c r="B286" s="237" t="s">
        <v>5286</v>
      </c>
      <c r="C286" s="237" t="s">
        <v>5287</v>
      </c>
      <c r="D286" s="237" t="s">
        <v>5288</v>
      </c>
      <c r="E286" s="237" t="s">
        <v>21</v>
      </c>
      <c r="F286" s="237" t="s">
        <v>21</v>
      </c>
      <c r="G286" s="237" t="s">
        <v>21</v>
      </c>
      <c r="H286" s="237" t="s">
        <v>5289</v>
      </c>
      <c r="I286" s="237" t="s">
        <v>5290</v>
      </c>
      <c r="J286" s="237" t="s">
        <v>5291</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1465</v>
      </c>
      <c r="B287" s="236" t="s">
        <v>5292</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5293</v>
      </c>
      <c r="B288" s="237" t="s">
        <v>5294</v>
      </c>
      <c r="C288" s="237" t="s">
        <v>5295</v>
      </c>
      <c r="D288" s="237" t="s">
        <v>5296</v>
      </c>
      <c r="E288" s="237" t="s">
        <v>5297</v>
      </c>
      <c r="F288" s="237" t="s">
        <v>5298</v>
      </c>
      <c r="G288" s="237" t="s">
        <v>5299</v>
      </c>
      <c r="H288" s="237" t="s">
        <v>5300</v>
      </c>
      <c r="I288" s="237" t="s">
        <v>4281</v>
      </c>
      <c r="J288" s="237" t="s">
        <v>5301</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5302</v>
      </c>
      <c r="B289" s="237" t="s">
        <v>5303</v>
      </c>
      <c r="C289" s="237" t="s">
        <v>5304</v>
      </c>
      <c r="D289" s="237" t="s">
        <v>21</v>
      </c>
      <c r="E289" s="237" t="s">
        <v>5297</v>
      </c>
      <c r="F289" s="237" t="s">
        <v>21</v>
      </c>
      <c r="G289" s="237" t="s">
        <v>5305</v>
      </c>
      <c r="H289" s="237" t="s">
        <v>5306</v>
      </c>
      <c r="I289" s="237" t="s">
        <v>5307</v>
      </c>
      <c r="J289" s="237" t="s">
        <v>5308</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5309</v>
      </c>
      <c r="B290" s="237" t="s">
        <v>5310</v>
      </c>
      <c r="C290" s="237" t="s">
        <v>5311</v>
      </c>
      <c r="D290" s="237" t="s">
        <v>21</v>
      </c>
      <c r="E290" s="237" t="s">
        <v>5312</v>
      </c>
      <c r="F290" s="237" t="s">
        <v>21</v>
      </c>
      <c r="G290" s="237" t="s">
        <v>5313</v>
      </c>
      <c r="H290" s="237" t="s">
        <v>5314</v>
      </c>
      <c r="I290" s="237" t="s">
        <v>5315</v>
      </c>
      <c r="J290" s="237" t="s">
        <v>5316</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5317</v>
      </c>
      <c r="B291" s="237" t="s">
        <v>5318</v>
      </c>
      <c r="C291" s="237" t="s">
        <v>5319</v>
      </c>
      <c r="D291" s="237" t="s">
        <v>21</v>
      </c>
      <c r="E291" s="237" t="s">
        <v>21</v>
      </c>
      <c r="F291" s="237" t="s">
        <v>21</v>
      </c>
      <c r="G291" s="237" t="s">
        <v>21</v>
      </c>
      <c r="H291" s="237" t="s">
        <v>5320</v>
      </c>
      <c r="I291" s="237" t="s">
        <v>4281</v>
      </c>
      <c r="J291" s="237" t="s">
        <v>5321</v>
      </c>
      <c r="K291" s="240">
        <f>IF(COUNTIF(L291:AY291,"&lt;&gt;")=0,"",SUMPRODUCT(((Recommendations[ImplStatus]="Implemented")+(Recommendations[ImplStatus]="Compensated"))*ISNUMBER(MATCH(Recommendations[Id],L291:AY291,0)))/COUNTIF(L291:AY291,"&lt;&gt;"))</f>
        <v>0</v>
      </c>
      <c r="L291" s="243" t="s">
        <v>203</v>
      </c>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1469</v>
      </c>
      <c r="B292" s="236" t="s">
        <v>5322</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5323</v>
      </c>
      <c r="B293" s="237" t="s">
        <v>5324</v>
      </c>
      <c r="C293" s="237" t="s">
        <v>5325</v>
      </c>
      <c r="D293" s="237" t="s">
        <v>5326</v>
      </c>
      <c r="E293" s="237" t="s">
        <v>21</v>
      </c>
      <c r="F293" s="237" t="s">
        <v>21</v>
      </c>
      <c r="G293" s="237" t="s">
        <v>21</v>
      </c>
      <c r="H293" s="237" t="s">
        <v>5327</v>
      </c>
      <c r="I293" s="237" t="s">
        <v>5328</v>
      </c>
      <c r="J293" s="237" t="s">
        <v>5329</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5330</v>
      </c>
      <c r="B294" s="237" t="s">
        <v>5331</v>
      </c>
      <c r="C294" s="237" t="s">
        <v>5332</v>
      </c>
      <c r="D294" s="237" t="s">
        <v>5326</v>
      </c>
      <c r="E294" s="237" t="s">
        <v>21</v>
      </c>
      <c r="F294" s="237" t="s">
        <v>5333</v>
      </c>
      <c r="G294" s="237" t="s">
        <v>21</v>
      </c>
      <c r="H294" s="237" t="s">
        <v>5334</v>
      </c>
      <c r="I294" s="237" t="s">
        <v>4251</v>
      </c>
      <c r="J294" s="237" t="s">
        <v>5335</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5336</v>
      </c>
      <c r="B295" s="237" t="s">
        <v>5337</v>
      </c>
      <c r="C295" s="237" t="s">
        <v>5338</v>
      </c>
      <c r="D295" s="237" t="s">
        <v>5339</v>
      </c>
      <c r="E295" s="237" t="s">
        <v>21</v>
      </c>
      <c r="F295" s="237" t="s">
        <v>21</v>
      </c>
      <c r="G295" s="237" t="s">
        <v>21</v>
      </c>
      <c r="H295" s="237" t="s">
        <v>5340</v>
      </c>
      <c r="I295" s="237" t="s">
        <v>4251</v>
      </c>
      <c r="J295" s="237" t="s">
        <v>5341</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1473</v>
      </c>
      <c r="B296" s="236" t="s">
        <v>5342</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5343</v>
      </c>
      <c r="B297" s="237" t="s">
        <v>5344</v>
      </c>
      <c r="C297" s="237" t="s">
        <v>5345</v>
      </c>
      <c r="D297" s="237" t="s">
        <v>5339</v>
      </c>
      <c r="E297" s="237" t="s">
        <v>21</v>
      </c>
      <c r="F297" s="237" t="s">
        <v>5346</v>
      </c>
      <c r="G297" s="237" t="s">
        <v>21</v>
      </c>
      <c r="H297" s="237" t="s">
        <v>5347</v>
      </c>
      <c r="I297" s="237" t="s">
        <v>21</v>
      </c>
      <c r="J297" s="237" t="s">
        <v>5348</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5349</v>
      </c>
      <c r="B298" s="237" t="s">
        <v>5350</v>
      </c>
      <c r="C298" s="237" t="s">
        <v>5351</v>
      </c>
      <c r="D298" s="237" t="s">
        <v>5352</v>
      </c>
      <c r="E298" s="237" t="s">
        <v>21</v>
      </c>
      <c r="F298" s="237" t="s">
        <v>21</v>
      </c>
      <c r="G298" s="237" t="s">
        <v>5353</v>
      </c>
      <c r="H298" s="237" t="s">
        <v>5354</v>
      </c>
      <c r="I298" s="237" t="s">
        <v>5354</v>
      </c>
      <c r="J298" s="237" t="s">
        <v>5355</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5356</v>
      </c>
      <c r="B299" s="237" t="s">
        <v>5357</v>
      </c>
      <c r="C299" s="237" t="s">
        <v>5358</v>
      </c>
      <c r="D299" s="237" t="s">
        <v>21</v>
      </c>
      <c r="E299" s="237" t="s">
        <v>21</v>
      </c>
      <c r="F299" s="237" t="s">
        <v>21</v>
      </c>
      <c r="G299" s="237" t="s">
        <v>21</v>
      </c>
      <c r="H299" s="237" t="s">
        <v>5359</v>
      </c>
      <c r="I299" s="237" t="s">
        <v>5360</v>
      </c>
      <c r="J299" s="237" t="s">
        <v>5361</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5362</v>
      </c>
      <c r="B300" s="237" t="s">
        <v>5363</v>
      </c>
      <c r="C300" s="237" t="s">
        <v>5364</v>
      </c>
      <c r="D300" s="237" t="s">
        <v>21</v>
      </c>
      <c r="E300" s="237" t="s">
        <v>21</v>
      </c>
      <c r="F300" s="237" t="s">
        <v>5365</v>
      </c>
      <c r="G300" s="237" t="s">
        <v>21</v>
      </c>
      <c r="H300" s="237" t="s">
        <v>5366</v>
      </c>
      <c r="I300" s="237" t="s">
        <v>5360</v>
      </c>
      <c r="J300" s="237" t="s">
        <v>5367</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1477</v>
      </c>
      <c r="B301" s="236" t="s">
        <v>5368</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5369</v>
      </c>
      <c r="B302" s="237" t="s">
        <v>5370</v>
      </c>
      <c r="C302" s="237" t="s">
        <v>5371</v>
      </c>
      <c r="D302" s="237" t="s">
        <v>21</v>
      </c>
      <c r="E302" s="237" t="s">
        <v>21</v>
      </c>
      <c r="F302" s="237" t="s">
        <v>21</v>
      </c>
      <c r="G302" s="237" t="s">
        <v>21</v>
      </c>
      <c r="H302" s="237" t="s">
        <v>5372</v>
      </c>
      <c r="I302" s="237" t="s">
        <v>21</v>
      </c>
      <c r="J302" s="237" t="s">
        <v>5373</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5374</v>
      </c>
      <c r="B303" s="237" t="s">
        <v>5375</v>
      </c>
      <c r="C303" s="237" t="s">
        <v>5376</v>
      </c>
      <c r="D303" s="237" t="s">
        <v>5377</v>
      </c>
      <c r="E303" s="237" t="s">
        <v>21</v>
      </c>
      <c r="F303" s="237" t="s">
        <v>21</v>
      </c>
      <c r="G303" s="237" t="s">
        <v>21</v>
      </c>
      <c r="H303" s="237" t="s">
        <v>5378</v>
      </c>
      <c r="I303" s="237" t="s">
        <v>4281</v>
      </c>
      <c r="J303" s="237" t="s">
        <v>5379</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5380</v>
      </c>
      <c r="B304" s="237" t="s">
        <v>5381</v>
      </c>
      <c r="C304" s="237" t="s">
        <v>5382</v>
      </c>
      <c r="D304" s="237" t="s">
        <v>5377</v>
      </c>
      <c r="E304" s="237" t="s">
        <v>21</v>
      </c>
      <c r="F304" s="237" t="s">
        <v>5383</v>
      </c>
      <c r="G304" s="237" t="s">
        <v>21</v>
      </c>
      <c r="H304" s="237" t="s">
        <v>5384</v>
      </c>
      <c r="I304" s="237" t="s">
        <v>21</v>
      </c>
      <c r="J304" s="237" t="s">
        <v>5385</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5386</v>
      </c>
      <c r="B305" s="237" t="s">
        <v>5387</v>
      </c>
      <c r="C305" s="237" t="s">
        <v>5388</v>
      </c>
      <c r="D305" s="237" t="s">
        <v>5389</v>
      </c>
      <c r="E305" s="237" t="s">
        <v>21</v>
      </c>
      <c r="F305" s="237" t="s">
        <v>21</v>
      </c>
      <c r="G305" s="237" t="s">
        <v>21</v>
      </c>
      <c r="H305" s="237" t="s">
        <v>5390</v>
      </c>
      <c r="I305" s="237" t="s">
        <v>5391</v>
      </c>
      <c r="J305" s="237" t="s">
        <v>5392</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5393</v>
      </c>
      <c r="B306" s="237" t="s">
        <v>5394</v>
      </c>
      <c r="C306" s="237" t="s">
        <v>5395</v>
      </c>
      <c r="D306" s="237" t="s">
        <v>5396</v>
      </c>
      <c r="E306" s="237" t="s">
        <v>21</v>
      </c>
      <c r="F306" s="237" t="s">
        <v>21</v>
      </c>
      <c r="G306" s="237" t="s">
        <v>21</v>
      </c>
      <c r="H306" s="237" t="s">
        <v>5397</v>
      </c>
      <c r="I306" s="237" t="s">
        <v>4281</v>
      </c>
      <c r="J306" s="237" t="s">
        <v>5398</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1481</v>
      </c>
      <c r="B307" s="236" t="s">
        <v>5399</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5400</v>
      </c>
      <c r="B308" s="237" t="s">
        <v>5401</v>
      </c>
      <c r="C308" s="237" t="s">
        <v>5402</v>
      </c>
      <c r="D308" s="237" t="s">
        <v>5396</v>
      </c>
      <c r="E308" s="237" t="s">
        <v>21</v>
      </c>
      <c r="F308" s="237" t="s">
        <v>5403</v>
      </c>
      <c r="G308" s="237" t="s">
        <v>21</v>
      </c>
      <c r="H308" s="237" t="s">
        <v>5404</v>
      </c>
      <c r="I308" s="237" t="s">
        <v>5405</v>
      </c>
      <c r="J308" s="237" t="s">
        <v>5406</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1485</v>
      </c>
      <c r="B309" s="236" t="s">
        <v>5407</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5408</v>
      </c>
      <c r="B310" s="237" t="s">
        <v>5409</v>
      </c>
      <c r="C310" s="237" t="s">
        <v>5410</v>
      </c>
      <c r="D310" s="237" t="s">
        <v>21</v>
      </c>
      <c r="E310" s="237" t="s">
        <v>21</v>
      </c>
      <c r="F310" s="237" t="s">
        <v>5411</v>
      </c>
      <c r="G310" s="237" t="s">
        <v>21</v>
      </c>
      <c r="H310" s="237" t="s">
        <v>5412</v>
      </c>
      <c r="I310" s="237" t="s">
        <v>5413</v>
      </c>
      <c r="J310" s="237" t="s">
        <v>5414</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5415</v>
      </c>
      <c r="B311" s="237" t="s">
        <v>5416</v>
      </c>
      <c r="C311" s="237" t="s">
        <v>5417</v>
      </c>
      <c r="D311" s="237" t="s">
        <v>5418</v>
      </c>
      <c r="E311" s="237" t="s">
        <v>21</v>
      </c>
      <c r="F311" s="237" t="s">
        <v>21</v>
      </c>
      <c r="G311" s="237" t="s">
        <v>5419</v>
      </c>
      <c r="H311" s="237" t="s">
        <v>5420</v>
      </c>
      <c r="I311" s="237" t="s">
        <v>21</v>
      </c>
      <c r="J311" s="237" t="s">
        <v>5421</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5422</v>
      </c>
      <c r="B312" s="237" t="s">
        <v>5423</v>
      </c>
      <c r="C312" s="237" t="s">
        <v>5424</v>
      </c>
      <c r="D312" s="237" t="s">
        <v>5425</v>
      </c>
      <c r="E312" s="237" t="s">
        <v>21</v>
      </c>
      <c r="F312" s="237" t="s">
        <v>21</v>
      </c>
      <c r="G312" s="237" t="s">
        <v>21</v>
      </c>
      <c r="H312" s="237" t="s">
        <v>5426</v>
      </c>
      <c r="I312" s="237" t="s">
        <v>21</v>
      </c>
      <c r="J312" s="237" t="s">
        <v>5427</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5428</v>
      </c>
      <c r="B313" s="237" t="s">
        <v>5429</v>
      </c>
      <c r="C313" s="237" t="s">
        <v>5430</v>
      </c>
      <c r="D313" s="237" t="s">
        <v>5431</v>
      </c>
      <c r="E313" s="237" t="s">
        <v>21</v>
      </c>
      <c r="F313" s="237" t="s">
        <v>21</v>
      </c>
      <c r="G313" s="237" t="s">
        <v>5432</v>
      </c>
      <c r="H313" s="237" t="s">
        <v>5433</v>
      </c>
      <c r="I313" s="237" t="s">
        <v>5434</v>
      </c>
      <c r="J313" s="237" t="s">
        <v>5435</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5436</v>
      </c>
      <c r="B314" s="237" t="s">
        <v>5437</v>
      </c>
      <c r="C314" s="237" t="s">
        <v>5438</v>
      </c>
      <c r="D314" s="237" t="s">
        <v>5439</v>
      </c>
      <c r="E314" s="237" t="s">
        <v>21</v>
      </c>
      <c r="F314" s="237" t="s">
        <v>21</v>
      </c>
      <c r="G314" s="237" t="s">
        <v>5440</v>
      </c>
      <c r="H314" s="237" t="s">
        <v>5441</v>
      </c>
      <c r="I314" s="237" t="s">
        <v>5442</v>
      </c>
      <c r="J314" s="237" t="s">
        <v>5443</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5444</v>
      </c>
      <c r="B315" s="236" t="s">
        <v>5445</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5446</v>
      </c>
      <c r="B316" s="237" t="s">
        <v>5447</v>
      </c>
      <c r="C316" s="237" t="s">
        <v>5448</v>
      </c>
      <c r="D316" s="237" t="s">
        <v>21</v>
      </c>
      <c r="E316" s="237" t="s">
        <v>21</v>
      </c>
      <c r="F316" s="237" t="s">
        <v>21</v>
      </c>
      <c r="G316" s="237" t="s">
        <v>21</v>
      </c>
      <c r="H316" s="237" t="s">
        <v>5449</v>
      </c>
      <c r="I316" s="237" t="s">
        <v>5450</v>
      </c>
      <c r="J316" s="237" t="s">
        <v>5451</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5452</v>
      </c>
      <c r="B317" s="237" t="s">
        <v>5453</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5454</v>
      </c>
      <c r="B318" s="236" t="s">
        <v>5455</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5456</v>
      </c>
      <c r="B319" s="237" t="s">
        <v>5457</v>
      </c>
      <c r="C319" s="237" t="s">
        <v>5458</v>
      </c>
      <c r="D319" s="237" t="s">
        <v>5459</v>
      </c>
      <c r="E319" s="237" t="s">
        <v>21</v>
      </c>
      <c r="F319" s="237" t="s">
        <v>5460</v>
      </c>
      <c r="G319" s="237" t="s">
        <v>5461</v>
      </c>
      <c r="H319" s="237" t="s">
        <v>5462</v>
      </c>
      <c r="I319" s="237" t="s">
        <v>21</v>
      </c>
      <c r="J319" s="237" t="s">
        <v>5463</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5464</v>
      </c>
      <c r="B320" s="237" t="s">
        <v>5465</v>
      </c>
      <c r="C320" s="237" t="s">
        <v>5466</v>
      </c>
      <c r="D320" s="237" t="s">
        <v>5467</v>
      </c>
      <c r="E320" s="237" t="s">
        <v>21</v>
      </c>
      <c r="F320" s="237" t="s">
        <v>21</v>
      </c>
      <c r="G320" s="237" t="s">
        <v>21</v>
      </c>
      <c r="H320" s="237" t="s">
        <v>5468</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5469</v>
      </c>
      <c r="B321" s="237" t="s">
        <v>5470</v>
      </c>
      <c r="C321" s="237" t="s">
        <v>5471</v>
      </c>
      <c r="D321" s="237" t="s">
        <v>5472</v>
      </c>
      <c r="E321" s="237" t="s">
        <v>21</v>
      </c>
      <c r="F321" s="237" t="s">
        <v>21</v>
      </c>
      <c r="G321" s="237" t="s">
        <v>21</v>
      </c>
      <c r="H321" s="237" t="s">
        <v>5473</v>
      </c>
      <c r="I321" s="237" t="s">
        <v>21</v>
      </c>
      <c r="J321" s="237" t="s">
        <v>5474</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5475</v>
      </c>
      <c r="B322" s="237" t="s">
        <v>5476</v>
      </c>
      <c r="C322" s="237" t="s">
        <v>5477</v>
      </c>
      <c r="D322" s="237" t="s">
        <v>5478</v>
      </c>
      <c r="E322" s="237" t="s">
        <v>21</v>
      </c>
      <c r="F322" s="237" t="s">
        <v>21</v>
      </c>
      <c r="G322" s="237" t="s">
        <v>21</v>
      </c>
      <c r="H322" s="237" t="s">
        <v>5479</v>
      </c>
      <c r="I322" s="237" t="s">
        <v>21</v>
      </c>
      <c r="J322" s="237" t="s">
        <v>5480</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5481</v>
      </c>
      <c r="B323" s="237" t="s">
        <v>5482</v>
      </c>
      <c r="C323" s="237" t="s">
        <v>5483</v>
      </c>
      <c r="D323" s="237" t="s">
        <v>21</v>
      </c>
      <c r="E323" s="237" t="s">
        <v>21</v>
      </c>
      <c r="F323" s="237" t="s">
        <v>21</v>
      </c>
      <c r="G323" s="237" t="s">
        <v>21</v>
      </c>
      <c r="H323" s="237" t="s">
        <v>5484</v>
      </c>
      <c r="I323" s="237" t="s">
        <v>4281</v>
      </c>
      <c r="J323" s="237" t="s">
        <v>5485</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5486</v>
      </c>
      <c r="B324" s="237" t="s">
        <v>5487</v>
      </c>
      <c r="C324" s="237" t="s">
        <v>5488</v>
      </c>
      <c r="D324" s="237" t="s">
        <v>21</v>
      </c>
      <c r="E324" s="237" t="s">
        <v>21</v>
      </c>
      <c r="F324" s="237" t="s">
        <v>21</v>
      </c>
      <c r="G324" s="237" t="s">
        <v>21</v>
      </c>
      <c r="H324" s="237" t="s">
        <v>5489</v>
      </c>
      <c r="I324" s="237" t="s">
        <v>5490</v>
      </c>
      <c r="J324" s="237" t="s">
        <v>5491</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5492</v>
      </c>
      <c r="B325" s="237" t="s">
        <v>5493</v>
      </c>
      <c r="C325" s="237" t="s">
        <v>5494</v>
      </c>
      <c r="D325" s="237" t="s">
        <v>5495</v>
      </c>
      <c r="E325" s="237" t="s">
        <v>21</v>
      </c>
      <c r="F325" s="237" t="s">
        <v>21</v>
      </c>
      <c r="G325" s="237" t="s">
        <v>21</v>
      </c>
      <c r="H325" s="237" t="s">
        <v>5496</v>
      </c>
      <c r="I325" s="237" t="s">
        <v>21</v>
      </c>
      <c r="J325" s="237" t="s">
        <v>5497</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5498</v>
      </c>
      <c r="B326" s="244" t="s">
        <v>5499</v>
      </c>
      <c r="C326" s="244" t="s">
        <v>5500</v>
      </c>
      <c r="D326" s="244" t="s">
        <v>5501</v>
      </c>
      <c r="E326" s="244" t="s">
        <v>21</v>
      </c>
      <c r="F326" s="244" t="s">
        <v>21</v>
      </c>
      <c r="G326" s="244" t="s">
        <v>21</v>
      </c>
      <c r="H326" s="244" t="s">
        <v>5502</v>
      </c>
      <c r="I326" s="244" t="s">
        <v>4281</v>
      </c>
      <c r="J326" s="244" t="s">
        <v>5503</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770</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IFERROR(INDEX('Recommendations'!$H$2:$H$153, MATCH(L2,'Recommendations'!$A$2:$A$153,0))="Implemented", FALSE))</xm:f>
            <x14:dxf>
              <font>
                <color rgb="FF000000"/>
              </font>
              <fill>
                <patternFill>
                  <bgColor rgb="FF3C7D22"/>
                </patternFill>
              </fill>
            </x14:dxf>
          </x14:cfRule>
          <x14:cfRule type="expression" priority="2" id="{00000000-000E-0000-0A00-000002000000}">
            <xm:f>AND(L2&lt;&gt;"", IFERROR(INDEX('Recommendations'!$H$2:$H$153, MATCH(L2,'Recommendations'!$A$2:$A$153,0))="Compensated", FALSE))</xm:f>
            <x14:dxf>
              <font>
                <color rgb="FF000000"/>
              </font>
              <fill>
                <patternFill>
                  <bgColor rgb="FFC6E0B4"/>
                </patternFill>
              </fill>
            </x14:dxf>
          </x14:cfRule>
          <x14:cfRule type="expression" priority="3" id="{00000000-000E-0000-0A00-000003000000}">
            <xm:f>AND(L2&lt;&gt;"", IFERROR(INDEX('Recommendations'!$H$2:$H$153, MATCH(L2,'Recommendations'!$A$2:$A$153,0))="Testing", FALSE))</xm:f>
            <x14:dxf>
              <font>
                <color rgb="FF000000"/>
              </font>
              <fill>
                <patternFill>
                  <bgColor rgb="FFFFC000"/>
                </patternFill>
              </fill>
            </x14:dxf>
          </x14:cfRule>
          <x14:cfRule type="expression" priority="4" id="{00000000-000E-0000-0A00-000004000000}">
            <xm:f>AND(L2&lt;&gt;"", IFERROR(INDEX('Recommendations'!$H$2:$H$153, MATCH(L2,'Recommendations'!$A$2:$A$153,0))="Failed", FALSE))</xm:f>
            <x14:dxf>
              <font>
                <color rgb="FF000000"/>
              </font>
              <fill>
                <patternFill>
                  <bgColor rgb="FFD82891"/>
                </patternFill>
              </fill>
            </x14:dxf>
          </x14:cfRule>
          <x14:cfRule type="expression" priority="5" id="{00000000-000E-0000-0A00-000005000000}">
            <xm:f>AND(L2&lt;&gt;"", IFERROR(INDEX('Recommendations'!$H$2:$H$153, MATCH(L2,'Recommendations'!$A$2:$A$153,0))="Risk Accepted", FALSE))</xm:f>
            <x14:dxf>
              <font>
                <color rgb="FF000000"/>
              </font>
              <fill>
                <patternFill>
                  <bgColor rgb="FFD9D9D9"/>
                </patternFill>
              </fill>
            </x14:dxf>
          </x14:cfRule>
          <x14:cfRule type="expression" priority="6" id="{00000000-000E-0000-0A00-000006000000}">
            <xm:f>AND(L2&lt;&gt;"", IFERROR(INDEX('Recommendations'!$H$2:$H$153, MATCH(L2,'Recommendations'!$A$2:$A$153,0))="N/A",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2652</v>
      </c>
      <c r="B1" s="289" t="s">
        <v>3537</v>
      </c>
      <c r="C1" s="289" t="s">
        <v>0</v>
      </c>
      <c r="D1" s="289" t="s">
        <v>1015</v>
      </c>
      <c r="E1" s="289" t="s">
        <v>5504</v>
      </c>
      <c r="F1" s="289" t="s">
        <v>5505</v>
      </c>
      <c r="G1" s="289" t="s">
        <v>1020</v>
      </c>
      <c r="H1" s="289" t="s">
        <v>1021</v>
      </c>
      <c r="I1" s="289" t="s">
        <v>1022</v>
      </c>
      <c r="J1" s="289" t="s">
        <v>1023</v>
      </c>
      <c r="K1" s="289" t="s">
        <v>1024</v>
      </c>
      <c r="L1" s="289" t="s">
        <v>1025</v>
      </c>
      <c r="M1" s="289" t="s">
        <v>1026</v>
      </c>
      <c r="N1" s="289" t="s">
        <v>1027</v>
      </c>
      <c r="O1" s="289" t="s">
        <v>1028</v>
      </c>
      <c r="P1" s="289" t="s">
        <v>1029</v>
      </c>
      <c r="Q1" s="289" t="s">
        <v>1030</v>
      </c>
      <c r="R1" s="289" t="s">
        <v>1031</v>
      </c>
      <c r="S1" s="289" t="s">
        <v>1032</v>
      </c>
      <c r="T1" s="289" t="s">
        <v>1033</v>
      </c>
      <c r="U1" s="289" t="s">
        <v>1034</v>
      </c>
      <c r="V1" s="289" t="s">
        <v>1035</v>
      </c>
      <c r="W1" s="289" t="s">
        <v>1036</v>
      </c>
      <c r="X1" s="289" t="s">
        <v>1037</v>
      </c>
      <c r="Y1" s="289" t="s">
        <v>1038</v>
      </c>
      <c r="Z1" s="289" t="s">
        <v>1039</v>
      </c>
      <c r="AA1" s="289" t="s">
        <v>1040</v>
      </c>
      <c r="AB1" s="289" t="s">
        <v>1041</v>
      </c>
      <c r="AC1" s="289" t="s">
        <v>1042</v>
      </c>
      <c r="AD1" s="289" t="s">
        <v>1043</v>
      </c>
      <c r="AE1" s="289" t="s">
        <v>1044</v>
      </c>
      <c r="AF1" s="289" t="s">
        <v>1045</v>
      </c>
      <c r="AG1" s="289" t="s">
        <v>1046</v>
      </c>
      <c r="AH1" s="289" t="s">
        <v>1047</v>
      </c>
      <c r="AI1" s="289" t="s">
        <v>1048</v>
      </c>
      <c r="AJ1" s="289" t="s">
        <v>1049</v>
      </c>
      <c r="AK1" s="289" t="s">
        <v>1050</v>
      </c>
      <c r="AL1" s="289" t="s">
        <v>1051</v>
      </c>
      <c r="AM1" s="289" t="s">
        <v>1052</v>
      </c>
      <c r="AN1" s="289" t="s">
        <v>1053</v>
      </c>
      <c r="AO1" s="289" t="s">
        <v>1054</v>
      </c>
      <c r="AP1" s="289" t="s">
        <v>1055</v>
      </c>
      <c r="AQ1" s="289" t="s">
        <v>1056</v>
      </c>
      <c r="AR1" s="289" t="s">
        <v>1057</v>
      </c>
      <c r="AS1" s="289" t="s">
        <v>1058</v>
      </c>
      <c r="AT1" s="289" t="s">
        <v>1059</v>
      </c>
      <c r="AU1" s="290" t="s">
        <v>1060</v>
      </c>
    </row>
    <row r="2" spans="1:47" ht="60" customHeight="1" outlineLevel="1" x14ac:dyDescent="0.35">
      <c r="A2" s="280" t="s">
        <v>5506</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5506</v>
      </c>
      <c r="B3" s="259" t="s">
        <v>5507</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5506</v>
      </c>
      <c r="B4" s="260" t="s">
        <v>5507</v>
      </c>
      <c r="C4" s="261" t="s">
        <v>5508</v>
      </c>
      <c r="D4" s="264" t="s">
        <v>5509</v>
      </c>
      <c r="E4" s="265" t="s">
        <v>5510</v>
      </c>
      <c r="F4" s="268" t="s">
        <v>5511</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5506</v>
      </c>
      <c r="B5" s="260" t="s">
        <v>5507</v>
      </c>
      <c r="C5" s="261" t="s">
        <v>5512</v>
      </c>
      <c r="D5" s="264" t="s">
        <v>5513</v>
      </c>
      <c r="E5" s="265" t="s">
        <v>5510</v>
      </c>
      <c r="F5" s="268" t="s">
        <v>5511</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5506</v>
      </c>
      <c r="B6" s="260" t="s">
        <v>5507</v>
      </c>
      <c r="C6" s="261" t="s">
        <v>5514</v>
      </c>
      <c r="D6" s="264" t="s">
        <v>5515</v>
      </c>
      <c r="E6" s="265" t="s">
        <v>5510</v>
      </c>
      <c r="F6" s="268" t="s">
        <v>5511</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5506</v>
      </c>
      <c r="B7" s="260" t="s">
        <v>5507</v>
      </c>
      <c r="C7" s="261" t="s">
        <v>5516</v>
      </c>
      <c r="D7" s="264" t="s">
        <v>5517</v>
      </c>
      <c r="E7" s="265" t="s">
        <v>5510</v>
      </c>
      <c r="F7" s="268" t="s">
        <v>5511</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5506</v>
      </c>
      <c r="B8" s="260" t="s">
        <v>5507</v>
      </c>
      <c r="C8" s="261" t="s">
        <v>5518</v>
      </c>
      <c r="D8" s="264" t="s">
        <v>5519</v>
      </c>
      <c r="E8" s="265" t="s">
        <v>5510</v>
      </c>
      <c r="F8" s="268" t="s">
        <v>5511</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5506</v>
      </c>
      <c r="B9" s="260" t="s">
        <v>5507</v>
      </c>
      <c r="C9" s="261" t="s">
        <v>5520</v>
      </c>
      <c r="D9" s="264" t="s">
        <v>5521</v>
      </c>
      <c r="E9" s="265" t="s">
        <v>5510</v>
      </c>
      <c r="F9" s="268" t="s">
        <v>5511</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5506</v>
      </c>
      <c r="B10" s="260" t="s">
        <v>5507</v>
      </c>
      <c r="C10" s="261" t="s">
        <v>5522</v>
      </c>
      <c r="D10" s="264" t="s">
        <v>5523</v>
      </c>
      <c r="E10" s="265" t="s">
        <v>5510</v>
      </c>
      <c r="F10" s="268" t="s">
        <v>5511</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5506</v>
      </c>
      <c r="B11" s="260" t="s">
        <v>5507</v>
      </c>
      <c r="C11" s="261" t="s">
        <v>5524</v>
      </c>
      <c r="D11" s="264" t="s">
        <v>5525</v>
      </c>
      <c r="E11" s="265" t="s">
        <v>5510</v>
      </c>
      <c r="F11" s="268" t="s">
        <v>5511</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5506</v>
      </c>
      <c r="B12" s="260" t="s">
        <v>5507</v>
      </c>
      <c r="C12" s="261" t="s">
        <v>5526</v>
      </c>
      <c r="D12" s="264" t="s">
        <v>5527</v>
      </c>
      <c r="E12" s="265" t="s">
        <v>5510</v>
      </c>
      <c r="F12" s="268" t="s">
        <v>5511</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5506</v>
      </c>
      <c r="B13" s="260" t="s">
        <v>5507</v>
      </c>
      <c r="C13" s="261" t="s">
        <v>5528</v>
      </c>
      <c r="D13" s="264" t="s">
        <v>5529</v>
      </c>
      <c r="E13" s="265" t="s">
        <v>5510</v>
      </c>
      <c r="F13" s="268" t="s">
        <v>5511</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5506</v>
      </c>
      <c r="B14" s="260" t="s">
        <v>5507</v>
      </c>
      <c r="C14" s="261" t="s">
        <v>5530</v>
      </c>
      <c r="D14" s="264" t="s">
        <v>5531</v>
      </c>
      <c r="E14" s="265" t="s">
        <v>5510</v>
      </c>
      <c r="F14" s="268" t="s">
        <v>5511</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5506</v>
      </c>
      <c r="B15" s="260" t="s">
        <v>5507</v>
      </c>
      <c r="C15" s="261" t="s">
        <v>5532</v>
      </c>
      <c r="D15" s="264" t="s">
        <v>5533</v>
      </c>
      <c r="E15" s="265" t="s">
        <v>5510</v>
      </c>
      <c r="F15" s="268" t="s">
        <v>5511</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5506</v>
      </c>
      <c r="B16" s="260" t="s">
        <v>5507</v>
      </c>
      <c r="C16" s="261" t="s">
        <v>5534</v>
      </c>
      <c r="D16" s="264" t="s">
        <v>5535</v>
      </c>
      <c r="E16" s="265" t="s">
        <v>5510</v>
      </c>
      <c r="F16" s="268" t="s">
        <v>5511</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5506</v>
      </c>
      <c r="B17" s="259" t="s">
        <v>5536</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5506</v>
      </c>
      <c r="B18" s="260" t="s">
        <v>5536</v>
      </c>
      <c r="C18" s="261" t="s">
        <v>5537</v>
      </c>
      <c r="D18" s="264" t="s">
        <v>5538</v>
      </c>
      <c r="E18" s="265" t="s">
        <v>5539</v>
      </c>
      <c r="F18" s="268" t="s">
        <v>5540</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5506</v>
      </c>
      <c r="B19" s="260" t="s">
        <v>5536</v>
      </c>
      <c r="C19" s="261" t="s">
        <v>5541</v>
      </c>
      <c r="D19" s="264" t="s">
        <v>5542</v>
      </c>
      <c r="E19" s="265" t="s">
        <v>5539</v>
      </c>
      <c r="F19" s="268" t="s">
        <v>5540</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5506</v>
      </c>
      <c r="B20" s="260" t="s">
        <v>5536</v>
      </c>
      <c r="C20" s="261" t="s">
        <v>5543</v>
      </c>
      <c r="D20" s="264" t="s">
        <v>5544</v>
      </c>
      <c r="E20" s="265" t="s">
        <v>5539</v>
      </c>
      <c r="F20" s="268" t="s">
        <v>5540</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5506</v>
      </c>
      <c r="B21" s="260" t="s">
        <v>5536</v>
      </c>
      <c r="C21" s="261" t="s">
        <v>5545</v>
      </c>
      <c r="D21" s="264" t="s">
        <v>5546</v>
      </c>
      <c r="E21" s="265" t="s">
        <v>5539</v>
      </c>
      <c r="F21" s="268" t="s">
        <v>5540</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5506</v>
      </c>
      <c r="B22" s="260" t="s">
        <v>5536</v>
      </c>
      <c r="C22" s="261" t="s">
        <v>5547</v>
      </c>
      <c r="D22" s="264" t="s">
        <v>5548</v>
      </c>
      <c r="E22" s="265" t="s">
        <v>5539</v>
      </c>
      <c r="F22" s="268" t="s">
        <v>5540</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5506</v>
      </c>
      <c r="B23" s="260" t="s">
        <v>5536</v>
      </c>
      <c r="C23" s="261" t="s">
        <v>5549</v>
      </c>
      <c r="D23" s="264" t="s">
        <v>5550</v>
      </c>
      <c r="E23" s="265" t="s">
        <v>5510</v>
      </c>
      <c r="F23" s="268" t="s">
        <v>5511</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5506</v>
      </c>
      <c r="B24" s="260" t="s">
        <v>5536</v>
      </c>
      <c r="C24" s="261" t="s">
        <v>5551</v>
      </c>
      <c r="D24" s="264" t="s">
        <v>5552</v>
      </c>
      <c r="E24" s="265" t="s">
        <v>5510</v>
      </c>
      <c r="F24" s="268" t="s">
        <v>5511</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5506</v>
      </c>
      <c r="B25" s="260" t="s">
        <v>5536</v>
      </c>
      <c r="C25" s="261" t="s">
        <v>5553</v>
      </c>
      <c r="D25" s="264" t="s">
        <v>5554</v>
      </c>
      <c r="E25" s="265" t="s">
        <v>5510</v>
      </c>
      <c r="F25" s="268" t="s">
        <v>5555</v>
      </c>
      <c r="G25" s="271">
        <f>IF(COUNTIF(H25:AU25,"&lt;&gt;")=0,"",SUMPRODUCT(((Recommendations[ImplStatus]="Implemented")+(Recommendations[ImplStatus]="Compensated"))*ISNUMBER(MATCH(Recommendations[Id],H25:AU25,0)))/COUNTIF(H25:AU25,"&lt;&gt;"))</f>
        <v>0</v>
      </c>
      <c r="H25" s="272" t="s">
        <v>203</v>
      </c>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5506</v>
      </c>
      <c r="B26" s="260" t="s">
        <v>5536</v>
      </c>
      <c r="C26" s="261" t="s">
        <v>5556</v>
      </c>
      <c r="D26" s="264" t="s">
        <v>5557</v>
      </c>
      <c r="E26" s="265" t="s">
        <v>5510</v>
      </c>
      <c r="F26" s="268" t="s">
        <v>5555</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5506</v>
      </c>
      <c r="B27" s="260" t="s">
        <v>5536</v>
      </c>
      <c r="C27" s="261" t="s">
        <v>5558</v>
      </c>
      <c r="D27" s="264" t="s">
        <v>5559</v>
      </c>
      <c r="E27" s="265" t="s">
        <v>5510</v>
      </c>
      <c r="F27" s="268" t="s">
        <v>5555</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5506</v>
      </c>
      <c r="B28" s="260" t="s">
        <v>5536</v>
      </c>
      <c r="C28" s="261" t="s">
        <v>5560</v>
      </c>
      <c r="D28" s="264" t="s">
        <v>5561</v>
      </c>
      <c r="E28" s="265" t="s">
        <v>5510</v>
      </c>
      <c r="F28" s="268" t="s">
        <v>5555</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5506</v>
      </c>
      <c r="B29" s="260" t="s">
        <v>5536</v>
      </c>
      <c r="C29" s="261" t="s">
        <v>5562</v>
      </c>
      <c r="D29" s="264" t="s">
        <v>5563</v>
      </c>
      <c r="E29" s="265" t="s">
        <v>5510</v>
      </c>
      <c r="F29" s="268" t="s">
        <v>5555</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5506</v>
      </c>
      <c r="B30" s="260" t="s">
        <v>5536</v>
      </c>
      <c r="C30" s="261" t="s">
        <v>5564</v>
      </c>
      <c r="D30" s="264" t="s">
        <v>5565</v>
      </c>
      <c r="E30" s="265" t="s">
        <v>5510</v>
      </c>
      <c r="F30" s="268" t="s">
        <v>5555</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5506</v>
      </c>
      <c r="B31" s="260" t="s">
        <v>5536</v>
      </c>
      <c r="C31" s="261" t="s">
        <v>5566</v>
      </c>
      <c r="D31" s="264" t="s">
        <v>5567</v>
      </c>
      <c r="E31" s="265" t="s">
        <v>5510</v>
      </c>
      <c r="F31" s="268" t="s">
        <v>5555</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5506</v>
      </c>
      <c r="B32" s="260" t="s">
        <v>5536</v>
      </c>
      <c r="C32" s="261" t="s">
        <v>5568</v>
      </c>
      <c r="D32" s="264" t="s">
        <v>5569</v>
      </c>
      <c r="E32" s="265" t="s">
        <v>5510</v>
      </c>
      <c r="F32" s="268" t="s">
        <v>5555</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5506</v>
      </c>
      <c r="B33" s="260" t="s">
        <v>5536</v>
      </c>
      <c r="C33" s="261" t="s">
        <v>5570</v>
      </c>
      <c r="D33" s="264" t="s">
        <v>5571</v>
      </c>
      <c r="E33" s="265" t="s">
        <v>5539</v>
      </c>
      <c r="F33" s="268" t="s">
        <v>5540</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5506</v>
      </c>
      <c r="B34" s="260" t="s">
        <v>5536</v>
      </c>
      <c r="C34" s="261" t="s">
        <v>5572</v>
      </c>
      <c r="D34" s="264" t="s">
        <v>5573</v>
      </c>
      <c r="E34" s="265" t="s">
        <v>5510</v>
      </c>
      <c r="F34" s="268" t="s">
        <v>5555</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5506</v>
      </c>
      <c r="B35" s="259" t="s">
        <v>5574</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5506</v>
      </c>
      <c r="B36" s="260" t="s">
        <v>5574</v>
      </c>
      <c r="C36" s="261" t="s">
        <v>5575</v>
      </c>
      <c r="D36" s="264" t="s">
        <v>5576</v>
      </c>
      <c r="E36" s="265" t="s">
        <v>5510</v>
      </c>
      <c r="F36" s="268" t="s">
        <v>5555</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5506</v>
      </c>
      <c r="B37" s="260" t="s">
        <v>5574</v>
      </c>
      <c r="C37" s="261" t="s">
        <v>5577</v>
      </c>
      <c r="D37" s="264" t="s">
        <v>5578</v>
      </c>
      <c r="E37" s="265" t="s">
        <v>5510</v>
      </c>
      <c r="F37" s="268" t="s">
        <v>5579</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5506</v>
      </c>
      <c r="B38" s="260" t="s">
        <v>5574</v>
      </c>
      <c r="C38" s="261" t="s">
        <v>5580</v>
      </c>
      <c r="D38" s="264" t="s">
        <v>5581</v>
      </c>
      <c r="E38" s="265" t="s">
        <v>5510</v>
      </c>
      <c r="F38" s="268" t="s">
        <v>5579</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5506</v>
      </c>
      <c r="B39" s="260" t="s">
        <v>5574</v>
      </c>
      <c r="C39" s="261" t="s">
        <v>5582</v>
      </c>
      <c r="D39" s="264" t="s">
        <v>5583</v>
      </c>
      <c r="E39" s="265" t="s">
        <v>5510</v>
      </c>
      <c r="F39" s="268" t="s">
        <v>5579</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5506</v>
      </c>
      <c r="B40" s="260" t="s">
        <v>5574</v>
      </c>
      <c r="C40" s="261" t="s">
        <v>5584</v>
      </c>
      <c r="D40" s="264" t="s">
        <v>5585</v>
      </c>
      <c r="E40" s="265" t="s">
        <v>5510</v>
      </c>
      <c r="F40" s="268" t="s">
        <v>5579</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5506</v>
      </c>
      <c r="B41" s="260" t="s">
        <v>5574</v>
      </c>
      <c r="C41" s="261" t="s">
        <v>5586</v>
      </c>
      <c r="D41" s="264" t="s">
        <v>5587</v>
      </c>
      <c r="E41" s="265" t="s">
        <v>5510</v>
      </c>
      <c r="F41" s="268" t="s">
        <v>5579</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5506</v>
      </c>
      <c r="B42" s="260" t="s">
        <v>5574</v>
      </c>
      <c r="C42" s="261" t="s">
        <v>5588</v>
      </c>
      <c r="D42" s="264" t="s">
        <v>5589</v>
      </c>
      <c r="E42" s="265" t="s">
        <v>5510</v>
      </c>
      <c r="F42" s="268" t="s">
        <v>5579</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5506</v>
      </c>
      <c r="B43" s="260" t="s">
        <v>5574</v>
      </c>
      <c r="C43" s="261" t="s">
        <v>5590</v>
      </c>
      <c r="D43" s="264" t="s">
        <v>5591</v>
      </c>
      <c r="E43" s="265" t="s">
        <v>5510</v>
      </c>
      <c r="F43" s="268" t="s">
        <v>5579</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5506</v>
      </c>
      <c r="B44" s="260" t="s">
        <v>5574</v>
      </c>
      <c r="C44" s="261" t="s">
        <v>5592</v>
      </c>
      <c r="D44" s="264" t="s">
        <v>5593</v>
      </c>
      <c r="E44" s="265" t="s">
        <v>5510</v>
      </c>
      <c r="F44" s="268" t="s">
        <v>5579</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5506</v>
      </c>
      <c r="B45" s="260" t="s">
        <v>5574</v>
      </c>
      <c r="C45" s="261" t="s">
        <v>5594</v>
      </c>
      <c r="D45" s="264" t="s">
        <v>5595</v>
      </c>
      <c r="E45" s="265" t="s">
        <v>5510</v>
      </c>
      <c r="F45" s="268" t="s">
        <v>5579</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5506</v>
      </c>
      <c r="B46" s="260" t="s">
        <v>5574</v>
      </c>
      <c r="C46" s="261" t="s">
        <v>5596</v>
      </c>
      <c r="D46" s="264" t="s">
        <v>5597</v>
      </c>
      <c r="E46" s="265" t="s">
        <v>5510</v>
      </c>
      <c r="F46" s="268" t="s">
        <v>5579</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5506</v>
      </c>
      <c r="B47" s="260" t="s">
        <v>5574</v>
      </c>
      <c r="C47" s="261" t="s">
        <v>5598</v>
      </c>
      <c r="D47" s="264" t="s">
        <v>5599</v>
      </c>
      <c r="E47" s="265" t="s">
        <v>5510</v>
      </c>
      <c r="F47" s="268" t="s">
        <v>5579</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5506</v>
      </c>
      <c r="B48" s="260" t="s">
        <v>5574</v>
      </c>
      <c r="C48" s="261" t="s">
        <v>5600</v>
      </c>
      <c r="D48" s="264" t="s">
        <v>5601</v>
      </c>
      <c r="E48" s="265" t="s">
        <v>5510</v>
      </c>
      <c r="F48" s="268" t="s">
        <v>5579</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5506</v>
      </c>
      <c r="B49" s="260" t="s">
        <v>5574</v>
      </c>
      <c r="C49" s="261" t="s">
        <v>5602</v>
      </c>
      <c r="D49" s="264" t="s">
        <v>5603</v>
      </c>
      <c r="E49" s="265" t="s">
        <v>5510</v>
      </c>
      <c r="F49" s="268" t="s">
        <v>5579</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5506</v>
      </c>
      <c r="B50" s="259" t="s">
        <v>2776</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5506</v>
      </c>
      <c r="B51" s="260" t="s">
        <v>2776</v>
      </c>
      <c r="C51" s="261" t="s">
        <v>5604</v>
      </c>
      <c r="D51" s="264" t="s">
        <v>5605</v>
      </c>
      <c r="E51" s="265" t="s">
        <v>5606</v>
      </c>
      <c r="F51" s="268" t="s">
        <v>5607</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5506</v>
      </c>
      <c r="B52" s="260" t="s">
        <v>2776</v>
      </c>
      <c r="C52" s="261" t="s">
        <v>5608</v>
      </c>
      <c r="D52" s="264" t="s">
        <v>5609</v>
      </c>
      <c r="E52" s="265" t="s">
        <v>5606</v>
      </c>
      <c r="F52" s="268" t="s">
        <v>5607</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5506</v>
      </c>
      <c r="B53" s="260" t="s">
        <v>2776</v>
      </c>
      <c r="C53" s="261" t="s">
        <v>5610</v>
      </c>
      <c r="D53" s="264" t="s">
        <v>5611</v>
      </c>
      <c r="E53" s="265" t="s">
        <v>5606</v>
      </c>
      <c r="F53" s="268" t="s">
        <v>5607</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5506</v>
      </c>
      <c r="B54" s="260" t="s">
        <v>2776</v>
      </c>
      <c r="C54" s="261" t="s">
        <v>5612</v>
      </c>
      <c r="D54" s="264" t="s">
        <v>5613</v>
      </c>
      <c r="E54" s="265" t="s">
        <v>5606</v>
      </c>
      <c r="F54" s="268" t="s">
        <v>5607</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5506</v>
      </c>
      <c r="B55" s="260" t="s">
        <v>2776</v>
      </c>
      <c r="C55" s="261" t="s">
        <v>5614</v>
      </c>
      <c r="D55" s="264" t="s">
        <v>5615</v>
      </c>
      <c r="E55" s="265" t="s">
        <v>5606</v>
      </c>
      <c r="F55" s="268" t="s">
        <v>5607</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5506</v>
      </c>
      <c r="B56" s="260" t="s">
        <v>2776</v>
      </c>
      <c r="C56" s="261" t="s">
        <v>5616</v>
      </c>
      <c r="D56" s="264" t="s">
        <v>5617</v>
      </c>
      <c r="E56" s="265" t="s">
        <v>5606</v>
      </c>
      <c r="F56" s="268" t="s">
        <v>5607</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5506</v>
      </c>
      <c r="B57" s="260" t="s">
        <v>2776</v>
      </c>
      <c r="C57" s="261" t="s">
        <v>5618</v>
      </c>
      <c r="D57" s="264" t="s">
        <v>5619</v>
      </c>
      <c r="E57" s="265" t="s">
        <v>5606</v>
      </c>
      <c r="F57" s="268" t="s">
        <v>5607</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5506</v>
      </c>
      <c r="B58" s="260" t="s">
        <v>2776</v>
      </c>
      <c r="C58" s="261" t="s">
        <v>5620</v>
      </c>
      <c r="D58" s="264" t="s">
        <v>5621</v>
      </c>
      <c r="E58" s="265" t="s">
        <v>5510</v>
      </c>
      <c r="F58" s="268" t="s">
        <v>5607</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5506</v>
      </c>
      <c r="B59" s="260" t="s">
        <v>2776</v>
      </c>
      <c r="C59" s="261" t="s">
        <v>5622</v>
      </c>
      <c r="D59" s="264" t="s">
        <v>5623</v>
      </c>
      <c r="E59" s="265" t="s">
        <v>5510</v>
      </c>
      <c r="F59" s="268" t="s">
        <v>5607</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5506</v>
      </c>
      <c r="B60" s="259" t="s">
        <v>5624</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5506</v>
      </c>
      <c r="B61" s="260" t="s">
        <v>5624</v>
      </c>
      <c r="C61" s="261" t="s">
        <v>5625</v>
      </c>
      <c r="D61" s="264" t="s">
        <v>5626</v>
      </c>
      <c r="E61" s="265" t="s">
        <v>5510</v>
      </c>
      <c r="F61" s="268" t="s">
        <v>5627</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5506</v>
      </c>
      <c r="B62" s="260" t="s">
        <v>5624</v>
      </c>
      <c r="C62" s="261" t="s">
        <v>5628</v>
      </c>
      <c r="D62" s="264" t="s">
        <v>5629</v>
      </c>
      <c r="E62" s="265" t="s">
        <v>5510</v>
      </c>
      <c r="F62" s="268" t="s">
        <v>5627</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5506</v>
      </c>
      <c r="B63" s="260" t="s">
        <v>5624</v>
      </c>
      <c r="C63" s="261" t="s">
        <v>5630</v>
      </c>
      <c r="D63" s="264" t="s">
        <v>5631</v>
      </c>
      <c r="E63" s="265" t="s">
        <v>5510</v>
      </c>
      <c r="F63" s="268" t="s">
        <v>5627</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5506</v>
      </c>
      <c r="B64" s="260" t="s">
        <v>5624</v>
      </c>
      <c r="C64" s="261" t="s">
        <v>5632</v>
      </c>
      <c r="D64" s="264" t="s">
        <v>5633</v>
      </c>
      <c r="E64" s="265" t="s">
        <v>5510</v>
      </c>
      <c r="F64" s="268" t="s">
        <v>5627</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5506</v>
      </c>
      <c r="B65" s="260" t="s">
        <v>5624</v>
      </c>
      <c r="C65" s="261" t="s">
        <v>5634</v>
      </c>
      <c r="D65" s="264" t="s">
        <v>5635</v>
      </c>
      <c r="E65" s="265" t="s">
        <v>5510</v>
      </c>
      <c r="F65" s="268" t="s">
        <v>5627</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5506</v>
      </c>
      <c r="B66" s="260" t="s">
        <v>5624</v>
      </c>
      <c r="C66" s="261" t="s">
        <v>5636</v>
      </c>
      <c r="D66" s="264" t="s">
        <v>5637</v>
      </c>
      <c r="E66" s="265" t="s">
        <v>5510</v>
      </c>
      <c r="F66" s="268" t="s">
        <v>5627</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5506</v>
      </c>
      <c r="B67" s="260" t="s">
        <v>5624</v>
      </c>
      <c r="C67" s="261" t="s">
        <v>5638</v>
      </c>
      <c r="D67" s="264" t="s">
        <v>5639</v>
      </c>
      <c r="E67" s="265" t="s">
        <v>5510</v>
      </c>
      <c r="F67" s="268" t="s">
        <v>5627</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5506</v>
      </c>
      <c r="B68" s="260" t="s">
        <v>5624</v>
      </c>
      <c r="C68" s="261" t="s">
        <v>5640</v>
      </c>
      <c r="D68" s="264" t="s">
        <v>5641</v>
      </c>
      <c r="E68" s="265" t="s">
        <v>5510</v>
      </c>
      <c r="F68" s="268" t="s">
        <v>5642</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5506</v>
      </c>
      <c r="B69" s="260" t="s">
        <v>5624</v>
      </c>
      <c r="C69" s="261" t="s">
        <v>5643</v>
      </c>
      <c r="D69" s="264" t="s">
        <v>5644</v>
      </c>
      <c r="E69" s="265" t="s">
        <v>5510</v>
      </c>
      <c r="F69" s="268" t="s">
        <v>5642</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5506</v>
      </c>
      <c r="B70" s="260" t="s">
        <v>5624</v>
      </c>
      <c r="C70" s="261" t="s">
        <v>5645</v>
      </c>
      <c r="D70" s="264" t="s">
        <v>5646</v>
      </c>
      <c r="E70" s="265" t="s">
        <v>5510</v>
      </c>
      <c r="F70" s="268" t="s">
        <v>5642</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5506</v>
      </c>
      <c r="B71" s="260" t="s">
        <v>5624</v>
      </c>
      <c r="C71" s="261" t="s">
        <v>5647</v>
      </c>
      <c r="D71" s="264" t="s">
        <v>5648</v>
      </c>
      <c r="E71" s="265" t="s">
        <v>5510</v>
      </c>
      <c r="F71" s="268" t="s">
        <v>5649</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5506</v>
      </c>
      <c r="B72" s="260" t="s">
        <v>5624</v>
      </c>
      <c r="C72" s="261" t="s">
        <v>5650</v>
      </c>
      <c r="D72" s="264" t="s">
        <v>5651</v>
      </c>
      <c r="E72" s="265" t="s">
        <v>5510</v>
      </c>
      <c r="F72" s="268" t="s">
        <v>5627</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5506</v>
      </c>
      <c r="B73" s="260" t="s">
        <v>5624</v>
      </c>
      <c r="C73" s="261" t="s">
        <v>5652</v>
      </c>
      <c r="D73" s="264" t="s">
        <v>5653</v>
      </c>
      <c r="E73" s="265" t="s">
        <v>5654</v>
      </c>
      <c r="F73" s="268" t="s">
        <v>5627</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5506</v>
      </c>
      <c r="B74" s="259" t="s">
        <v>5655</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5506</v>
      </c>
      <c r="B75" s="260" t="s">
        <v>5655</v>
      </c>
      <c r="C75" s="261" t="s">
        <v>5656</v>
      </c>
      <c r="D75" s="264" t="s">
        <v>5657</v>
      </c>
      <c r="E75" s="265" t="s">
        <v>5654</v>
      </c>
      <c r="F75" s="268" t="s">
        <v>5658</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5506</v>
      </c>
      <c r="B76" s="260" t="s">
        <v>5655</v>
      </c>
      <c r="C76" s="261" t="s">
        <v>5659</v>
      </c>
      <c r="D76" s="264" t="s">
        <v>5660</v>
      </c>
      <c r="E76" s="265" t="s">
        <v>5654</v>
      </c>
      <c r="F76" s="268" t="s">
        <v>5658</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5506</v>
      </c>
      <c r="B77" s="260" t="s">
        <v>5655</v>
      </c>
      <c r="C77" s="261" t="s">
        <v>5661</v>
      </c>
      <c r="D77" s="264" t="s">
        <v>5662</v>
      </c>
      <c r="E77" s="265" t="s">
        <v>5654</v>
      </c>
      <c r="F77" s="268" t="s">
        <v>5658</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5506</v>
      </c>
      <c r="B78" s="260" t="s">
        <v>5655</v>
      </c>
      <c r="C78" s="261" t="s">
        <v>5663</v>
      </c>
      <c r="D78" s="264" t="s">
        <v>5664</v>
      </c>
      <c r="E78" s="265" t="s">
        <v>5654</v>
      </c>
      <c r="F78" s="268" t="s">
        <v>5658</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5506</v>
      </c>
      <c r="B79" s="260" t="s">
        <v>5655</v>
      </c>
      <c r="C79" s="261" t="s">
        <v>5665</v>
      </c>
      <c r="D79" s="264" t="s">
        <v>5666</v>
      </c>
      <c r="E79" s="265" t="s">
        <v>5654</v>
      </c>
      <c r="F79" s="268" t="s">
        <v>5658</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5506</v>
      </c>
      <c r="B80" s="260" t="s">
        <v>5655</v>
      </c>
      <c r="C80" s="261" t="s">
        <v>5667</v>
      </c>
      <c r="D80" s="264" t="s">
        <v>5668</v>
      </c>
      <c r="E80" s="265" t="s">
        <v>5654</v>
      </c>
      <c r="F80" s="268" t="s">
        <v>5658</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5506</v>
      </c>
      <c r="B81" s="260" t="s">
        <v>5655</v>
      </c>
      <c r="C81" s="261" t="s">
        <v>5669</v>
      </c>
      <c r="D81" s="264" t="s">
        <v>5670</v>
      </c>
      <c r="E81" s="265" t="s">
        <v>5654</v>
      </c>
      <c r="F81" s="268" t="s">
        <v>5658</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5506</v>
      </c>
      <c r="B82" s="260" t="s">
        <v>5655</v>
      </c>
      <c r="C82" s="261" t="s">
        <v>5671</v>
      </c>
      <c r="D82" s="264" t="s">
        <v>5672</v>
      </c>
      <c r="E82" s="265" t="s">
        <v>5654</v>
      </c>
      <c r="F82" s="268" t="s">
        <v>5658</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5506</v>
      </c>
      <c r="B83" s="260" t="s">
        <v>5655</v>
      </c>
      <c r="C83" s="261" t="s">
        <v>5673</v>
      </c>
      <c r="D83" s="264" t="s">
        <v>5674</v>
      </c>
      <c r="E83" s="265" t="s">
        <v>5654</v>
      </c>
      <c r="F83" s="268" t="s">
        <v>5658</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5506</v>
      </c>
      <c r="B84" s="260" t="s">
        <v>5655</v>
      </c>
      <c r="C84" s="261" t="s">
        <v>5675</v>
      </c>
      <c r="D84" s="264" t="s">
        <v>5676</v>
      </c>
      <c r="E84" s="265" t="s">
        <v>5654</v>
      </c>
      <c r="F84" s="268" t="s">
        <v>5658</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5506</v>
      </c>
      <c r="B85" s="260" t="s">
        <v>5655</v>
      </c>
      <c r="C85" s="261" t="s">
        <v>5677</v>
      </c>
      <c r="D85" s="264" t="s">
        <v>5678</v>
      </c>
      <c r="E85" s="265" t="s">
        <v>5654</v>
      </c>
      <c r="F85" s="268" t="s">
        <v>5658</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5506</v>
      </c>
      <c r="B86" s="260" t="s">
        <v>5655</v>
      </c>
      <c r="C86" s="261" t="s">
        <v>5679</v>
      </c>
      <c r="D86" s="264" t="s">
        <v>5680</v>
      </c>
      <c r="E86" s="265" t="s">
        <v>5654</v>
      </c>
      <c r="F86" s="268" t="s">
        <v>5658</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5506</v>
      </c>
      <c r="B87" s="260" t="s">
        <v>5655</v>
      </c>
      <c r="C87" s="261" t="s">
        <v>5681</v>
      </c>
      <c r="D87" s="264" t="s">
        <v>5682</v>
      </c>
      <c r="E87" s="265" t="s">
        <v>5654</v>
      </c>
      <c r="F87" s="268" t="s">
        <v>5658</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5506</v>
      </c>
      <c r="B88" s="260" t="s">
        <v>5655</v>
      </c>
      <c r="C88" s="261" t="s">
        <v>5683</v>
      </c>
      <c r="D88" s="264" t="s">
        <v>5684</v>
      </c>
      <c r="E88" s="265" t="s">
        <v>5654</v>
      </c>
      <c r="F88" s="268" t="s">
        <v>5642</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5506</v>
      </c>
      <c r="B89" s="260" t="s">
        <v>5655</v>
      </c>
      <c r="C89" s="261" t="s">
        <v>5685</v>
      </c>
      <c r="D89" s="264" t="s">
        <v>5686</v>
      </c>
      <c r="E89" s="265" t="s">
        <v>5654</v>
      </c>
      <c r="F89" s="268" t="s">
        <v>5642</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5506</v>
      </c>
      <c r="B90" s="260" t="s">
        <v>5655</v>
      </c>
      <c r="C90" s="261" t="s">
        <v>5687</v>
      </c>
      <c r="D90" s="264" t="s">
        <v>5688</v>
      </c>
      <c r="E90" s="265" t="s">
        <v>5654</v>
      </c>
      <c r="F90" s="268" t="s">
        <v>5642</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5506</v>
      </c>
      <c r="B91" s="259" t="s">
        <v>5689</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5506</v>
      </c>
      <c r="B92" s="260" t="s">
        <v>5689</v>
      </c>
      <c r="C92" s="261" t="s">
        <v>5690</v>
      </c>
      <c r="D92" s="264" t="s">
        <v>5691</v>
      </c>
      <c r="E92" s="265" t="s">
        <v>5510</v>
      </c>
      <c r="F92" s="268" t="s">
        <v>5642</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5506</v>
      </c>
      <c r="B93" s="260" t="s">
        <v>5689</v>
      </c>
      <c r="C93" s="261" t="s">
        <v>5692</v>
      </c>
      <c r="D93" s="264" t="s">
        <v>5693</v>
      </c>
      <c r="E93" s="265" t="s">
        <v>5510</v>
      </c>
      <c r="F93" s="268" t="s">
        <v>5642</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5506</v>
      </c>
      <c r="B94" s="260" t="s">
        <v>5689</v>
      </c>
      <c r="C94" s="261" t="s">
        <v>5694</v>
      </c>
      <c r="D94" s="264" t="s">
        <v>5695</v>
      </c>
      <c r="E94" s="265" t="s">
        <v>5510</v>
      </c>
      <c r="F94" s="268" t="s">
        <v>5642</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5506</v>
      </c>
      <c r="B95" s="260" t="s">
        <v>5689</v>
      </c>
      <c r="C95" s="261" t="s">
        <v>5696</v>
      </c>
      <c r="D95" s="264" t="s">
        <v>5697</v>
      </c>
      <c r="E95" s="265" t="s">
        <v>5510</v>
      </c>
      <c r="F95" s="268" t="s">
        <v>5642</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5506</v>
      </c>
      <c r="B96" s="260" t="s">
        <v>5689</v>
      </c>
      <c r="C96" s="261" t="s">
        <v>5698</v>
      </c>
      <c r="D96" s="264" t="s">
        <v>5699</v>
      </c>
      <c r="E96" s="265" t="s">
        <v>5510</v>
      </c>
      <c r="F96" s="268" t="s">
        <v>5642</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5506</v>
      </c>
      <c r="B97" s="260" t="s">
        <v>5689</v>
      </c>
      <c r="C97" s="261" t="s">
        <v>5700</v>
      </c>
      <c r="D97" s="264" t="s">
        <v>5701</v>
      </c>
      <c r="E97" s="265" t="s">
        <v>5510</v>
      </c>
      <c r="F97" s="268" t="s">
        <v>5702</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5506</v>
      </c>
      <c r="B98" s="260" t="s">
        <v>5689</v>
      </c>
      <c r="C98" s="261" t="s">
        <v>5703</v>
      </c>
      <c r="D98" s="264" t="s">
        <v>5704</v>
      </c>
      <c r="E98" s="265" t="s">
        <v>5510</v>
      </c>
      <c r="F98" s="268" t="s">
        <v>5702</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5506</v>
      </c>
      <c r="B99" s="260" t="s">
        <v>5689</v>
      </c>
      <c r="C99" s="261" t="s">
        <v>5705</v>
      </c>
      <c r="D99" s="264" t="s">
        <v>5706</v>
      </c>
      <c r="E99" s="265" t="s">
        <v>5510</v>
      </c>
      <c r="F99" s="268" t="s">
        <v>5702</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5506</v>
      </c>
      <c r="B100" s="260" t="s">
        <v>5689</v>
      </c>
      <c r="C100" s="261" t="s">
        <v>5707</v>
      </c>
      <c r="D100" s="264" t="s">
        <v>5708</v>
      </c>
      <c r="E100" s="265" t="s">
        <v>5510</v>
      </c>
      <c r="F100" s="268" t="s">
        <v>5702</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5506</v>
      </c>
      <c r="B101" s="260" t="s">
        <v>5689</v>
      </c>
      <c r="C101" s="261" t="s">
        <v>5709</v>
      </c>
      <c r="D101" s="264" t="s">
        <v>5710</v>
      </c>
      <c r="E101" s="265" t="s">
        <v>5510</v>
      </c>
      <c r="F101" s="268" t="s">
        <v>5642</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5506</v>
      </c>
      <c r="B102" s="260" t="s">
        <v>5689</v>
      </c>
      <c r="C102" s="261" t="s">
        <v>5711</v>
      </c>
      <c r="D102" s="264" t="s">
        <v>5712</v>
      </c>
      <c r="E102" s="265" t="s">
        <v>5654</v>
      </c>
      <c r="F102" s="268" t="s">
        <v>5642</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5506</v>
      </c>
      <c r="B103" s="260" t="s">
        <v>5689</v>
      </c>
      <c r="C103" s="261" t="s">
        <v>5713</v>
      </c>
      <c r="D103" s="264" t="s">
        <v>5714</v>
      </c>
      <c r="E103" s="265" t="s">
        <v>5654</v>
      </c>
      <c r="F103" s="268" t="s">
        <v>5642</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5506</v>
      </c>
      <c r="B104" s="260" t="s">
        <v>5689</v>
      </c>
      <c r="C104" s="261" t="s">
        <v>5715</v>
      </c>
      <c r="D104" s="264" t="s">
        <v>5716</v>
      </c>
      <c r="E104" s="265" t="s">
        <v>5654</v>
      </c>
      <c r="F104" s="268" t="s">
        <v>5642</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5506</v>
      </c>
      <c r="B105" s="260" t="s">
        <v>5689</v>
      </c>
      <c r="C105" s="261" t="s">
        <v>5717</v>
      </c>
      <c r="D105" s="264" t="s">
        <v>5718</v>
      </c>
      <c r="E105" s="265" t="s">
        <v>5539</v>
      </c>
      <c r="F105" s="268" t="s">
        <v>5642</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5506</v>
      </c>
      <c r="B106" s="259" t="s">
        <v>5719</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5506</v>
      </c>
      <c r="B107" s="260" t="s">
        <v>5719</v>
      </c>
      <c r="C107" s="261" t="s">
        <v>5720</v>
      </c>
      <c r="D107" s="264" t="s">
        <v>5721</v>
      </c>
      <c r="E107" s="265" t="s">
        <v>5654</v>
      </c>
      <c r="F107" s="268" t="s">
        <v>5642</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5506</v>
      </c>
      <c r="B108" s="260" t="s">
        <v>5719</v>
      </c>
      <c r="C108" s="261" t="s">
        <v>5722</v>
      </c>
      <c r="D108" s="264" t="s">
        <v>5723</v>
      </c>
      <c r="E108" s="265" t="s">
        <v>5654</v>
      </c>
      <c r="F108" s="268" t="s">
        <v>5642</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5506</v>
      </c>
      <c r="B109" s="260" t="s">
        <v>5719</v>
      </c>
      <c r="C109" s="261" t="s">
        <v>5724</v>
      </c>
      <c r="D109" s="264" t="s">
        <v>5725</v>
      </c>
      <c r="E109" s="265" t="s">
        <v>5654</v>
      </c>
      <c r="F109" s="268" t="s">
        <v>5642</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5506</v>
      </c>
      <c r="B110" s="260" t="s">
        <v>5719</v>
      </c>
      <c r="C110" s="261" t="s">
        <v>5726</v>
      </c>
      <c r="D110" s="264" t="s">
        <v>5727</v>
      </c>
      <c r="E110" s="265" t="s">
        <v>5654</v>
      </c>
      <c r="F110" s="268" t="s">
        <v>5642</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5506</v>
      </c>
      <c r="B111" s="260" t="s">
        <v>5719</v>
      </c>
      <c r="C111" s="261" t="s">
        <v>5728</v>
      </c>
      <c r="D111" s="264" t="s">
        <v>5729</v>
      </c>
      <c r="E111" s="265" t="s">
        <v>5654</v>
      </c>
      <c r="F111" s="268" t="s">
        <v>5642</v>
      </c>
      <c r="G111" s="271">
        <f>IF(COUNTIF(H111:AU111,"&lt;&gt;")=0,"",SUMPRODUCT(((Recommendations[ImplStatus]="Implemented")+(Recommendations[ImplStatus]="Compensated"))*ISNUMBER(MATCH(Recommendations[Id],H111:AU111,0)))/COUNTIF(H111:AU111,"&lt;&gt;"))</f>
        <v>0</v>
      </c>
      <c r="H111" s="272" t="s">
        <v>160</v>
      </c>
      <c r="I111" s="272" t="s">
        <v>165</v>
      </c>
      <c r="J111" s="272" t="s">
        <v>175</v>
      </c>
      <c r="K111" s="272" t="s">
        <v>180</v>
      </c>
      <c r="L111" s="272" t="s">
        <v>229</v>
      </c>
      <c r="M111" s="272" t="s">
        <v>341</v>
      </c>
      <c r="N111" s="272" t="s">
        <v>479</v>
      </c>
      <c r="O111" s="272" t="s">
        <v>569</v>
      </c>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5506</v>
      </c>
      <c r="B112" s="260" t="s">
        <v>5719</v>
      </c>
      <c r="C112" s="261" t="s">
        <v>5730</v>
      </c>
      <c r="D112" s="264" t="s">
        <v>5731</v>
      </c>
      <c r="E112" s="265" t="s">
        <v>5654</v>
      </c>
      <c r="F112" s="268" t="s">
        <v>5642</v>
      </c>
      <c r="G112" s="271">
        <f>IF(COUNTIF(H112:AU112,"&lt;&gt;")=0,"",SUMPRODUCT(((Recommendations[ImplStatus]="Implemented")+(Recommendations[ImplStatus]="Compensated"))*ISNUMBER(MATCH(Recommendations[Id],H112:AU112,0)))/COUNTIF(H112:AU112,"&lt;&gt;"))</f>
        <v>0</v>
      </c>
      <c r="H112" s="272" t="s">
        <v>160</v>
      </c>
      <c r="I112" s="272" t="s">
        <v>165</v>
      </c>
      <c r="J112" s="272" t="s">
        <v>175</v>
      </c>
      <c r="K112" s="272" t="s">
        <v>180</v>
      </c>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5506</v>
      </c>
      <c r="B113" s="260" t="s">
        <v>5719</v>
      </c>
      <c r="C113" s="261" t="s">
        <v>5732</v>
      </c>
      <c r="D113" s="264" t="s">
        <v>5733</v>
      </c>
      <c r="E113" s="265" t="s">
        <v>5654</v>
      </c>
      <c r="F113" s="268" t="s">
        <v>5642</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5506</v>
      </c>
      <c r="B114" s="260" t="s">
        <v>5719</v>
      </c>
      <c r="C114" s="261" t="s">
        <v>5734</v>
      </c>
      <c r="D114" s="264" t="s">
        <v>5735</v>
      </c>
      <c r="E114" s="265" t="s">
        <v>5654</v>
      </c>
      <c r="F114" s="268" t="s">
        <v>5642</v>
      </c>
      <c r="G114" s="271">
        <f>IF(COUNTIF(H114:AU114,"&lt;&gt;")=0,"",SUMPRODUCT(((Recommendations[ImplStatus]="Implemented")+(Recommendations[ImplStatus]="Compensated"))*ISNUMBER(MATCH(Recommendations[Id],H114:AU114,0)))/COUNTIF(H114:AU114,"&lt;&gt;"))</f>
        <v>0</v>
      </c>
      <c r="H114" s="272" t="s">
        <v>208</v>
      </c>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5506</v>
      </c>
      <c r="B115" s="260" t="s">
        <v>5719</v>
      </c>
      <c r="C115" s="261" t="s">
        <v>5736</v>
      </c>
      <c r="D115" s="264" t="s">
        <v>5737</v>
      </c>
      <c r="E115" s="265" t="s">
        <v>5654</v>
      </c>
      <c r="F115" s="268" t="s">
        <v>5642</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5506</v>
      </c>
      <c r="B116" s="260" t="s">
        <v>5719</v>
      </c>
      <c r="C116" s="261" t="s">
        <v>5738</v>
      </c>
      <c r="D116" s="264" t="s">
        <v>5739</v>
      </c>
      <c r="E116" s="265" t="s">
        <v>5654</v>
      </c>
      <c r="F116" s="268" t="s">
        <v>5642</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5506</v>
      </c>
      <c r="B117" s="260" t="s">
        <v>5719</v>
      </c>
      <c r="C117" s="261" t="s">
        <v>5740</v>
      </c>
      <c r="D117" s="264" t="s">
        <v>5741</v>
      </c>
      <c r="E117" s="265" t="s">
        <v>5654</v>
      </c>
      <c r="F117" s="268" t="s">
        <v>5642</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5742</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5742</v>
      </c>
      <c r="B119" s="259" t="s">
        <v>5743</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5742</v>
      </c>
      <c r="B120" s="260" t="s">
        <v>5743</v>
      </c>
      <c r="C120" s="261" t="s">
        <v>5744</v>
      </c>
      <c r="D120" s="264" t="s">
        <v>5745</v>
      </c>
      <c r="E120" s="265" t="s">
        <v>5510</v>
      </c>
      <c r="F120" s="268" t="s">
        <v>5746</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5742</v>
      </c>
      <c r="B121" s="260" t="s">
        <v>5743</v>
      </c>
      <c r="C121" s="261" t="s">
        <v>5747</v>
      </c>
      <c r="D121" s="264" t="s">
        <v>5748</v>
      </c>
      <c r="E121" s="265" t="s">
        <v>5510</v>
      </c>
      <c r="F121" s="268" t="s">
        <v>5746</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5742</v>
      </c>
      <c r="B122" s="260" t="s">
        <v>5743</v>
      </c>
      <c r="C122" s="261" t="s">
        <v>5749</v>
      </c>
      <c r="D122" s="264" t="s">
        <v>5750</v>
      </c>
      <c r="E122" s="265" t="s">
        <v>5510</v>
      </c>
      <c r="F122" s="268" t="s">
        <v>5746</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5742</v>
      </c>
      <c r="B123" s="260" t="s">
        <v>5743</v>
      </c>
      <c r="C123" s="261" t="s">
        <v>5751</v>
      </c>
      <c r="D123" s="264" t="s">
        <v>5752</v>
      </c>
      <c r="E123" s="265" t="s">
        <v>5510</v>
      </c>
      <c r="F123" s="268" t="s">
        <v>5746</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5742</v>
      </c>
      <c r="B124" s="260" t="s">
        <v>5743</v>
      </c>
      <c r="C124" s="261" t="s">
        <v>5753</v>
      </c>
      <c r="D124" s="264" t="s">
        <v>5754</v>
      </c>
      <c r="E124" s="265" t="s">
        <v>5510</v>
      </c>
      <c r="F124" s="268" t="s">
        <v>5746</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5742</v>
      </c>
      <c r="B125" s="260" t="s">
        <v>5743</v>
      </c>
      <c r="C125" s="261" t="s">
        <v>5755</v>
      </c>
      <c r="D125" s="264" t="s">
        <v>5756</v>
      </c>
      <c r="E125" s="265" t="s">
        <v>5510</v>
      </c>
      <c r="F125" s="268" t="s">
        <v>5746</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5742</v>
      </c>
      <c r="B126" s="260" t="s">
        <v>5743</v>
      </c>
      <c r="C126" s="261" t="s">
        <v>5757</v>
      </c>
      <c r="D126" s="264" t="s">
        <v>5758</v>
      </c>
      <c r="E126" s="265" t="s">
        <v>5510</v>
      </c>
      <c r="F126" s="268" t="s">
        <v>5746</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5742</v>
      </c>
      <c r="B127" s="260" t="s">
        <v>5743</v>
      </c>
      <c r="C127" s="261" t="s">
        <v>5759</v>
      </c>
      <c r="D127" s="264" t="s">
        <v>5760</v>
      </c>
      <c r="E127" s="265" t="s">
        <v>5510</v>
      </c>
      <c r="F127" s="268" t="s">
        <v>5746</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5742</v>
      </c>
      <c r="B128" s="260" t="s">
        <v>5743</v>
      </c>
      <c r="C128" s="261" t="s">
        <v>5761</v>
      </c>
      <c r="D128" s="264" t="s">
        <v>5762</v>
      </c>
      <c r="E128" s="265" t="s">
        <v>5510</v>
      </c>
      <c r="F128" s="268" t="s">
        <v>5746</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5742</v>
      </c>
      <c r="B129" s="260" t="s">
        <v>5743</v>
      </c>
      <c r="C129" s="261" t="s">
        <v>5763</v>
      </c>
      <c r="D129" s="264" t="s">
        <v>5764</v>
      </c>
      <c r="E129" s="265" t="s">
        <v>5510</v>
      </c>
      <c r="F129" s="268" t="s">
        <v>5746</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5742</v>
      </c>
      <c r="B130" s="260" t="s">
        <v>5743</v>
      </c>
      <c r="C130" s="261" t="s">
        <v>5765</v>
      </c>
      <c r="D130" s="264" t="s">
        <v>5766</v>
      </c>
      <c r="E130" s="265" t="s">
        <v>5510</v>
      </c>
      <c r="F130" s="268" t="s">
        <v>5746</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5742</v>
      </c>
      <c r="B131" s="260" t="s">
        <v>5743</v>
      </c>
      <c r="C131" s="261" t="s">
        <v>5767</v>
      </c>
      <c r="D131" s="264" t="s">
        <v>5768</v>
      </c>
      <c r="E131" s="265" t="s">
        <v>5510</v>
      </c>
      <c r="F131" s="268" t="s">
        <v>5746</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5742</v>
      </c>
      <c r="B132" s="260" t="s">
        <v>5743</v>
      </c>
      <c r="C132" s="261" t="s">
        <v>5769</v>
      </c>
      <c r="D132" s="264" t="s">
        <v>5770</v>
      </c>
      <c r="E132" s="265" t="s">
        <v>5510</v>
      </c>
      <c r="F132" s="268" t="s">
        <v>5746</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5742</v>
      </c>
      <c r="B133" s="260" t="s">
        <v>5743</v>
      </c>
      <c r="C133" s="261" t="s">
        <v>5771</v>
      </c>
      <c r="D133" s="264" t="s">
        <v>5772</v>
      </c>
      <c r="E133" s="265" t="s">
        <v>5539</v>
      </c>
      <c r="F133" s="268" t="s">
        <v>5746</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5742</v>
      </c>
      <c r="B134" s="260" t="s">
        <v>5743</v>
      </c>
      <c r="C134" s="261" t="s">
        <v>5773</v>
      </c>
      <c r="D134" s="264" t="s">
        <v>5774</v>
      </c>
      <c r="E134" s="265" t="s">
        <v>5539</v>
      </c>
      <c r="F134" s="268" t="s">
        <v>5746</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5742</v>
      </c>
      <c r="B135" s="260" t="s">
        <v>5743</v>
      </c>
      <c r="C135" s="261" t="s">
        <v>5775</v>
      </c>
      <c r="D135" s="264" t="s">
        <v>5776</v>
      </c>
      <c r="E135" s="265" t="s">
        <v>5654</v>
      </c>
      <c r="F135" s="268" t="s">
        <v>5746</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5742</v>
      </c>
      <c r="B136" s="260" t="s">
        <v>5743</v>
      </c>
      <c r="C136" s="261" t="s">
        <v>5777</v>
      </c>
      <c r="D136" s="264" t="s">
        <v>5778</v>
      </c>
      <c r="E136" s="265" t="s">
        <v>5539</v>
      </c>
      <c r="F136" s="268" t="s">
        <v>5746</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5742</v>
      </c>
      <c r="B137" s="260" t="s">
        <v>5743</v>
      </c>
      <c r="C137" s="261" t="s">
        <v>5779</v>
      </c>
      <c r="D137" s="264" t="s">
        <v>5780</v>
      </c>
      <c r="E137" s="265" t="s">
        <v>5539</v>
      </c>
      <c r="F137" s="268" t="s">
        <v>5746</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5742</v>
      </c>
      <c r="B138" s="260" t="s">
        <v>5743</v>
      </c>
      <c r="C138" s="261" t="s">
        <v>5781</v>
      </c>
      <c r="D138" s="264" t="s">
        <v>5782</v>
      </c>
      <c r="E138" s="265" t="s">
        <v>5654</v>
      </c>
      <c r="F138" s="268" t="s">
        <v>5746</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5742</v>
      </c>
      <c r="B139" s="260" t="s">
        <v>5743</v>
      </c>
      <c r="C139" s="261" t="s">
        <v>5783</v>
      </c>
      <c r="D139" s="264" t="s">
        <v>5784</v>
      </c>
      <c r="E139" s="265" t="s">
        <v>5654</v>
      </c>
      <c r="F139" s="268" t="s">
        <v>5746</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5742</v>
      </c>
      <c r="B140" s="260" t="s">
        <v>5743</v>
      </c>
      <c r="C140" s="261" t="s">
        <v>5785</v>
      </c>
      <c r="D140" s="264" t="s">
        <v>5786</v>
      </c>
      <c r="E140" s="265" t="s">
        <v>5510</v>
      </c>
      <c r="F140" s="268" t="s">
        <v>5746</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5742</v>
      </c>
      <c r="B141" s="260" t="s">
        <v>5743</v>
      </c>
      <c r="C141" s="261" t="s">
        <v>5787</v>
      </c>
      <c r="D141" s="264" t="s">
        <v>5788</v>
      </c>
      <c r="E141" s="265" t="s">
        <v>5789</v>
      </c>
      <c r="F141" s="268" t="s">
        <v>5790</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5742</v>
      </c>
      <c r="B142" s="260" t="s">
        <v>5743</v>
      </c>
      <c r="C142" s="261" t="s">
        <v>5791</v>
      </c>
      <c r="D142" s="264" t="s">
        <v>5792</v>
      </c>
      <c r="E142" s="265" t="s">
        <v>5789</v>
      </c>
      <c r="F142" s="268" t="s">
        <v>5790</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5742</v>
      </c>
      <c r="B143" s="260" t="s">
        <v>5743</v>
      </c>
      <c r="C143" s="261" t="s">
        <v>5793</v>
      </c>
      <c r="D143" s="264" t="s">
        <v>5794</v>
      </c>
      <c r="E143" s="265" t="s">
        <v>5789</v>
      </c>
      <c r="F143" s="268" t="s">
        <v>5790</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5742</v>
      </c>
      <c r="B144" s="260" t="s">
        <v>5743</v>
      </c>
      <c r="C144" s="261" t="s">
        <v>5795</v>
      </c>
      <c r="D144" s="264" t="s">
        <v>5796</v>
      </c>
      <c r="E144" s="265" t="s">
        <v>5606</v>
      </c>
      <c r="F144" s="268" t="s">
        <v>5790</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5742</v>
      </c>
      <c r="B145" s="260" t="s">
        <v>5743</v>
      </c>
      <c r="C145" s="261" t="s">
        <v>5797</v>
      </c>
      <c r="D145" s="264" t="s">
        <v>5798</v>
      </c>
      <c r="E145" s="265" t="s">
        <v>5606</v>
      </c>
      <c r="F145" s="268" t="s">
        <v>5790</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5742</v>
      </c>
      <c r="B146" s="260" t="s">
        <v>5743</v>
      </c>
      <c r="C146" s="261" t="s">
        <v>5799</v>
      </c>
      <c r="D146" s="264" t="s">
        <v>5800</v>
      </c>
      <c r="E146" s="265" t="s">
        <v>5606</v>
      </c>
      <c r="F146" s="268" t="s">
        <v>5790</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5742</v>
      </c>
      <c r="B147" s="259" t="s">
        <v>5801</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5742</v>
      </c>
      <c r="B148" s="260" t="s">
        <v>5801</v>
      </c>
      <c r="C148" s="261" t="s">
        <v>5802</v>
      </c>
      <c r="D148" s="264" t="s">
        <v>5803</v>
      </c>
      <c r="E148" s="265" t="s">
        <v>5539</v>
      </c>
      <c r="F148" s="268" t="s">
        <v>5804</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5742</v>
      </c>
      <c r="B149" s="260" t="s">
        <v>5801</v>
      </c>
      <c r="C149" s="261" t="s">
        <v>5805</v>
      </c>
      <c r="D149" s="264" t="s">
        <v>5806</v>
      </c>
      <c r="E149" s="265" t="s">
        <v>5539</v>
      </c>
      <c r="F149" s="268" t="s">
        <v>5804</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5742</v>
      </c>
      <c r="B150" s="260" t="s">
        <v>5801</v>
      </c>
      <c r="C150" s="261" t="s">
        <v>5807</v>
      </c>
      <c r="D150" s="264" t="s">
        <v>5808</v>
      </c>
      <c r="E150" s="265" t="s">
        <v>5539</v>
      </c>
      <c r="F150" s="268" t="s">
        <v>5804</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5742</v>
      </c>
      <c r="B151" s="260" t="s">
        <v>5801</v>
      </c>
      <c r="C151" s="261" t="s">
        <v>5809</v>
      </c>
      <c r="D151" s="264" t="s">
        <v>5810</v>
      </c>
      <c r="E151" s="265" t="s">
        <v>5539</v>
      </c>
      <c r="F151" s="268" t="s">
        <v>5804</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5742</v>
      </c>
      <c r="B152" s="260" t="s">
        <v>5801</v>
      </c>
      <c r="C152" s="261" t="s">
        <v>5811</v>
      </c>
      <c r="D152" s="264" t="s">
        <v>5812</v>
      </c>
      <c r="E152" s="265" t="s">
        <v>5539</v>
      </c>
      <c r="F152" s="268" t="s">
        <v>5804</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5742</v>
      </c>
      <c r="B153" s="260" t="s">
        <v>5801</v>
      </c>
      <c r="C153" s="261" t="s">
        <v>5813</v>
      </c>
      <c r="D153" s="264" t="s">
        <v>5814</v>
      </c>
      <c r="E153" s="265" t="s">
        <v>5539</v>
      </c>
      <c r="F153" s="268" t="s">
        <v>5804</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5742</v>
      </c>
      <c r="B154" s="260" t="s">
        <v>5801</v>
      </c>
      <c r="C154" s="261" t="s">
        <v>5815</v>
      </c>
      <c r="D154" s="264" t="s">
        <v>5816</v>
      </c>
      <c r="E154" s="265" t="s">
        <v>5539</v>
      </c>
      <c r="F154" s="268" t="s">
        <v>5804</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5742</v>
      </c>
      <c r="B155" s="260" t="s">
        <v>5801</v>
      </c>
      <c r="C155" s="261" t="s">
        <v>5817</v>
      </c>
      <c r="D155" s="264" t="s">
        <v>5818</v>
      </c>
      <c r="E155" s="265" t="s">
        <v>5539</v>
      </c>
      <c r="F155" s="268" t="s">
        <v>5804</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5742</v>
      </c>
      <c r="B156" s="260" t="s">
        <v>5801</v>
      </c>
      <c r="C156" s="261" t="s">
        <v>5819</v>
      </c>
      <c r="D156" s="264" t="s">
        <v>5820</v>
      </c>
      <c r="E156" s="265" t="s">
        <v>5539</v>
      </c>
      <c r="F156" s="268" t="s">
        <v>5804</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5742</v>
      </c>
      <c r="B157" s="260" t="s">
        <v>5801</v>
      </c>
      <c r="C157" s="261" t="s">
        <v>5821</v>
      </c>
      <c r="D157" s="264" t="s">
        <v>5822</v>
      </c>
      <c r="E157" s="265" t="s">
        <v>5539</v>
      </c>
      <c r="F157" s="268" t="s">
        <v>5804</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5742</v>
      </c>
      <c r="B158" s="260" t="s">
        <v>5801</v>
      </c>
      <c r="C158" s="261" t="s">
        <v>5823</v>
      </c>
      <c r="D158" s="264" t="s">
        <v>5824</v>
      </c>
      <c r="E158" s="265" t="s">
        <v>5539</v>
      </c>
      <c r="F158" s="268" t="s">
        <v>5804</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5742</v>
      </c>
      <c r="B159" s="260" t="s">
        <v>5801</v>
      </c>
      <c r="C159" s="261" t="s">
        <v>5825</v>
      </c>
      <c r="D159" s="264" t="s">
        <v>5826</v>
      </c>
      <c r="E159" s="265" t="s">
        <v>5539</v>
      </c>
      <c r="F159" s="268" t="s">
        <v>5804</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5742</v>
      </c>
      <c r="B160" s="260" t="s">
        <v>5801</v>
      </c>
      <c r="C160" s="261" t="s">
        <v>5827</v>
      </c>
      <c r="D160" s="264" t="s">
        <v>5828</v>
      </c>
      <c r="E160" s="265" t="s">
        <v>5539</v>
      </c>
      <c r="F160" s="268" t="s">
        <v>5829</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5742</v>
      </c>
      <c r="B161" s="260" t="s">
        <v>5801</v>
      </c>
      <c r="C161" s="261" t="s">
        <v>5830</v>
      </c>
      <c r="D161" s="264" t="s">
        <v>5831</v>
      </c>
      <c r="E161" s="265" t="s">
        <v>5539</v>
      </c>
      <c r="F161" s="268" t="s">
        <v>5829</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5742</v>
      </c>
      <c r="B162" s="260" t="s">
        <v>5801</v>
      </c>
      <c r="C162" s="261" t="s">
        <v>5832</v>
      </c>
      <c r="D162" s="264" t="s">
        <v>5833</v>
      </c>
      <c r="E162" s="265" t="s">
        <v>5539</v>
      </c>
      <c r="F162" s="268" t="s">
        <v>5829</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5742</v>
      </c>
      <c r="B163" s="260" t="s">
        <v>5801</v>
      </c>
      <c r="C163" s="261" t="s">
        <v>5834</v>
      </c>
      <c r="D163" s="264" t="s">
        <v>5835</v>
      </c>
      <c r="E163" s="265" t="s">
        <v>5539</v>
      </c>
      <c r="F163" s="268" t="s">
        <v>5829</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5742</v>
      </c>
      <c r="B164" s="260" t="s">
        <v>5801</v>
      </c>
      <c r="C164" s="261" t="s">
        <v>5836</v>
      </c>
      <c r="D164" s="264" t="s">
        <v>5837</v>
      </c>
      <c r="E164" s="265" t="s">
        <v>5539</v>
      </c>
      <c r="F164" s="268" t="s">
        <v>5829</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5742</v>
      </c>
      <c r="B165" s="259" t="s">
        <v>5838</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5742</v>
      </c>
      <c r="B166" s="260" t="s">
        <v>5838</v>
      </c>
      <c r="C166" s="261" t="s">
        <v>5839</v>
      </c>
      <c r="D166" s="264" t="s">
        <v>5840</v>
      </c>
      <c r="E166" s="265" t="s">
        <v>5510</v>
      </c>
      <c r="F166" s="268" t="s">
        <v>5841</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5742</v>
      </c>
      <c r="B167" s="260" t="s">
        <v>5838</v>
      </c>
      <c r="C167" s="261" t="s">
        <v>5842</v>
      </c>
      <c r="D167" s="264" t="s">
        <v>5843</v>
      </c>
      <c r="E167" s="265" t="s">
        <v>5654</v>
      </c>
      <c r="F167" s="268" t="s">
        <v>5841</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5742</v>
      </c>
      <c r="B168" s="260" t="s">
        <v>5838</v>
      </c>
      <c r="C168" s="261" t="s">
        <v>5844</v>
      </c>
      <c r="D168" s="264" t="s">
        <v>5845</v>
      </c>
      <c r="E168" s="265" t="s">
        <v>5606</v>
      </c>
      <c r="F168" s="268" t="s">
        <v>5841</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5742</v>
      </c>
      <c r="B169" s="260" t="s">
        <v>5838</v>
      </c>
      <c r="C169" s="261" t="s">
        <v>5846</v>
      </c>
      <c r="D169" s="264" t="s">
        <v>5847</v>
      </c>
      <c r="E169" s="265" t="s">
        <v>5606</v>
      </c>
      <c r="F169" s="268" t="s">
        <v>5841</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5742</v>
      </c>
      <c r="B170" s="260" t="s">
        <v>5838</v>
      </c>
      <c r="C170" s="261" t="s">
        <v>5848</v>
      </c>
      <c r="D170" s="264" t="s">
        <v>5849</v>
      </c>
      <c r="E170" s="265" t="s">
        <v>5654</v>
      </c>
      <c r="F170" s="268" t="s">
        <v>5841</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5742</v>
      </c>
      <c r="B171" s="260" t="s">
        <v>5838</v>
      </c>
      <c r="C171" s="261" t="s">
        <v>5850</v>
      </c>
      <c r="D171" s="264" t="s">
        <v>5851</v>
      </c>
      <c r="E171" s="265" t="s">
        <v>5539</v>
      </c>
      <c r="F171" s="268" t="s">
        <v>5841</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5742</v>
      </c>
      <c r="B172" s="260" t="s">
        <v>5838</v>
      </c>
      <c r="C172" s="261" t="s">
        <v>5852</v>
      </c>
      <c r="D172" s="264" t="s">
        <v>5853</v>
      </c>
      <c r="E172" s="265" t="s">
        <v>5606</v>
      </c>
      <c r="F172" s="268" t="s">
        <v>5841</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5742</v>
      </c>
      <c r="B173" s="260" t="s">
        <v>5838</v>
      </c>
      <c r="C173" s="261" t="s">
        <v>5854</v>
      </c>
      <c r="D173" s="264" t="s">
        <v>5855</v>
      </c>
      <c r="E173" s="265" t="s">
        <v>5539</v>
      </c>
      <c r="F173" s="268" t="s">
        <v>5841</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5742</v>
      </c>
      <c r="B174" s="260" t="s">
        <v>5838</v>
      </c>
      <c r="C174" s="261" t="s">
        <v>5856</v>
      </c>
      <c r="D174" s="264" t="s">
        <v>5857</v>
      </c>
      <c r="E174" s="265" t="s">
        <v>5606</v>
      </c>
      <c r="F174" s="268" t="s">
        <v>5841</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5742</v>
      </c>
      <c r="B175" s="260" t="s">
        <v>5838</v>
      </c>
      <c r="C175" s="261" t="s">
        <v>5858</v>
      </c>
      <c r="D175" s="264" t="s">
        <v>5859</v>
      </c>
      <c r="E175" s="265" t="s">
        <v>5539</v>
      </c>
      <c r="F175" s="268" t="s">
        <v>5841</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5742</v>
      </c>
      <c r="B176" s="260" t="s">
        <v>5838</v>
      </c>
      <c r="C176" s="261" t="s">
        <v>5860</v>
      </c>
      <c r="D176" s="264" t="s">
        <v>5861</v>
      </c>
      <c r="E176" s="265" t="s">
        <v>5510</v>
      </c>
      <c r="F176" s="268" t="s">
        <v>5841</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5742</v>
      </c>
      <c r="B177" s="260" t="s">
        <v>5838</v>
      </c>
      <c r="C177" s="261" t="s">
        <v>5862</v>
      </c>
      <c r="D177" s="264" t="s">
        <v>5863</v>
      </c>
      <c r="E177" s="265" t="s">
        <v>5510</v>
      </c>
      <c r="F177" s="268" t="s">
        <v>5841</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5742</v>
      </c>
      <c r="B178" s="260" t="s">
        <v>5838</v>
      </c>
      <c r="C178" s="261" t="s">
        <v>5864</v>
      </c>
      <c r="D178" s="264" t="s">
        <v>5865</v>
      </c>
      <c r="E178" s="265" t="s">
        <v>5539</v>
      </c>
      <c r="F178" s="268" t="s">
        <v>5841</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5742</v>
      </c>
      <c r="B179" s="260" t="s">
        <v>5838</v>
      </c>
      <c r="C179" s="261" t="s">
        <v>5866</v>
      </c>
      <c r="D179" s="264" t="s">
        <v>5867</v>
      </c>
      <c r="E179" s="265" t="s">
        <v>5654</v>
      </c>
      <c r="F179" s="268" t="s">
        <v>5841</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5742</v>
      </c>
      <c r="B180" s="260" t="s">
        <v>5838</v>
      </c>
      <c r="C180" s="261" t="s">
        <v>5868</v>
      </c>
      <c r="D180" s="264" t="s">
        <v>5869</v>
      </c>
      <c r="E180" s="265" t="s">
        <v>5654</v>
      </c>
      <c r="F180" s="268" t="s">
        <v>5841</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5742</v>
      </c>
      <c r="B181" s="259" t="s">
        <v>5870</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5742</v>
      </c>
      <c r="B182" s="260" t="s">
        <v>5870</v>
      </c>
      <c r="C182" s="261" t="s">
        <v>5871</v>
      </c>
      <c r="D182" s="264" t="s">
        <v>5872</v>
      </c>
      <c r="E182" s="265" t="s">
        <v>5510</v>
      </c>
      <c r="F182" s="268" t="s">
        <v>5873</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5742</v>
      </c>
      <c r="B183" s="260" t="s">
        <v>5870</v>
      </c>
      <c r="C183" s="261" t="s">
        <v>5874</v>
      </c>
      <c r="D183" s="264" t="s">
        <v>5875</v>
      </c>
      <c r="E183" s="265" t="s">
        <v>5510</v>
      </c>
      <c r="F183" s="268" t="s">
        <v>5873</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5742</v>
      </c>
      <c r="B184" s="260" t="s">
        <v>5870</v>
      </c>
      <c r="C184" s="261" t="s">
        <v>5876</v>
      </c>
      <c r="D184" s="264" t="s">
        <v>5877</v>
      </c>
      <c r="E184" s="265" t="s">
        <v>5510</v>
      </c>
      <c r="F184" s="268" t="s">
        <v>5873</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5742</v>
      </c>
      <c r="B185" s="260" t="s">
        <v>5870</v>
      </c>
      <c r="C185" s="261" t="s">
        <v>5878</v>
      </c>
      <c r="D185" s="264" t="s">
        <v>5879</v>
      </c>
      <c r="E185" s="265" t="s">
        <v>5510</v>
      </c>
      <c r="F185" s="268" t="s">
        <v>5873</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5742</v>
      </c>
      <c r="B186" s="260" t="s">
        <v>5870</v>
      </c>
      <c r="C186" s="261" t="s">
        <v>5880</v>
      </c>
      <c r="D186" s="264" t="s">
        <v>5881</v>
      </c>
      <c r="E186" s="265" t="s">
        <v>5510</v>
      </c>
      <c r="F186" s="268" t="s">
        <v>5873</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5742</v>
      </c>
      <c r="B187" s="260" t="s">
        <v>5870</v>
      </c>
      <c r="C187" s="261" t="s">
        <v>5882</v>
      </c>
      <c r="D187" s="264" t="s">
        <v>5883</v>
      </c>
      <c r="E187" s="265" t="s">
        <v>5539</v>
      </c>
      <c r="F187" s="268" t="s">
        <v>5873</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5742</v>
      </c>
      <c r="B188" s="260" t="s">
        <v>5870</v>
      </c>
      <c r="C188" s="261" t="s">
        <v>5884</v>
      </c>
      <c r="D188" s="264" t="s">
        <v>5885</v>
      </c>
      <c r="E188" s="265" t="s">
        <v>5539</v>
      </c>
      <c r="F188" s="268" t="s">
        <v>5873</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5742</v>
      </c>
      <c r="B189" s="260" t="s">
        <v>5870</v>
      </c>
      <c r="C189" s="261" t="s">
        <v>5886</v>
      </c>
      <c r="D189" s="264" t="s">
        <v>5887</v>
      </c>
      <c r="E189" s="265" t="s">
        <v>5539</v>
      </c>
      <c r="F189" s="268" t="s">
        <v>5873</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5742</v>
      </c>
      <c r="B190" s="260" t="s">
        <v>5870</v>
      </c>
      <c r="C190" s="261" t="s">
        <v>5888</v>
      </c>
      <c r="D190" s="264" t="s">
        <v>5889</v>
      </c>
      <c r="E190" s="265" t="s">
        <v>5539</v>
      </c>
      <c r="F190" s="268" t="s">
        <v>5873</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5742</v>
      </c>
      <c r="B191" s="260" t="s">
        <v>5870</v>
      </c>
      <c r="C191" s="261" t="s">
        <v>5890</v>
      </c>
      <c r="D191" s="264" t="s">
        <v>5891</v>
      </c>
      <c r="E191" s="265" t="s">
        <v>5510</v>
      </c>
      <c r="F191" s="268" t="s">
        <v>5873</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5742</v>
      </c>
      <c r="B192" s="260" t="s">
        <v>5870</v>
      </c>
      <c r="C192" s="261" t="s">
        <v>5892</v>
      </c>
      <c r="D192" s="264" t="s">
        <v>5893</v>
      </c>
      <c r="E192" s="265" t="s">
        <v>5510</v>
      </c>
      <c r="F192" s="268" t="s">
        <v>5873</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5742</v>
      </c>
      <c r="B193" s="260" t="s">
        <v>5870</v>
      </c>
      <c r="C193" s="261" t="s">
        <v>5894</v>
      </c>
      <c r="D193" s="264" t="s">
        <v>5895</v>
      </c>
      <c r="E193" s="265" t="s">
        <v>5510</v>
      </c>
      <c r="F193" s="268" t="s">
        <v>5873</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5742</v>
      </c>
      <c r="B194" s="260" t="s">
        <v>5870</v>
      </c>
      <c r="C194" s="261" t="s">
        <v>5896</v>
      </c>
      <c r="D194" s="264" t="s">
        <v>5897</v>
      </c>
      <c r="E194" s="265" t="s">
        <v>5510</v>
      </c>
      <c r="F194" s="268" t="s">
        <v>5873</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5742</v>
      </c>
      <c r="B195" s="260" t="s">
        <v>5870</v>
      </c>
      <c r="C195" s="261" t="s">
        <v>5898</v>
      </c>
      <c r="D195" s="264" t="s">
        <v>5899</v>
      </c>
      <c r="E195" s="265" t="s">
        <v>5510</v>
      </c>
      <c r="F195" s="268" t="s">
        <v>5873</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5742</v>
      </c>
      <c r="B196" s="260" t="s">
        <v>5870</v>
      </c>
      <c r="C196" s="261" t="s">
        <v>5900</v>
      </c>
      <c r="D196" s="264" t="s">
        <v>5901</v>
      </c>
      <c r="E196" s="265" t="s">
        <v>5510</v>
      </c>
      <c r="F196" s="268" t="s">
        <v>5902</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5742</v>
      </c>
      <c r="B197" s="260" t="s">
        <v>5870</v>
      </c>
      <c r="C197" s="261" t="s">
        <v>5903</v>
      </c>
      <c r="D197" s="264" t="s">
        <v>5904</v>
      </c>
      <c r="E197" s="265" t="s">
        <v>5510</v>
      </c>
      <c r="F197" s="268" t="s">
        <v>5902</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5742</v>
      </c>
      <c r="B198" s="260" t="s">
        <v>5870</v>
      </c>
      <c r="C198" s="261" t="s">
        <v>5905</v>
      </c>
      <c r="D198" s="264" t="s">
        <v>5906</v>
      </c>
      <c r="E198" s="265" t="s">
        <v>5510</v>
      </c>
      <c r="F198" s="268" t="s">
        <v>5902</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5742</v>
      </c>
      <c r="B199" s="260" t="s">
        <v>5870</v>
      </c>
      <c r="C199" s="261" t="s">
        <v>5907</v>
      </c>
      <c r="D199" s="264" t="s">
        <v>5908</v>
      </c>
      <c r="E199" s="265" t="s">
        <v>5510</v>
      </c>
      <c r="F199" s="268" t="s">
        <v>5902</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5909</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5909</v>
      </c>
      <c r="B201" s="259" t="s">
        <v>5910</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5909</v>
      </c>
      <c r="B202" s="260" t="s">
        <v>5910</v>
      </c>
      <c r="C202" s="261" t="s">
        <v>5911</v>
      </c>
      <c r="D202" s="264" t="s">
        <v>5912</v>
      </c>
      <c r="E202" s="265" t="s">
        <v>5789</v>
      </c>
      <c r="F202" s="268" t="s">
        <v>5913</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5909</v>
      </c>
      <c r="B203" s="260" t="s">
        <v>5910</v>
      </c>
      <c r="C203" s="261" t="s">
        <v>5914</v>
      </c>
      <c r="D203" s="264" t="s">
        <v>5915</v>
      </c>
      <c r="E203" s="265" t="s">
        <v>5789</v>
      </c>
      <c r="F203" s="268" t="s">
        <v>5913</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5909</v>
      </c>
      <c r="B204" s="260" t="s">
        <v>5910</v>
      </c>
      <c r="C204" s="261" t="s">
        <v>5916</v>
      </c>
      <c r="D204" s="264" t="s">
        <v>5917</v>
      </c>
      <c r="E204" s="265" t="s">
        <v>5789</v>
      </c>
      <c r="F204" s="268" t="s">
        <v>5913</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5909</v>
      </c>
      <c r="B205" s="260" t="s">
        <v>5910</v>
      </c>
      <c r="C205" s="261" t="s">
        <v>5918</v>
      </c>
      <c r="D205" s="264" t="s">
        <v>5919</v>
      </c>
      <c r="E205" s="265" t="s">
        <v>5789</v>
      </c>
      <c r="F205" s="268" t="s">
        <v>5913</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5909</v>
      </c>
      <c r="B206" s="260" t="s">
        <v>5910</v>
      </c>
      <c r="C206" s="261" t="s">
        <v>5920</v>
      </c>
      <c r="D206" s="264" t="s">
        <v>5921</v>
      </c>
      <c r="E206" s="265" t="s">
        <v>5789</v>
      </c>
      <c r="F206" s="268" t="s">
        <v>5913</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5909</v>
      </c>
      <c r="B207" s="260" t="s">
        <v>5910</v>
      </c>
      <c r="C207" s="261" t="s">
        <v>5922</v>
      </c>
      <c r="D207" s="264" t="s">
        <v>5923</v>
      </c>
      <c r="E207" s="265" t="s">
        <v>5654</v>
      </c>
      <c r="F207" s="268" t="s">
        <v>5913</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5909</v>
      </c>
      <c r="B208" s="260" t="s">
        <v>5910</v>
      </c>
      <c r="C208" s="261" t="s">
        <v>5924</v>
      </c>
      <c r="D208" s="264" t="s">
        <v>5925</v>
      </c>
      <c r="E208" s="265" t="s">
        <v>5654</v>
      </c>
      <c r="F208" s="268" t="s">
        <v>5913</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5909</v>
      </c>
      <c r="B209" s="260" t="s">
        <v>5910</v>
      </c>
      <c r="C209" s="261" t="s">
        <v>5926</v>
      </c>
      <c r="D209" s="264" t="s">
        <v>5927</v>
      </c>
      <c r="E209" s="265" t="s">
        <v>5789</v>
      </c>
      <c r="F209" s="268" t="s">
        <v>5913</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5909</v>
      </c>
      <c r="B210" s="260" t="s">
        <v>5910</v>
      </c>
      <c r="C210" s="261" t="s">
        <v>5928</v>
      </c>
      <c r="D210" s="264" t="s">
        <v>5929</v>
      </c>
      <c r="E210" s="265" t="s">
        <v>5539</v>
      </c>
      <c r="F210" s="268" t="s">
        <v>5930</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5909</v>
      </c>
      <c r="B211" s="260" t="s">
        <v>5910</v>
      </c>
      <c r="C211" s="261" t="s">
        <v>5931</v>
      </c>
      <c r="D211" s="264" t="s">
        <v>5932</v>
      </c>
      <c r="E211" s="265" t="s">
        <v>5539</v>
      </c>
      <c r="F211" s="268" t="s">
        <v>5930</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5909</v>
      </c>
      <c r="B212" s="260" t="s">
        <v>5910</v>
      </c>
      <c r="C212" s="261" t="s">
        <v>5933</v>
      </c>
      <c r="D212" s="264" t="s">
        <v>5934</v>
      </c>
      <c r="E212" s="265" t="s">
        <v>5606</v>
      </c>
      <c r="F212" s="268" t="s">
        <v>5935</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5909</v>
      </c>
      <c r="B213" s="260" t="s">
        <v>5910</v>
      </c>
      <c r="C213" s="261" t="s">
        <v>5936</v>
      </c>
      <c r="D213" s="264" t="s">
        <v>5937</v>
      </c>
      <c r="E213" s="265" t="s">
        <v>5539</v>
      </c>
      <c r="F213" s="268" t="s">
        <v>5938</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5909</v>
      </c>
      <c r="B214" s="260" t="s">
        <v>5910</v>
      </c>
      <c r="C214" s="261" t="s">
        <v>5939</v>
      </c>
      <c r="D214" s="264" t="s">
        <v>5940</v>
      </c>
      <c r="E214" s="265" t="s">
        <v>5606</v>
      </c>
      <c r="F214" s="268" t="s">
        <v>5941</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5909</v>
      </c>
      <c r="B215" s="260" t="s">
        <v>5910</v>
      </c>
      <c r="C215" s="261" t="s">
        <v>5942</v>
      </c>
      <c r="D215" s="264" t="s">
        <v>5943</v>
      </c>
      <c r="E215" s="265" t="s">
        <v>5510</v>
      </c>
      <c r="F215" s="268" t="s">
        <v>5941</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5909</v>
      </c>
      <c r="B216" s="260" t="s">
        <v>5910</v>
      </c>
      <c r="C216" s="261" t="s">
        <v>5944</v>
      </c>
      <c r="D216" s="264" t="s">
        <v>5945</v>
      </c>
      <c r="E216" s="265" t="s">
        <v>5510</v>
      </c>
      <c r="F216" s="268" t="s">
        <v>5941</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5909</v>
      </c>
      <c r="B217" s="260" t="s">
        <v>5910</v>
      </c>
      <c r="C217" s="261" t="s">
        <v>5946</v>
      </c>
      <c r="D217" s="264" t="s">
        <v>5947</v>
      </c>
      <c r="E217" s="265" t="s">
        <v>5539</v>
      </c>
      <c r="F217" s="268" t="s">
        <v>5941</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5909</v>
      </c>
      <c r="B218" s="260" t="s">
        <v>5910</v>
      </c>
      <c r="C218" s="261" t="s">
        <v>5948</v>
      </c>
      <c r="D218" s="264" t="s">
        <v>5949</v>
      </c>
      <c r="E218" s="265" t="s">
        <v>5539</v>
      </c>
      <c r="F218" s="268" t="s">
        <v>5941</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5909</v>
      </c>
      <c r="B219" s="260" t="s">
        <v>5910</v>
      </c>
      <c r="C219" s="261" t="s">
        <v>5950</v>
      </c>
      <c r="D219" s="264" t="s">
        <v>5951</v>
      </c>
      <c r="E219" s="265" t="s">
        <v>5539</v>
      </c>
      <c r="F219" s="268" t="s">
        <v>5941</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5909</v>
      </c>
      <c r="B220" s="260" t="s">
        <v>5910</v>
      </c>
      <c r="C220" s="261" t="s">
        <v>5952</v>
      </c>
      <c r="D220" s="264" t="s">
        <v>5953</v>
      </c>
      <c r="E220" s="265" t="s">
        <v>5539</v>
      </c>
      <c r="F220" s="268" t="s">
        <v>5941</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5909</v>
      </c>
      <c r="B221" s="259" t="s">
        <v>5954</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5909</v>
      </c>
      <c r="B222" s="260" t="s">
        <v>5954</v>
      </c>
      <c r="C222" s="261" t="s">
        <v>5955</v>
      </c>
      <c r="D222" s="264" t="s">
        <v>5956</v>
      </c>
      <c r="E222" s="265" t="s">
        <v>5606</v>
      </c>
      <c r="F222" s="268" t="s">
        <v>5957</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5909</v>
      </c>
      <c r="B223" s="260" t="s">
        <v>5954</v>
      </c>
      <c r="C223" s="261" t="s">
        <v>5958</v>
      </c>
      <c r="D223" s="264" t="s">
        <v>5959</v>
      </c>
      <c r="E223" s="265" t="s">
        <v>5606</v>
      </c>
      <c r="F223" s="268" t="s">
        <v>5957</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5909</v>
      </c>
      <c r="B224" s="260" t="s">
        <v>5954</v>
      </c>
      <c r="C224" s="261" t="s">
        <v>5960</v>
      </c>
      <c r="D224" s="264" t="s">
        <v>5961</v>
      </c>
      <c r="E224" s="265" t="s">
        <v>5606</v>
      </c>
      <c r="F224" s="268" t="s">
        <v>5957</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5909</v>
      </c>
      <c r="B225" s="260" t="s">
        <v>5954</v>
      </c>
      <c r="C225" s="261" t="s">
        <v>5962</v>
      </c>
      <c r="D225" s="264" t="s">
        <v>5963</v>
      </c>
      <c r="E225" s="265" t="s">
        <v>5606</v>
      </c>
      <c r="F225" s="268" t="s">
        <v>5957</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5909</v>
      </c>
      <c r="B226" s="260" t="s">
        <v>5954</v>
      </c>
      <c r="C226" s="261" t="s">
        <v>5964</v>
      </c>
      <c r="D226" s="264" t="s">
        <v>5965</v>
      </c>
      <c r="E226" s="265" t="s">
        <v>5606</v>
      </c>
      <c r="F226" s="268" t="s">
        <v>5957</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5909</v>
      </c>
      <c r="B227" s="260" t="s">
        <v>5954</v>
      </c>
      <c r="C227" s="261" t="s">
        <v>5966</v>
      </c>
      <c r="D227" s="264" t="s">
        <v>5967</v>
      </c>
      <c r="E227" s="265" t="s">
        <v>5606</v>
      </c>
      <c r="F227" s="268" t="s">
        <v>5957</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5909</v>
      </c>
      <c r="B228" s="260" t="s">
        <v>5954</v>
      </c>
      <c r="C228" s="261" t="s">
        <v>5968</v>
      </c>
      <c r="D228" s="264" t="s">
        <v>5969</v>
      </c>
      <c r="E228" s="265" t="s">
        <v>5606</v>
      </c>
      <c r="F228" s="268" t="s">
        <v>5957</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5909</v>
      </c>
      <c r="B229" s="260" t="s">
        <v>5954</v>
      </c>
      <c r="C229" s="261" t="s">
        <v>5970</v>
      </c>
      <c r="D229" s="264" t="s">
        <v>5971</v>
      </c>
      <c r="E229" s="265" t="s">
        <v>5510</v>
      </c>
      <c r="F229" s="268" t="s">
        <v>5957</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5909</v>
      </c>
      <c r="B230" s="260" t="s">
        <v>5954</v>
      </c>
      <c r="C230" s="261" t="s">
        <v>5972</v>
      </c>
      <c r="D230" s="264" t="s">
        <v>5973</v>
      </c>
      <c r="E230" s="265" t="s">
        <v>5510</v>
      </c>
      <c r="F230" s="268" t="s">
        <v>5957</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5909</v>
      </c>
      <c r="B231" s="260" t="s">
        <v>5954</v>
      </c>
      <c r="C231" s="261" t="s">
        <v>5974</v>
      </c>
      <c r="D231" s="264" t="s">
        <v>5975</v>
      </c>
      <c r="E231" s="265" t="s">
        <v>5606</v>
      </c>
      <c r="F231" s="268" t="s">
        <v>5976</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5909</v>
      </c>
      <c r="B232" s="260" t="s">
        <v>5954</v>
      </c>
      <c r="C232" s="261" t="s">
        <v>5977</v>
      </c>
      <c r="D232" s="264" t="s">
        <v>5978</v>
      </c>
      <c r="E232" s="265" t="s">
        <v>5606</v>
      </c>
      <c r="F232" s="268" t="s">
        <v>5976</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5909</v>
      </c>
      <c r="B233" s="260" t="s">
        <v>5954</v>
      </c>
      <c r="C233" s="261" t="s">
        <v>5979</v>
      </c>
      <c r="D233" s="264" t="s">
        <v>5980</v>
      </c>
      <c r="E233" s="265" t="s">
        <v>5539</v>
      </c>
      <c r="F233" s="268" t="s">
        <v>5976</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5909</v>
      </c>
      <c r="B234" s="260" t="s">
        <v>5954</v>
      </c>
      <c r="C234" s="261" t="s">
        <v>5981</v>
      </c>
      <c r="D234" s="264" t="s">
        <v>5982</v>
      </c>
      <c r="E234" s="265" t="s">
        <v>5539</v>
      </c>
      <c r="F234" s="268" t="s">
        <v>5976</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5909</v>
      </c>
      <c r="B235" s="260" t="s">
        <v>5954</v>
      </c>
      <c r="C235" s="261" t="s">
        <v>5983</v>
      </c>
      <c r="D235" s="264" t="s">
        <v>5984</v>
      </c>
      <c r="E235" s="265" t="s">
        <v>5606</v>
      </c>
      <c r="F235" s="268" t="s">
        <v>5976</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5909</v>
      </c>
      <c r="B236" s="260" t="s">
        <v>5954</v>
      </c>
      <c r="C236" s="261" t="s">
        <v>5985</v>
      </c>
      <c r="D236" s="264" t="s">
        <v>5986</v>
      </c>
      <c r="E236" s="265" t="s">
        <v>5539</v>
      </c>
      <c r="F236" s="268" t="s">
        <v>5976</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5909</v>
      </c>
      <c r="B237" s="259" t="s">
        <v>2143</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5909</v>
      </c>
      <c r="B238" s="260" t="s">
        <v>2143</v>
      </c>
      <c r="C238" s="261" t="s">
        <v>5987</v>
      </c>
      <c r="D238" s="264" t="s">
        <v>5988</v>
      </c>
      <c r="E238" s="265" t="s">
        <v>5510</v>
      </c>
      <c r="F238" s="268" t="s">
        <v>5989</v>
      </c>
      <c r="G238" s="271">
        <f>IF(COUNTIF(H238:AU238,"&lt;&gt;")=0,"",SUMPRODUCT(((Recommendations[ImplStatus]="Implemented")+(Recommendations[ImplStatus]="Compensated"))*ISNUMBER(MATCH(Recommendations[Id],H238:AU238,0)))/COUNTIF(H238:AU238,"&lt;&gt;"))</f>
        <v>0</v>
      </c>
      <c r="H238" s="272" t="s">
        <v>218</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5909</v>
      </c>
      <c r="B239" s="260" t="s">
        <v>2143</v>
      </c>
      <c r="C239" s="261" t="s">
        <v>5990</v>
      </c>
      <c r="D239" s="264" t="s">
        <v>5991</v>
      </c>
      <c r="E239" s="265" t="s">
        <v>5510</v>
      </c>
      <c r="F239" s="268" t="s">
        <v>5989</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5909</v>
      </c>
      <c r="B240" s="260" t="s">
        <v>2143</v>
      </c>
      <c r="C240" s="261" t="s">
        <v>5992</v>
      </c>
      <c r="D240" s="264" t="s">
        <v>5993</v>
      </c>
      <c r="E240" s="265" t="s">
        <v>5510</v>
      </c>
      <c r="F240" s="268" t="s">
        <v>5989</v>
      </c>
      <c r="G240" s="271">
        <f>IF(COUNTIF(H240:AU240,"&lt;&gt;")=0,"",SUMPRODUCT(((Recommendations[ImplStatus]="Implemented")+(Recommendations[ImplStatus]="Compensated"))*ISNUMBER(MATCH(Recommendations[Id],H240:AU240,0)))/COUNTIF(H240:AU240,"&lt;&gt;"))</f>
        <v>0</v>
      </c>
      <c r="H240" s="272" t="s">
        <v>91</v>
      </c>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5909</v>
      </c>
      <c r="B241" s="260" t="s">
        <v>2143</v>
      </c>
      <c r="C241" s="261" t="s">
        <v>5994</v>
      </c>
      <c r="D241" s="264" t="s">
        <v>5995</v>
      </c>
      <c r="E241" s="265" t="s">
        <v>5510</v>
      </c>
      <c r="F241" s="268" t="s">
        <v>5989</v>
      </c>
      <c r="G241" s="271">
        <f>IF(COUNTIF(H241:AU241,"&lt;&gt;")=0,"",SUMPRODUCT(((Recommendations[ImplStatus]="Implemented")+(Recommendations[ImplStatus]="Compensated"))*ISNUMBER(MATCH(Recommendations[Id],H241:AU241,0)))/COUNTIF(H241:AU241,"&lt;&gt;"))</f>
        <v>0</v>
      </c>
      <c r="H241" s="272" t="s">
        <v>91</v>
      </c>
      <c r="I241" s="272" t="s">
        <v>346</v>
      </c>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5909</v>
      </c>
      <c r="B242" s="260" t="s">
        <v>2143</v>
      </c>
      <c r="C242" s="261" t="s">
        <v>5996</v>
      </c>
      <c r="D242" s="264" t="s">
        <v>5997</v>
      </c>
      <c r="E242" s="265" t="s">
        <v>5510</v>
      </c>
      <c r="F242" s="268" t="s">
        <v>5989</v>
      </c>
      <c r="G242" s="271">
        <f>IF(COUNTIF(H242:AU242,"&lt;&gt;")=0,"",SUMPRODUCT(((Recommendations[ImplStatus]="Implemented")+(Recommendations[ImplStatus]="Compensated"))*ISNUMBER(MATCH(Recommendations[Id],H242:AU242,0)))/COUNTIF(H242:AU242,"&lt;&gt;"))</f>
        <v>0</v>
      </c>
      <c r="H242" s="272" t="s">
        <v>351</v>
      </c>
      <c r="I242" s="272" t="s">
        <v>449</v>
      </c>
      <c r="J242" s="272" t="s">
        <v>454</v>
      </c>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5909</v>
      </c>
      <c r="B243" s="260" t="s">
        <v>2143</v>
      </c>
      <c r="C243" s="261" t="s">
        <v>5998</v>
      </c>
      <c r="D243" s="264" t="s">
        <v>5999</v>
      </c>
      <c r="E243" s="265" t="s">
        <v>5510</v>
      </c>
      <c r="F243" s="268" t="s">
        <v>5989</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5909</v>
      </c>
      <c r="B244" s="260" t="s">
        <v>2143</v>
      </c>
      <c r="C244" s="261" t="s">
        <v>6000</v>
      </c>
      <c r="D244" s="264" t="s">
        <v>6001</v>
      </c>
      <c r="E244" s="265" t="s">
        <v>5510</v>
      </c>
      <c r="F244" s="268" t="s">
        <v>5989</v>
      </c>
      <c r="G244" s="271">
        <f>IF(COUNTIF(H244:AU244,"&lt;&gt;")=0,"",SUMPRODUCT(((Recommendations[ImplStatus]="Implemented")+(Recommendations[ImplStatus]="Compensated"))*ISNUMBER(MATCH(Recommendations[Id],H244:AU244,0)))/COUNTIF(H244:AU244,"&lt;&gt;"))</f>
        <v>0</v>
      </c>
      <c r="H244" s="272" t="s">
        <v>400</v>
      </c>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5909</v>
      </c>
      <c r="B245" s="260" t="s">
        <v>2143</v>
      </c>
      <c r="C245" s="261" t="s">
        <v>6002</v>
      </c>
      <c r="D245" s="264" t="s">
        <v>6003</v>
      </c>
      <c r="E245" s="265" t="s">
        <v>5510</v>
      </c>
      <c r="F245" s="268" t="s">
        <v>5989</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5909</v>
      </c>
      <c r="B246" s="260" t="s">
        <v>2143</v>
      </c>
      <c r="C246" s="261" t="s">
        <v>6004</v>
      </c>
      <c r="D246" s="264" t="s">
        <v>6005</v>
      </c>
      <c r="E246" s="265" t="s">
        <v>5510</v>
      </c>
      <c r="F246" s="268" t="s">
        <v>5989</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5909</v>
      </c>
      <c r="B247" s="260" t="s">
        <v>2143</v>
      </c>
      <c r="C247" s="261" t="s">
        <v>6006</v>
      </c>
      <c r="D247" s="264" t="s">
        <v>6007</v>
      </c>
      <c r="E247" s="265" t="s">
        <v>5510</v>
      </c>
      <c r="F247" s="268" t="s">
        <v>5989</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5909</v>
      </c>
      <c r="B248" s="260" t="s">
        <v>2143</v>
      </c>
      <c r="C248" s="261" t="s">
        <v>6008</v>
      </c>
      <c r="D248" s="264" t="s">
        <v>6009</v>
      </c>
      <c r="E248" s="265" t="s">
        <v>5539</v>
      </c>
      <c r="F248" s="268" t="s">
        <v>5989</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5909</v>
      </c>
      <c r="B249" s="260" t="s">
        <v>2143</v>
      </c>
      <c r="C249" s="261" t="s">
        <v>6010</v>
      </c>
      <c r="D249" s="264" t="s">
        <v>6011</v>
      </c>
      <c r="E249" s="265" t="s">
        <v>5539</v>
      </c>
      <c r="F249" s="268" t="s">
        <v>6012</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5909</v>
      </c>
      <c r="B250" s="260" t="s">
        <v>2143</v>
      </c>
      <c r="C250" s="261" t="s">
        <v>6013</v>
      </c>
      <c r="D250" s="264" t="s">
        <v>6014</v>
      </c>
      <c r="E250" s="265" t="s">
        <v>5539</v>
      </c>
      <c r="F250" s="268" t="s">
        <v>6012</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5909</v>
      </c>
      <c r="B251" s="259" t="s">
        <v>6015</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5909</v>
      </c>
      <c r="B252" s="260" t="s">
        <v>6015</v>
      </c>
      <c r="C252" s="261" t="s">
        <v>6016</v>
      </c>
      <c r="D252" s="264" t="s">
        <v>6017</v>
      </c>
      <c r="E252" s="265" t="s">
        <v>5606</v>
      </c>
      <c r="F252" s="268" t="s">
        <v>6018</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5909</v>
      </c>
      <c r="B253" s="260" t="s">
        <v>6015</v>
      </c>
      <c r="C253" s="261" t="s">
        <v>6019</v>
      </c>
      <c r="D253" s="264" t="s">
        <v>6020</v>
      </c>
      <c r="E253" s="265" t="s">
        <v>5606</v>
      </c>
      <c r="F253" s="268" t="s">
        <v>6018</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5909</v>
      </c>
      <c r="B254" s="260" t="s">
        <v>6015</v>
      </c>
      <c r="C254" s="261" t="s">
        <v>6021</v>
      </c>
      <c r="D254" s="264" t="s">
        <v>6022</v>
      </c>
      <c r="E254" s="265" t="s">
        <v>5606</v>
      </c>
      <c r="F254" s="268" t="s">
        <v>6018</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5909</v>
      </c>
      <c r="B255" s="260" t="s">
        <v>6015</v>
      </c>
      <c r="C255" s="261" t="s">
        <v>6023</v>
      </c>
      <c r="D255" s="264" t="s">
        <v>6024</v>
      </c>
      <c r="E255" s="265" t="s">
        <v>5606</v>
      </c>
      <c r="F255" s="268" t="s">
        <v>6018</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5909</v>
      </c>
      <c r="B256" s="260" t="s">
        <v>6015</v>
      </c>
      <c r="C256" s="261" t="s">
        <v>6025</v>
      </c>
      <c r="D256" s="264" t="s">
        <v>6026</v>
      </c>
      <c r="E256" s="265" t="s">
        <v>5606</v>
      </c>
      <c r="F256" s="268" t="s">
        <v>6018</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5909</v>
      </c>
      <c r="B257" s="260" t="s">
        <v>6015</v>
      </c>
      <c r="C257" s="261" t="s">
        <v>6027</v>
      </c>
      <c r="D257" s="264" t="s">
        <v>6028</v>
      </c>
      <c r="E257" s="265" t="s">
        <v>5510</v>
      </c>
      <c r="F257" s="268" t="s">
        <v>6018</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5909</v>
      </c>
      <c r="B258" s="260" t="s">
        <v>6015</v>
      </c>
      <c r="C258" s="261" t="s">
        <v>6029</v>
      </c>
      <c r="D258" s="264" t="s">
        <v>6030</v>
      </c>
      <c r="E258" s="265" t="s">
        <v>5510</v>
      </c>
      <c r="F258" s="268" t="s">
        <v>6018</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5909</v>
      </c>
      <c r="B259" s="260" t="s">
        <v>6015</v>
      </c>
      <c r="C259" s="261" t="s">
        <v>6031</v>
      </c>
      <c r="D259" s="264" t="s">
        <v>6032</v>
      </c>
      <c r="E259" s="265" t="s">
        <v>5510</v>
      </c>
      <c r="F259" s="268" t="s">
        <v>6018</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5909</v>
      </c>
      <c r="B260" s="260" t="s">
        <v>6015</v>
      </c>
      <c r="C260" s="261" t="s">
        <v>6033</v>
      </c>
      <c r="D260" s="264" t="s">
        <v>6034</v>
      </c>
      <c r="E260" s="265" t="s">
        <v>5510</v>
      </c>
      <c r="F260" s="268" t="s">
        <v>6018</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5909</v>
      </c>
      <c r="B261" s="260" t="s">
        <v>6015</v>
      </c>
      <c r="C261" s="261" t="s">
        <v>6035</v>
      </c>
      <c r="D261" s="264" t="s">
        <v>6036</v>
      </c>
      <c r="E261" s="265" t="s">
        <v>5654</v>
      </c>
      <c r="F261" s="268" t="s">
        <v>6018</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5909</v>
      </c>
      <c r="B262" s="260" t="s">
        <v>6015</v>
      </c>
      <c r="C262" s="261" t="s">
        <v>6037</v>
      </c>
      <c r="D262" s="264" t="s">
        <v>6038</v>
      </c>
      <c r="E262" s="265" t="s">
        <v>5654</v>
      </c>
      <c r="F262" s="268" t="s">
        <v>6018</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5909</v>
      </c>
      <c r="B263" s="260" t="s">
        <v>6015</v>
      </c>
      <c r="C263" s="261" t="s">
        <v>6039</v>
      </c>
      <c r="D263" s="264" t="s">
        <v>6040</v>
      </c>
      <c r="E263" s="265" t="s">
        <v>5654</v>
      </c>
      <c r="F263" s="268" t="s">
        <v>6018</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5909</v>
      </c>
      <c r="B264" s="259" t="s">
        <v>6041</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5909</v>
      </c>
      <c r="B265" s="260" t="s">
        <v>6041</v>
      </c>
      <c r="C265" s="261" t="s">
        <v>6042</v>
      </c>
      <c r="D265" s="264" t="s">
        <v>6043</v>
      </c>
      <c r="E265" s="265" t="s">
        <v>5539</v>
      </c>
      <c r="F265" s="268" t="s">
        <v>6044</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5909</v>
      </c>
      <c r="B266" s="260" t="s">
        <v>6041</v>
      </c>
      <c r="C266" s="261" t="s">
        <v>6045</v>
      </c>
      <c r="D266" s="264" t="s">
        <v>6046</v>
      </c>
      <c r="E266" s="265" t="s">
        <v>5539</v>
      </c>
      <c r="F266" s="268" t="s">
        <v>6044</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5909</v>
      </c>
      <c r="B267" s="260" t="s">
        <v>6041</v>
      </c>
      <c r="C267" s="261" t="s">
        <v>6047</v>
      </c>
      <c r="D267" s="264" t="s">
        <v>6048</v>
      </c>
      <c r="E267" s="265" t="s">
        <v>5539</v>
      </c>
      <c r="F267" s="268" t="s">
        <v>6044</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5909</v>
      </c>
      <c r="B268" s="260" t="s">
        <v>6041</v>
      </c>
      <c r="C268" s="261" t="s">
        <v>6049</v>
      </c>
      <c r="D268" s="264" t="s">
        <v>6050</v>
      </c>
      <c r="E268" s="265" t="s">
        <v>5539</v>
      </c>
      <c r="F268" s="268" t="s">
        <v>6044</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5909</v>
      </c>
      <c r="B269" s="260" t="s">
        <v>6041</v>
      </c>
      <c r="C269" s="261" t="s">
        <v>6051</v>
      </c>
      <c r="D269" s="264" t="s">
        <v>6052</v>
      </c>
      <c r="E269" s="265" t="s">
        <v>5539</v>
      </c>
      <c r="F269" s="268" t="s">
        <v>6044</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5909</v>
      </c>
      <c r="B270" s="260" t="s">
        <v>6041</v>
      </c>
      <c r="C270" s="261" t="s">
        <v>6053</v>
      </c>
      <c r="D270" s="264" t="s">
        <v>6054</v>
      </c>
      <c r="E270" s="265" t="s">
        <v>5539</v>
      </c>
      <c r="F270" s="268" t="s">
        <v>6044</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5909</v>
      </c>
      <c r="B271" s="260" t="s">
        <v>6041</v>
      </c>
      <c r="C271" s="261" t="s">
        <v>6055</v>
      </c>
      <c r="D271" s="264" t="s">
        <v>6056</v>
      </c>
      <c r="E271" s="265" t="s">
        <v>5539</v>
      </c>
      <c r="F271" s="268" t="s">
        <v>6044</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5909</v>
      </c>
      <c r="B272" s="260" t="s">
        <v>6041</v>
      </c>
      <c r="C272" s="261" t="s">
        <v>6057</v>
      </c>
      <c r="D272" s="264" t="s">
        <v>6058</v>
      </c>
      <c r="E272" s="265" t="s">
        <v>5539</v>
      </c>
      <c r="F272" s="268" t="s">
        <v>6044</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5909</v>
      </c>
      <c r="B273" s="260" t="s">
        <v>6041</v>
      </c>
      <c r="C273" s="261" t="s">
        <v>6059</v>
      </c>
      <c r="D273" s="264" t="s">
        <v>6060</v>
      </c>
      <c r="E273" s="265" t="s">
        <v>5539</v>
      </c>
      <c r="F273" s="268" t="s">
        <v>6044</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6061</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6061</v>
      </c>
      <c r="B275" s="259" t="s">
        <v>6062</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6061</v>
      </c>
      <c r="B276" s="260" t="s">
        <v>6062</v>
      </c>
      <c r="C276" s="261" t="s">
        <v>6063</v>
      </c>
      <c r="D276" s="264" t="s">
        <v>6064</v>
      </c>
      <c r="E276" s="265" t="s">
        <v>5510</v>
      </c>
      <c r="F276" s="268" t="s">
        <v>6065</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6061</v>
      </c>
      <c r="B277" s="260" t="s">
        <v>6062</v>
      </c>
      <c r="C277" s="261" t="s">
        <v>6066</v>
      </c>
      <c r="D277" s="264" t="s">
        <v>6067</v>
      </c>
      <c r="E277" s="265" t="s">
        <v>5510</v>
      </c>
      <c r="F277" s="268" t="s">
        <v>6065</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6061</v>
      </c>
      <c r="B278" s="260" t="s">
        <v>6062</v>
      </c>
      <c r="C278" s="261" t="s">
        <v>6068</v>
      </c>
      <c r="D278" s="264" t="s">
        <v>6069</v>
      </c>
      <c r="E278" s="265" t="s">
        <v>5510</v>
      </c>
      <c r="F278" s="268" t="s">
        <v>6065</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6061</v>
      </c>
      <c r="B279" s="260" t="s">
        <v>6062</v>
      </c>
      <c r="C279" s="261" t="s">
        <v>6070</v>
      </c>
      <c r="D279" s="264" t="s">
        <v>6071</v>
      </c>
      <c r="E279" s="265" t="s">
        <v>5510</v>
      </c>
      <c r="F279" s="268" t="s">
        <v>6065</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6061</v>
      </c>
      <c r="B280" s="260" t="s">
        <v>6062</v>
      </c>
      <c r="C280" s="261" t="s">
        <v>6072</v>
      </c>
      <c r="D280" s="264" t="s">
        <v>6073</v>
      </c>
      <c r="E280" s="265" t="s">
        <v>5510</v>
      </c>
      <c r="F280" s="268" t="s">
        <v>6065</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6061</v>
      </c>
      <c r="B281" s="260" t="s">
        <v>6062</v>
      </c>
      <c r="C281" s="261" t="s">
        <v>6074</v>
      </c>
      <c r="D281" s="264" t="s">
        <v>6075</v>
      </c>
      <c r="E281" s="265" t="s">
        <v>5510</v>
      </c>
      <c r="F281" s="268" t="s">
        <v>6065</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6061</v>
      </c>
      <c r="B282" s="260" t="s">
        <v>6062</v>
      </c>
      <c r="C282" s="261" t="s">
        <v>6076</v>
      </c>
      <c r="D282" s="264" t="s">
        <v>6077</v>
      </c>
      <c r="E282" s="265" t="s">
        <v>5510</v>
      </c>
      <c r="F282" s="268" t="s">
        <v>6065</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6061</v>
      </c>
      <c r="B283" s="260" t="s">
        <v>6062</v>
      </c>
      <c r="C283" s="261" t="s">
        <v>6078</v>
      </c>
      <c r="D283" s="264" t="s">
        <v>6079</v>
      </c>
      <c r="E283" s="265" t="s">
        <v>5606</v>
      </c>
      <c r="F283" s="268" t="s">
        <v>6080</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6061</v>
      </c>
      <c r="B284" s="260" t="s">
        <v>6062</v>
      </c>
      <c r="C284" s="261" t="s">
        <v>6081</v>
      </c>
      <c r="D284" s="264" t="s">
        <v>6082</v>
      </c>
      <c r="E284" s="265" t="s">
        <v>5606</v>
      </c>
      <c r="F284" s="268" t="s">
        <v>6080</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6061</v>
      </c>
      <c r="B285" s="260" t="s">
        <v>6062</v>
      </c>
      <c r="C285" s="261" t="s">
        <v>6083</v>
      </c>
      <c r="D285" s="264" t="s">
        <v>6084</v>
      </c>
      <c r="E285" s="265" t="s">
        <v>5510</v>
      </c>
      <c r="F285" s="268" t="s">
        <v>6080</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6061</v>
      </c>
      <c r="B286" s="260" t="s">
        <v>6062</v>
      </c>
      <c r="C286" s="261" t="s">
        <v>6085</v>
      </c>
      <c r="D286" s="264" t="s">
        <v>6086</v>
      </c>
      <c r="E286" s="265" t="s">
        <v>5539</v>
      </c>
      <c r="F286" s="268" t="s">
        <v>6080</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6061</v>
      </c>
      <c r="B287" s="260" t="s">
        <v>6062</v>
      </c>
      <c r="C287" s="261" t="s">
        <v>6087</v>
      </c>
      <c r="D287" s="264" t="s">
        <v>6088</v>
      </c>
      <c r="E287" s="265" t="s">
        <v>5539</v>
      </c>
      <c r="F287" s="268" t="s">
        <v>6080</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6061</v>
      </c>
      <c r="B288" s="260" t="s">
        <v>6062</v>
      </c>
      <c r="C288" s="261" t="s">
        <v>6089</v>
      </c>
      <c r="D288" s="264" t="s">
        <v>6090</v>
      </c>
      <c r="E288" s="265" t="s">
        <v>5539</v>
      </c>
      <c r="F288" s="268" t="s">
        <v>6080</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6061</v>
      </c>
      <c r="B289" s="260" t="s">
        <v>6062</v>
      </c>
      <c r="C289" s="261" t="s">
        <v>6091</v>
      </c>
      <c r="D289" s="264" t="s">
        <v>6092</v>
      </c>
      <c r="E289" s="265" t="s">
        <v>5539</v>
      </c>
      <c r="F289" s="268" t="s">
        <v>6080</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6061</v>
      </c>
      <c r="B290" s="260" t="s">
        <v>6062</v>
      </c>
      <c r="C290" s="261" t="s">
        <v>6093</v>
      </c>
      <c r="D290" s="264" t="s">
        <v>6094</v>
      </c>
      <c r="E290" s="265" t="s">
        <v>5510</v>
      </c>
      <c r="F290" s="268" t="s">
        <v>6080</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6061</v>
      </c>
      <c r="B291" s="260" t="s">
        <v>6062</v>
      </c>
      <c r="C291" s="261" t="s">
        <v>6095</v>
      </c>
      <c r="D291" s="264" t="s">
        <v>6096</v>
      </c>
      <c r="E291" s="265" t="s">
        <v>5539</v>
      </c>
      <c r="F291" s="268" t="s">
        <v>6097</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6061</v>
      </c>
      <c r="B292" s="260" t="s">
        <v>6062</v>
      </c>
      <c r="C292" s="261" t="s">
        <v>6098</v>
      </c>
      <c r="D292" s="264" t="s">
        <v>6099</v>
      </c>
      <c r="E292" s="265" t="s">
        <v>5539</v>
      </c>
      <c r="F292" s="268" t="s">
        <v>6097</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6061</v>
      </c>
      <c r="B293" s="260" t="s">
        <v>6062</v>
      </c>
      <c r="C293" s="261" t="s">
        <v>6100</v>
      </c>
      <c r="D293" s="264" t="s">
        <v>6101</v>
      </c>
      <c r="E293" s="265" t="s">
        <v>5789</v>
      </c>
      <c r="F293" s="268" t="s">
        <v>6080</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6061</v>
      </c>
      <c r="B294" s="260" t="s">
        <v>6062</v>
      </c>
      <c r="C294" s="261" t="s">
        <v>6102</v>
      </c>
      <c r="D294" s="264" t="s">
        <v>6103</v>
      </c>
      <c r="E294" s="265" t="s">
        <v>5789</v>
      </c>
      <c r="F294" s="268" t="s">
        <v>6080</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6061</v>
      </c>
      <c r="B295" s="260" t="s">
        <v>6062</v>
      </c>
      <c r="C295" s="261" t="s">
        <v>6104</v>
      </c>
      <c r="D295" s="264" t="s">
        <v>6105</v>
      </c>
      <c r="E295" s="265" t="s">
        <v>5606</v>
      </c>
      <c r="F295" s="268" t="s">
        <v>6080</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6061</v>
      </c>
      <c r="B296" s="260" t="s">
        <v>6062</v>
      </c>
      <c r="C296" s="261" t="s">
        <v>6106</v>
      </c>
      <c r="D296" s="264" t="s">
        <v>6107</v>
      </c>
      <c r="E296" s="265" t="s">
        <v>5606</v>
      </c>
      <c r="F296" s="268" t="s">
        <v>6080</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6061</v>
      </c>
      <c r="B297" s="260" t="s">
        <v>6062</v>
      </c>
      <c r="C297" s="261" t="s">
        <v>6108</v>
      </c>
      <c r="D297" s="264" t="s">
        <v>6109</v>
      </c>
      <c r="E297" s="265" t="s">
        <v>5510</v>
      </c>
      <c r="F297" s="268" t="s">
        <v>6080</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6061</v>
      </c>
      <c r="B298" s="260" t="s">
        <v>6062</v>
      </c>
      <c r="C298" s="261" t="s">
        <v>6110</v>
      </c>
      <c r="D298" s="264" t="s">
        <v>6111</v>
      </c>
      <c r="E298" s="265" t="s">
        <v>5606</v>
      </c>
      <c r="F298" s="268" t="s">
        <v>6080</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6061</v>
      </c>
      <c r="B299" s="260" t="s">
        <v>6062</v>
      </c>
      <c r="C299" s="261" t="s">
        <v>6112</v>
      </c>
      <c r="D299" s="264" t="s">
        <v>6113</v>
      </c>
      <c r="E299" s="265" t="s">
        <v>5539</v>
      </c>
      <c r="F299" s="268" t="s">
        <v>6080</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6061</v>
      </c>
      <c r="B300" s="260" t="s">
        <v>6062</v>
      </c>
      <c r="C300" s="261" t="s">
        <v>6114</v>
      </c>
      <c r="D300" s="264" t="s">
        <v>6115</v>
      </c>
      <c r="E300" s="265" t="s">
        <v>5606</v>
      </c>
      <c r="F300" s="268" t="s">
        <v>6080</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6061</v>
      </c>
      <c r="B301" s="260" t="s">
        <v>6062</v>
      </c>
      <c r="C301" s="261" t="s">
        <v>6116</v>
      </c>
      <c r="D301" s="264" t="s">
        <v>6117</v>
      </c>
      <c r="E301" s="265" t="s">
        <v>5654</v>
      </c>
      <c r="F301" s="268" t="s">
        <v>6080</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6061</v>
      </c>
      <c r="B302" s="260" t="s">
        <v>6062</v>
      </c>
      <c r="C302" s="261" t="s">
        <v>6118</v>
      </c>
      <c r="D302" s="264" t="s">
        <v>6119</v>
      </c>
      <c r="E302" s="265" t="s">
        <v>5654</v>
      </c>
      <c r="F302" s="268" t="s">
        <v>6080</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6061</v>
      </c>
      <c r="B303" s="259" t="s">
        <v>1876</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6061</v>
      </c>
      <c r="B304" s="260" t="s">
        <v>1876</v>
      </c>
      <c r="C304" s="261" t="s">
        <v>6120</v>
      </c>
      <c r="D304" s="264" t="s">
        <v>6121</v>
      </c>
      <c r="E304" s="265" t="s">
        <v>5510</v>
      </c>
      <c r="F304" s="268" t="s">
        <v>6122</v>
      </c>
      <c r="G304" s="271">
        <f>IF(COUNTIF(H304:AU304,"&lt;&gt;")=0,"",SUMPRODUCT(((Recommendations[ImplStatus]="Implemented")+(Recommendations[ImplStatus]="Compensated"))*ISNUMBER(MATCH(Recommendations[Id],H304:AU304,0)))/COUNTIF(H304:AU304,"&lt;&gt;"))</f>
        <v>0</v>
      </c>
      <c r="H304" s="272" t="s">
        <v>60</v>
      </c>
      <c r="I304" s="272" t="s">
        <v>88</v>
      </c>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6061</v>
      </c>
      <c r="B305" s="260" t="s">
        <v>1876</v>
      </c>
      <c r="C305" s="261" t="s">
        <v>6123</v>
      </c>
      <c r="D305" s="264" t="s">
        <v>6124</v>
      </c>
      <c r="E305" s="265" t="s">
        <v>5510</v>
      </c>
      <c r="F305" s="268" t="s">
        <v>6122</v>
      </c>
      <c r="G305" s="271">
        <f>IF(COUNTIF(H305:AU305,"&lt;&gt;")=0,"",SUMPRODUCT(((Recommendations[ImplStatus]="Implemented")+(Recommendations[ImplStatus]="Compensated"))*ISNUMBER(MATCH(Recommendations[Id],H305:AU305,0)))/COUNTIF(H305:AU305,"&lt;&gt;"))</f>
        <v>0</v>
      </c>
      <c r="H305" s="272" t="s">
        <v>60</v>
      </c>
      <c r="I305" s="272" t="s">
        <v>88</v>
      </c>
      <c r="J305" s="272" t="s">
        <v>97</v>
      </c>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6061</v>
      </c>
      <c r="B306" s="260" t="s">
        <v>1876</v>
      </c>
      <c r="C306" s="261" t="s">
        <v>6125</v>
      </c>
      <c r="D306" s="264" t="s">
        <v>6126</v>
      </c>
      <c r="E306" s="265" t="s">
        <v>5510</v>
      </c>
      <c r="F306" s="268" t="s">
        <v>6122</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6061</v>
      </c>
      <c r="B307" s="260" t="s">
        <v>1876</v>
      </c>
      <c r="C307" s="261" t="s">
        <v>6127</v>
      </c>
      <c r="D307" s="264" t="s">
        <v>6128</v>
      </c>
      <c r="E307" s="265" t="s">
        <v>5510</v>
      </c>
      <c r="F307" s="268" t="s">
        <v>6122</v>
      </c>
      <c r="G307" s="271">
        <f>IF(COUNTIF(H307:AU307,"&lt;&gt;")=0,"",SUMPRODUCT(((Recommendations[ImplStatus]="Implemented")+(Recommendations[ImplStatus]="Compensated"))*ISNUMBER(MATCH(Recommendations[Id],H307:AU307,0)))/COUNTIF(H307:AU307,"&lt;&gt;"))</f>
        <v>0</v>
      </c>
      <c r="H307" s="272" t="s">
        <v>185</v>
      </c>
      <c r="I307" s="272" t="s">
        <v>194</v>
      </c>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6061</v>
      </c>
      <c r="B308" s="260" t="s">
        <v>1876</v>
      </c>
      <c r="C308" s="261" t="s">
        <v>6129</v>
      </c>
      <c r="D308" s="264" t="s">
        <v>6130</v>
      </c>
      <c r="E308" s="265" t="s">
        <v>5606</v>
      </c>
      <c r="F308" s="268" t="s">
        <v>6122</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6061</v>
      </c>
      <c r="B309" s="260" t="s">
        <v>1876</v>
      </c>
      <c r="C309" s="261" t="s">
        <v>6131</v>
      </c>
      <c r="D309" s="264" t="s">
        <v>6132</v>
      </c>
      <c r="E309" s="265" t="s">
        <v>5606</v>
      </c>
      <c r="F309" s="268" t="s">
        <v>6122</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6061</v>
      </c>
      <c r="B310" s="260" t="s">
        <v>1876</v>
      </c>
      <c r="C310" s="261" t="s">
        <v>6133</v>
      </c>
      <c r="D310" s="264" t="s">
        <v>6134</v>
      </c>
      <c r="E310" s="265" t="s">
        <v>5606</v>
      </c>
      <c r="F310" s="268" t="s">
        <v>6122</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6061</v>
      </c>
      <c r="B311" s="260" t="s">
        <v>1876</v>
      </c>
      <c r="C311" s="261" t="s">
        <v>6135</v>
      </c>
      <c r="D311" s="264" t="s">
        <v>6136</v>
      </c>
      <c r="E311" s="265" t="s">
        <v>5606</v>
      </c>
      <c r="F311" s="268" t="s">
        <v>6122</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6061</v>
      </c>
      <c r="B312" s="260" t="s">
        <v>1876</v>
      </c>
      <c r="C312" s="261" t="s">
        <v>6137</v>
      </c>
      <c r="D312" s="264" t="s">
        <v>6138</v>
      </c>
      <c r="E312" s="265" t="s">
        <v>5606</v>
      </c>
      <c r="F312" s="268" t="s">
        <v>6122</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6061</v>
      </c>
      <c r="B313" s="260" t="s">
        <v>1876</v>
      </c>
      <c r="C313" s="261" t="s">
        <v>6139</v>
      </c>
      <c r="D313" s="264" t="s">
        <v>6140</v>
      </c>
      <c r="E313" s="265" t="s">
        <v>5539</v>
      </c>
      <c r="F313" s="268" t="s">
        <v>6122</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6061</v>
      </c>
      <c r="B314" s="260" t="s">
        <v>1876</v>
      </c>
      <c r="C314" s="261" t="s">
        <v>6141</v>
      </c>
      <c r="D314" s="264" t="s">
        <v>6142</v>
      </c>
      <c r="E314" s="265" t="s">
        <v>5539</v>
      </c>
      <c r="F314" s="268" t="s">
        <v>6122</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6061</v>
      </c>
      <c r="B315" s="260" t="s">
        <v>1876</v>
      </c>
      <c r="C315" s="261" t="s">
        <v>6143</v>
      </c>
      <c r="D315" s="264" t="s">
        <v>6144</v>
      </c>
      <c r="E315" s="265" t="s">
        <v>5539</v>
      </c>
      <c r="F315" s="268" t="s">
        <v>6122</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6061</v>
      </c>
      <c r="B316" s="260" t="s">
        <v>1876</v>
      </c>
      <c r="C316" s="261" t="s">
        <v>6145</v>
      </c>
      <c r="D316" s="264" t="s">
        <v>6146</v>
      </c>
      <c r="E316" s="265" t="s">
        <v>5539</v>
      </c>
      <c r="F316" s="268" t="s">
        <v>6122</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6061</v>
      </c>
      <c r="B317" s="260" t="s">
        <v>1876</v>
      </c>
      <c r="C317" s="261" t="s">
        <v>6147</v>
      </c>
      <c r="D317" s="264" t="s">
        <v>6148</v>
      </c>
      <c r="E317" s="265" t="s">
        <v>5606</v>
      </c>
      <c r="F317" s="268" t="s">
        <v>6080</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6061</v>
      </c>
      <c r="B318" s="260" t="s">
        <v>1876</v>
      </c>
      <c r="C318" s="261" t="s">
        <v>6149</v>
      </c>
      <c r="D318" s="264" t="s">
        <v>6150</v>
      </c>
      <c r="E318" s="265" t="s">
        <v>5654</v>
      </c>
      <c r="F318" s="268" t="s">
        <v>6080</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6061</v>
      </c>
      <c r="B319" s="260" t="s">
        <v>1876</v>
      </c>
      <c r="C319" s="261" t="s">
        <v>6151</v>
      </c>
      <c r="D319" s="264" t="s">
        <v>6152</v>
      </c>
      <c r="E319" s="265" t="s">
        <v>5654</v>
      </c>
      <c r="F319" s="268" t="s">
        <v>6080</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6061</v>
      </c>
      <c r="B320" s="259" t="s">
        <v>6153</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6061</v>
      </c>
      <c r="B321" s="260" t="s">
        <v>6153</v>
      </c>
      <c r="C321" s="261" t="s">
        <v>6154</v>
      </c>
      <c r="D321" s="264" t="s">
        <v>6155</v>
      </c>
      <c r="E321" s="265" t="s">
        <v>5539</v>
      </c>
      <c r="F321" s="268" t="s">
        <v>6156</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6061</v>
      </c>
      <c r="B322" s="260" t="s">
        <v>6153</v>
      </c>
      <c r="C322" s="261" t="s">
        <v>6157</v>
      </c>
      <c r="D322" s="264" t="s">
        <v>6158</v>
      </c>
      <c r="E322" s="265" t="s">
        <v>5539</v>
      </c>
      <c r="F322" s="268" t="s">
        <v>6156</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6061</v>
      </c>
      <c r="B323" s="260" t="s">
        <v>6153</v>
      </c>
      <c r="C323" s="261" t="s">
        <v>6159</v>
      </c>
      <c r="D323" s="264" t="s">
        <v>6160</v>
      </c>
      <c r="E323" s="265" t="s">
        <v>5539</v>
      </c>
      <c r="F323" s="268" t="s">
        <v>6156</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6061</v>
      </c>
      <c r="B324" s="260" t="s">
        <v>6153</v>
      </c>
      <c r="C324" s="261" t="s">
        <v>6161</v>
      </c>
      <c r="D324" s="264" t="s">
        <v>6162</v>
      </c>
      <c r="E324" s="265" t="s">
        <v>5539</v>
      </c>
      <c r="F324" s="268" t="s">
        <v>6156</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6061</v>
      </c>
      <c r="B325" s="260" t="s">
        <v>6153</v>
      </c>
      <c r="C325" s="261" t="s">
        <v>6163</v>
      </c>
      <c r="D325" s="264" t="s">
        <v>6164</v>
      </c>
      <c r="E325" s="265" t="s">
        <v>5539</v>
      </c>
      <c r="F325" s="268" t="s">
        <v>6156</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6061</v>
      </c>
      <c r="B326" s="260" t="s">
        <v>6153</v>
      </c>
      <c r="C326" s="261" t="s">
        <v>6165</v>
      </c>
      <c r="D326" s="264" t="s">
        <v>6166</v>
      </c>
      <c r="E326" s="265" t="s">
        <v>5539</v>
      </c>
      <c r="F326" s="268" t="s">
        <v>6156</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6061</v>
      </c>
      <c r="B327" s="260" t="s">
        <v>6153</v>
      </c>
      <c r="C327" s="261" t="s">
        <v>6167</v>
      </c>
      <c r="D327" s="264" t="s">
        <v>6168</v>
      </c>
      <c r="E327" s="265" t="s">
        <v>5539</v>
      </c>
      <c r="F327" s="268" t="s">
        <v>6156</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6061</v>
      </c>
      <c r="B328" s="260" t="s">
        <v>6153</v>
      </c>
      <c r="C328" s="261" t="s">
        <v>6169</v>
      </c>
      <c r="D328" s="264" t="s">
        <v>6170</v>
      </c>
      <c r="E328" s="265" t="s">
        <v>5539</v>
      </c>
      <c r="F328" s="268" t="s">
        <v>6156</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6061</v>
      </c>
      <c r="B329" s="260" t="s">
        <v>6153</v>
      </c>
      <c r="C329" s="261" t="s">
        <v>6171</v>
      </c>
      <c r="D329" s="264" t="s">
        <v>6172</v>
      </c>
      <c r="E329" s="265" t="s">
        <v>5539</v>
      </c>
      <c r="F329" s="268" t="s">
        <v>6156</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6061</v>
      </c>
      <c r="B330" s="260" t="s">
        <v>6153</v>
      </c>
      <c r="C330" s="261" t="s">
        <v>6173</v>
      </c>
      <c r="D330" s="264" t="s">
        <v>6174</v>
      </c>
      <c r="E330" s="265" t="s">
        <v>5539</v>
      </c>
      <c r="F330" s="268" t="s">
        <v>6156</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6061</v>
      </c>
      <c r="B331" s="260" t="s">
        <v>6153</v>
      </c>
      <c r="C331" s="261" t="s">
        <v>6175</v>
      </c>
      <c r="D331" s="264" t="s">
        <v>6176</v>
      </c>
      <c r="E331" s="265" t="s">
        <v>5539</v>
      </c>
      <c r="F331" s="268" t="s">
        <v>6156</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6061</v>
      </c>
      <c r="B332" s="260" t="s">
        <v>6153</v>
      </c>
      <c r="C332" s="261" t="s">
        <v>6177</v>
      </c>
      <c r="D332" s="264" t="s">
        <v>6178</v>
      </c>
      <c r="E332" s="265" t="s">
        <v>5539</v>
      </c>
      <c r="F332" s="268" t="s">
        <v>6156</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6061</v>
      </c>
      <c r="B333" s="260" t="s">
        <v>6153</v>
      </c>
      <c r="C333" s="261" t="s">
        <v>6179</v>
      </c>
      <c r="D333" s="264" t="s">
        <v>6180</v>
      </c>
      <c r="E333" s="265" t="s">
        <v>5539</v>
      </c>
      <c r="F333" s="268" t="s">
        <v>6156</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6061</v>
      </c>
      <c r="B334" s="260" t="s">
        <v>6153</v>
      </c>
      <c r="C334" s="261" t="s">
        <v>6181</v>
      </c>
      <c r="D334" s="264" t="s">
        <v>6182</v>
      </c>
      <c r="E334" s="265" t="s">
        <v>5539</v>
      </c>
      <c r="F334" s="268" t="s">
        <v>6156</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6061</v>
      </c>
      <c r="B335" s="260" t="s">
        <v>6153</v>
      </c>
      <c r="C335" s="261" t="s">
        <v>6183</v>
      </c>
      <c r="D335" s="264" t="s">
        <v>6184</v>
      </c>
      <c r="E335" s="265" t="s">
        <v>5539</v>
      </c>
      <c r="F335" s="268" t="s">
        <v>6156</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6061</v>
      </c>
      <c r="B336" s="260" t="s">
        <v>6153</v>
      </c>
      <c r="C336" s="261" t="s">
        <v>6185</v>
      </c>
      <c r="D336" s="264" t="s">
        <v>6186</v>
      </c>
      <c r="E336" s="265" t="s">
        <v>5654</v>
      </c>
      <c r="F336" s="268" t="s">
        <v>6156</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6061</v>
      </c>
      <c r="B337" s="260" t="s">
        <v>6153</v>
      </c>
      <c r="C337" s="261" t="s">
        <v>6187</v>
      </c>
      <c r="D337" s="264" t="s">
        <v>6188</v>
      </c>
      <c r="E337" s="265" t="s">
        <v>5654</v>
      </c>
      <c r="F337" s="268" t="s">
        <v>6156</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6061</v>
      </c>
      <c r="B338" s="260" t="s">
        <v>6153</v>
      </c>
      <c r="C338" s="261" t="s">
        <v>6189</v>
      </c>
      <c r="D338" s="264" t="s">
        <v>6190</v>
      </c>
      <c r="E338" s="265" t="s">
        <v>5539</v>
      </c>
      <c r="F338" s="268" t="s">
        <v>6156</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6061</v>
      </c>
      <c r="B339" s="260" t="s">
        <v>6153</v>
      </c>
      <c r="C339" s="261" t="s">
        <v>6191</v>
      </c>
      <c r="D339" s="264" t="s">
        <v>6192</v>
      </c>
      <c r="E339" s="265" t="s">
        <v>5539</v>
      </c>
      <c r="F339" s="268" t="s">
        <v>6156</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6061</v>
      </c>
      <c r="B340" s="259" t="s">
        <v>6193</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6061</v>
      </c>
      <c r="B341" s="260" t="s">
        <v>6193</v>
      </c>
      <c r="C341" s="261" t="s">
        <v>6194</v>
      </c>
      <c r="D341" s="264" t="s">
        <v>6195</v>
      </c>
      <c r="E341" s="265" t="s">
        <v>5510</v>
      </c>
      <c r="F341" s="268" t="s">
        <v>6080</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6061</v>
      </c>
      <c r="B342" s="260" t="s">
        <v>6193</v>
      </c>
      <c r="C342" s="261" t="s">
        <v>6196</v>
      </c>
      <c r="D342" s="264" t="s">
        <v>6197</v>
      </c>
      <c r="E342" s="265" t="s">
        <v>5510</v>
      </c>
      <c r="F342" s="268" t="s">
        <v>6080</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6061</v>
      </c>
      <c r="B343" s="260" t="s">
        <v>6193</v>
      </c>
      <c r="C343" s="261" t="s">
        <v>6198</v>
      </c>
      <c r="D343" s="264" t="s">
        <v>6199</v>
      </c>
      <c r="E343" s="265" t="s">
        <v>5606</v>
      </c>
      <c r="F343" s="268" t="s">
        <v>6200</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6061</v>
      </c>
      <c r="B344" s="260" t="s">
        <v>6193</v>
      </c>
      <c r="C344" s="261" t="s">
        <v>6201</v>
      </c>
      <c r="D344" s="264" t="s">
        <v>6202</v>
      </c>
      <c r="E344" s="265" t="s">
        <v>5539</v>
      </c>
      <c r="F344" s="268" t="s">
        <v>6200</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6061</v>
      </c>
      <c r="B345" s="260" t="s">
        <v>6193</v>
      </c>
      <c r="C345" s="261" t="s">
        <v>6203</v>
      </c>
      <c r="D345" s="264" t="s">
        <v>6204</v>
      </c>
      <c r="E345" s="265" t="s">
        <v>5539</v>
      </c>
      <c r="F345" s="268" t="s">
        <v>6200</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6061</v>
      </c>
      <c r="B346" s="260" t="s">
        <v>6193</v>
      </c>
      <c r="C346" s="261" t="s">
        <v>6205</v>
      </c>
      <c r="D346" s="264" t="s">
        <v>6206</v>
      </c>
      <c r="E346" s="265" t="s">
        <v>5539</v>
      </c>
      <c r="F346" s="268" t="s">
        <v>6200</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6061</v>
      </c>
      <c r="B347" s="260" t="s">
        <v>6193</v>
      </c>
      <c r="C347" s="261" t="s">
        <v>6207</v>
      </c>
      <c r="D347" s="264" t="s">
        <v>6208</v>
      </c>
      <c r="E347" s="265" t="s">
        <v>5539</v>
      </c>
      <c r="F347" s="268" t="s">
        <v>6200</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6061</v>
      </c>
      <c r="B348" s="260" t="s">
        <v>6193</v>
      </c>
      <c r="C348" s="261" t="s">
        <v>6209</v>
      </c>
      <c r="D348" s="264" t="s">
        <v>6210</v>
      </c>
      <c r="E348" s="265" t="s">
        <v>5539</v>
      </c>
      <c r="F348" s="268" t="s">
        <v>6200</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6061</v>
      </c>
      <c r="B349" s="260" t="s">
        <v>6193</v>
      </c>
      <c r="C349" s="261" t="s">
        <v>6211</v>
      </c>
      <c r="D349" s="264" t="s">
        <v>6212</v>
      </c>
      <c r="E349" s="265" t="s">
        <v>5539</v>
      </c>
      <c r="F349" s="268" t="s">
        <v>6200</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6061</v>
      </c>
      <c r="B350" s="260" t="s">
        <v>6193</v>
      </c>
      <c r="C350" s="261" t="s">
        <v>6213</v>
      </c>
      <c r="D350" s="264" t="s">
        <v>6214</v>
      </c>
      <c r="E350" s="265" t="s">
        <v>5510</v>
      </c>
      <c r="F350" s="268" t="s">
        <v>6200</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6061</v>
      </c>
      <c r="B351" s="260" t="s">
        <v>6193</v>
      </c>
      <c r="C351" s="261" t="s">
        <v>6215</v>
      </c>
      <c r="D351" s="264" t="s">
        <v>6216</v>
      </c>
      <c r="E351" s="265" t="s">
        <v>5510</v>
      </c>
      <c r="F351" s="268" t="s">
        <v>6200</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6061</v>
      </c>
      <c r="B352" s="260" t="s">
        <v>6193</v>
      </c>
      <c r="C352" s="261" t="s">
        <v>6217</v>
      </c>
      <c r="D352" s="264" t="s">
        <v>6218</v>
      </c>
      <c r="E352" s="265" t="s">
        <v>5510</v>
      </c>
      <c r="F352" s="268" t="s">
        <v>6200</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6061</v>
      </c>
      <c r="B353" s="260" t="s">
        <v>6193</v>
      </c>
      <c r="C353" s="261" t="s">
        <v>6219</v>
      </c>
      <c r="D353" s="264" t="s">
        <v>6220</v>
      </c>
      <c r="E353" s="265" t="s">
        <v>5606</v>
      </c>
      <c r="F353" s="268" t="s">
        <v>6080</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6061</v>
      </c>
      <c r="B354" s="259" t="s">
        <v>6221</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6061</v>
      </c>
      <c r="B355" s="260" t="s">
        <v>6221</v>
      </c>
      <c r="C355" s="261" t="s">
        <v>6222</v>
      </c>
      <c r="D355" s="264" t="s">
        <v>6223</v>
      </c>
      <c r="E355" s="265" t="s">
        <v>5606</v>
      </c>
      <c r="F355" s="268" t="s">
        <v>6224</v>
      </c>
      <c r="G355" s="271">
        <f>IF(COUNTIF(H355:AU355,"&lt;&gt;")=0,"",SUMPRODUCT(((Recommendations[ImplStatus]="Implemented")+(Recommendations[ImplStatus]="Compensated"))*ISNUMBER(MATCH(Recommendations[Id],H355:AU355,0)))/COUNTIF(H355:AU355,"&lt;&gt;"))</f>
        <v>0</v>
      </c>
      <c r="H355" s="272" t="s">
        <v>25</v>
      </c>
      <c r="I355" s="272" t="s">
        <v>30</v>
      </c>
      <c r="J355" s="272" t="s">
        <v>35</v>
      </c>
      <c r="K355" s="272" t="s">
        <v>40</v>
      </c>
      <c r="L355" s="272" t="s">
        <v>60</v>
      </c>
      <c r="M355" s="272" t="s">
        <v>65</v>
      </c>
      <c r="N355" s="272" t="s">
        <v>70</v>
      </c>
      <c r="O355" s="272" t="s">
        <v>75</v>
      </c>
      <c r="P355" s="272" t="s">
        <v>88</v>
      </c>
      <c r="Q355" s="272" t="s">
        <v>140</v>
      </c>
      <c r="R355" s="272" t="s">
        <v>145</v>
      </c>
      <c r="S355" s="272" t="s">
        <v>185</v>
      </c>
      <c r="T355" s="272" t="s">
        <v>190</v>
      </c>
      <c r="U355" s="272" t="s">
        <v>194</v>
      </c>
      <c r="V355" s="272" t="s">
        <v>213</v>
      </c>
      <c r="W355" s="272" t="s">
        <v>391</v>
      </c>
      <c r="X355" s="272" t="s">
        <v>396</v>
      </c>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6061</v>
      </c>
      <c r="B356" s="260" t="s">
        <v>6221</v>
      </c>
      <c r="C356" s="261" t="s">
        <v>6225</v>
      </c>
      <c r="D356" s="264" t="s">
        <v>6226</v>
      </c>
      <c r="E356" s="265" t="s">
        <v>5606</v>
      </c>
      <c r="F356" s="268" t="s">
        <v>6224</v>
      </c>
      <c r="G356" s="271">
        <f>IF(COUNTIF(H356:AU356,"&lt;&gt;")=0,"",SUMPRODUCT(((Recommendations[ImplStatus]="Implemented")+(Recommendations[ImplStatus]="Compensated"))*ISNUMBER(MATCH(Recommendations[Id],H356:AU356,0)))/COUNTIF(H356:AU356,"&lt;&gt;"))</f>
        <v>0</v>
      </c>
      <c r="H356" s="272" t="s">
        <v>75</v>
      </c>
      <c r="I356" s="272" t="s">
        <v>145</v>
      </c>
      <c r="J356" s="272" t="s">
        <v>396</v>
      </c>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6061</v>
      </c>
      <c r="B357" s="260" t="s">
        <v>6221</v>
      </c>
      <c r="C357" s="261" t="s">
        <v>6227</v>
      </c>
      <c r="D357" s="264" t="s">
        <v>6228</v>
      </c>
      <c r="E357" s="265" t="s">
        <v>5654</v>
      </c>
      <c r="F357" s="268" t="s">
        <v>6224</v>
      </c>
      <c r="G357" s="271">
        <f>IF(COUNTIF(H357:AU357,"&lt;&gt;")=0,"",SUMPRODUCT(((Recommendations[ImplStatus]="Implemented")+(Recommendations[ImplStatus]="Compensated"))*ISNUMBER(MATCH(Recommendations[Id],H357:AU357,0)))/COUNTIF(H357:AU357,"&lt;&gt;"))</f>
        <v>0</v>
      </c>
      <c r="H357" s="272" t="s">
        <v>213</v>
      </c>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6061</v>
      </c>
      <c r="B358" s="260" t="s">
        <v>6221</v>
      </c>
      <c r="C358" s="261" t="s">
        <v>6229</v>
      </c>
      <c r="D358" s="264" t="s">
        <v>6230</v>
      </c>
      <c r="E358" s="265" t="s">
        <v>5654</v>
      </c>
      <c r="F358" s="268" t="s">
        <v>6224</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6061</v>
      </c>
      <c r="B359" s="260" t="s">
        <v>6221</v>
      </c>
      <c r="C359" s="261" t="s">
        <v>6231</v>
      </c>
      <c r="D359" s="264" t="s">
        <v>6232</v>
      </c>
      <c r="E359" s="265" t="s">
        <v>5654</v>
      </c>
      <c r="F359" s="268" t="s">
        <v>6224</v>
      </c>
      <c r="G359" s="271">
        <f>IF(COUNTIF(H359:AU359,"&lt;&gt;")=0,"",SUMPRODUCT(((Recommendations[ImplStatus]="Implemented")+(Recommendations[ImplStatus]="Compensated"))*ISNUMBER(MATCH(Recommendations[Id],H359:AU359,0)))/COUNTIF(H359:AU359,"&lt;&gt;"))</f>
        <v>0</v>
      </c>
      <c r="H359" s="272" t="s">
        <v>65</v>
      </c>
      <c r="I359" s="272" t="s">
        <v>155</v>
      </c>
      <c r="J359" s="272" t="s">
        <v>170</v>
      </c>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6061</v>
      </c>
      <c r="B360" s="260" t="s">
        <v>6221</v>
      </c>
      <c r="C360" s="261" t="s">
        <v>6233</v>
      </c>
      <c r="D360" s="264" t="s">
        <v>6234</v>
      </c>
      <c r="E360" s="265" t="s">
        <v>5606</v>
      </c>
      <c r="F360" s="268" t="s">
        <v>6224</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6061</v>
      </c>
      <c r="B361" s="260" t="s">
        <v>6221</v>
      </c>
      <c r="C361" s="261" t="s">
        <v>6235</v>
      </c>
      <c r="D361" s="264" t="s">
        <v>6236</v>
      </c>
      <c r="E361" s="265" t="s">
        <v>5539</v>
      </c>
      <c r="F361" s="268" t="s">
        <v>6224</v>
      </c>
      <c r="G361" s="271">
        <f>IF(COUNTIF(H361:AU361,"&lt;&gt;")=0,"",SUMPRODUCT(((Recommendations[ImplStatus]="Implemented")+(Recommendations[ImplStatus]="Compensated"))*ISNUMBER(MATCH(Recommendations[Id],H361:AU361,0)))/COUNTIF(H361:AU361,"&lt;&gt;"))</f>
        <v>0</v>
      </c>
      <c r="H361" s="272" t="s">
        <v>150</v>
      </c>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6061</v>
      </c>
      <c r="B362" s="260" t="s">
        <v>6221</v>
      </c>
      <c r="C362" s="261" t="s">
        <v>6237</v>
      </c>
      <c r="D362" s="264" t="s">
        <v>6238</v>
      </c>
      <c r="E362" s="265" t="s">
        <v>5654</v>
      </c>
      <c r="F362" s="268" t="s">
        <v>6224</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6061</v>
      </c>
      <c r="B363" s="260" t="s">
        <v>6221</v>
      </c>
      <c r="C363" s="261" t="s">
        <v>6239</v>
      </c>
      <c r="D363" s="264" t="s">
        <v>6240</v>
      </c>
      <c r="E363" s="265" t="s">
        <v>5654</v>
      </c>
      <c r="F363" s="268" t="s">
        <v>6224</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6061</v>
      </c>
      <c r="B364" s="260" t="s">
        <v>6221</v>
      </c>
      <c r="C364" s="261" t="s">
        <v>6241</v>
      </c>
      <c r="D364" s="264" t="s">
        <v>6242</v>
      </c>
      <c r="E364" s="265" t="s">
        <v>5654</v>
      </c>
      <c r="F364" s="268" t="s">
        <v>6224</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6061</v>
      </c>
      <c r="B365" s="260" t="s">
        <v>6221</v>
      </c>
      <c r="C365" s="261" t="s">
        <v>6243</v>
      </c>
      <c r="D365" s="264" t="s">
        <v>6244</v>
      </c>
      <c r="E365" s="265" t="s">
        <v>5654</v>
      </c>
      <c r="F365" s="268" t="s">
        <v>6224</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6061</v>
      </c>
      <c r="B366" s="260" t="s">
        <v>6221</v>
      </c>
      <c r="C366" s="261" t="s">
        <v>6245</v>
      </c>
      <c r="D366" s="264" t="s">
        <v>6246</v>
      </c>
      <c r="E366" s="265" t="s">
        <v>5654</v>
      </c>
      <c r="F366" s="268" t="s">
        <v>6224</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6061</v>
      </c>
      <c r="B367" s="260" t="s">
        <v>6221</v>
      </c>
      <c r="C367" s="261" t="s">
        <v>6247</v>
      </c>
      <c r="D367" s="264" t="s">
        <v>6248</v>
      </c>
      <c r="E367" s="265" t="s">
        <v>5654</v>
      </c>
      <c r="F367" s="268" t="s">
        <v>6224</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6061</v>
      </c>
      <c r="B368" s="260" t="s">
        <v>6221</v>
      </c>
      <c r="C368" s="261" t="s">
        <v>6249</v>
      </c>
      <c r="D368" s="264" t="s">
        <v>6250</v>
      </c>
      <c r="E368" s="265" t="s">
        <v>5654</v>
      </c>
      <c r="F368" s="268" t="s">
        <v>6224</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6061</v>
      </c>
      <c r="B369" s="260" t="s">
        <v>6221</v>
      </c>
      <c r="C369" s="261" t="s">
        <v>6251</v>
      </c>
      <c r="D369" s="264" t="s">
        <v>6252</v>
      </c>
      <c r="E369" s="265" t="s">
        <v>5654</v>
      </c>
      <c r="F369" s="268" t="s">
        <v>6224</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6253</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6253</v>
      </c>
      <c r="B371" s="259" t="s">
        <v>6254</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6253</v>
      </c>
      <c r="B372" s="260" t="s">
        <v>6254</v>
      </c>
      <c r="C372" s="261" t="s">
        <v>6255</v>
      </c>
      <c r="D372" s="264" t="s">
        <v>6256</v>
      </c>
      <c r="E372" s="265" t="s">
        <v>5510</v>
      </c>
      <c r="F372" s="268" t="s">
        <v>6257</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6253</v>
      </c>
      <c r="B373" s="260" t="s">
        <v>6254</v>
      </c>
      <c r="C373" s="261" t="s">
        <v>6258</v>
      </c>
      <c r="D373" s="264" t="s">
        <v>6259</v>
      </c>
      <c r="E373" s="265" t="s">
        <v>5510</v>
      </c>
      <c r="F373" s="268" t="s">
        <v>6260</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6253</v>
      </c>
      <c r="B374" s="260" t="s">
        <v>6254</v>
      </c>
      <c r="C374" s="261" t="s">
        <v>6261</v>
      </c>
      <c r="D374" s="264" t="s">
        <v>6262</v>
      </c>
      <c r="E374" s="265" t="s">
        <v>5539</v>
      </c>
      <c r="F374" s="268" t="s">
        <v>6260</v>
      </c>
      <c r="G374" s="271">
        <f>IF(COUNTIF(H374:AU374,"&lt;&gt;")=0,"",SUMPRODUCT(((Recommendations[ImplStatus]="Implemented")+(Recommendations[ImplStatus]="Compensated"))*ISNUMBER(MATCH(Recommendations[Id],H374:AU374,0)))/COUNTIF(H374:AU374,"&lt;&gt;"))</f>
        <v>0</v>
      </c>
      <c r="H374" s="272" t="s">
        <v>351</v>
      </c>
      <c r="I374" s="272" t="s">
        <v>449</v>
      </c>
      <c r="J374" s="272" t="s">
        <v>454</v>
      </c>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6253</v>
      </c>
      <c r="B375" s="260" t="s">
        <v>6254</v>
      </c>
      <c r="C375" s="261" t="s">
        <v>6263</v>
      </c>
      <c r="D375" s="264" t="s">
        <v>6264</v>
      </c>
      <c r="E375" s="265" t="s">
        <v>5539</v>
      </c>
      <c r="F375" s="268" t="s">
        <v>6260</v>
      </c>
      <c r="G375" s="271">
        <f>IF(COUNTIF(H375:AU375,"&lt;&gt;")=0,"",SUMPRODUCT(((Recommendations[ImplStatus]="Implemented")+(Recommendations[ImplStatus]="Compensated"))*ISNUMBER(MATCH(Recommendations[Id],H375:AU375,0)))/COUNTIF(H375:AU375,"&lt;&gt;"))</f>
        <v>0</v>
      </c>
      <c r="H375" s="272" t="s">
        <v>198</v>
      </c>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6253</v>
      </c>
      <c r="B376" s="260" t="s">
        <v>6254</v>
      </c>
      <c r="C376" s="261" t="s">
        <v>6265</v>
      </c>
      <c r="D376" s="264" t="s">
        <v>6266</v>
      </c>
      <c r="E376" s="265" t="s">
        <v>5539</v>
      </c>
      <c r="F376" s="268" t="s">
        <v>6122</v>
      </c>
      <c r="G376" s="271">
        <f>IF(COUNTIF(H376:AU376,"&lt;&gt;")=0,"",SUMPRODUCT(((Recommendations[ImplStatus]="Implemented")+(Recommendations[ImplStatus]="Compensated"))*ISNUMBER(MATCH(Recommendations[Id],H376:AU376,0)))/COUNTIF(H376:AU376,"&lt;&gt;"))</f>
        <v>0</v>
      </c>
      <c r="H376" s="272" t="s">
        <v>155</v>
      </c>
      <c r="I376" s="272" t="s">
        <v>170</v>
      </c>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6253</v>
      </c>
      <c r="B377" s="260" t="s">
        <v>6254</v>
      </c>
      <c r="C377" s="261" t="s">
        <v>6267</v>
      </c>
      <c r="D377" s="264" t="s">
        <v>6268</v>
      </c>
      <c r="E377" s="265" t="s">
        <v>5606</v>
      </c>
      <c r="F377" s="268" t="s">
        <v>6080</v>
      </c>
      <c r="G377" s="271">
        <f>IF(COUNTIF(H377:AU377,"&lt;&gt;")=0,"",SUMPRODUCT(((Recommendations[ImplStatus]="Implemented")+(Recommendations[ImplStatus]="Compensated"))*ISNUMBER(MATCH(Recommendations[Id],H377:AU377,0)))/COUNTIF(H377:AU377,"&lt;&gt;"))</f>
        <v>0</v>
      </c>
      <c r="H377" s="272" t="s">
        <v>569</v>
      </c>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6253</v>
      </c>
      <c r="B378" s="260" t="s">
        <v>6254</v>
      </c>
      <c r="C378" s="261" t="s">
        <v>6269</v>
      </c>
      <c r="D378" s="264" t="s">
        <v>6270</v>
      </c>
      <c r="E378" s="265" t="s">
        <v>5606</v>
      </c>
      <c r="F378" s="268" t="s">
        <v>6260</v>
      </c>
      <c r="G378" s="271">
        <f>IF(COUNTIF(H378:AU378,"&lt;&gt;")=0,"",SUMPRODUCT(((Recommendations[ImplStatus]="Implemented")+(Recommendations[ImplStatus]="Compensated"))*ISNUMBER(MATCH(Recommendations[Id],H378:AU378,0)))/COUNTIF(H378:AU378,"&lt;&gt;"))</f>
        <v>0</v>
      </c>
      <c r="H378" s="272" t="s">
        <v>315</v>
      </c>
      <c r="I378" s="272" t="s">
        <v>464</v>
      </c>
      <c r="J378" s="272" t="s">
        <v>469</v>
      </c>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6253</v>
      </c>
      <c r="B379" s="260" t="s">
        <v>6254</v>
      </c>
      <c r="C379" s="261" t="s">
        <v>6271</v>
      </c>
      <c r="D379" s="264" t="s">
        <v>6272</v>
      </c>
      <c r="E379" s="265" t="s">
        <v>5606</v>
      </c>
      <c r="F379" s="268" t="s">
        <v>6257</v>
      </c>
      <c r="G379" s="271">
        <f>IF(COUNTIF(H379:AU379,"&lt;&gt;")=0,"",SUMPRODUCT(((Recommendations[ImplStatus]="Implemented")+(Recommendations[ImplStatus]="Compensated"))*ISNUMBER(MATCH(Recommendations[Id],H379:AU379,0)))/COUNTIF(H379:AU379,"&lt;&gt;"))</f>
        <v>0</v>
      </c>
      <c r="H379" s="272" t="s">
        <v>135</v>
      </c>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6253</v>
      </c>
      <c r="B380" s="260" t="s">
        <v>6254</v>
      </c>
      <c r="C380" s="261" t="s">
        <v>6273</v>
      </c>
      <c r="D380" s="264" t="s">
        <v>6274</v>
      </c>
      <c r="E380" s="265" t="s">
        <v>5606</v>
      </c>
      <c r="F380" s="268" t="s">
        <v>6257</v>
      </c>
      <c r="G380" s="271">
        <f>IF(COUNTIF(H380:AU380,"&lt;&gt;")=0,"",SUMPRODUCT(((Recommendations[ImplStatus]="Implemented")+(Recommendations[ImplStatus]="Compensated"))*ISNUMBER(MATCH(Recommendations[Id],H380:AU380,0)))/COUNTIF(H380:AU380,"&lt;&gt;"))</f>
        <v>0</v>
      </c>
      <c r="H380" s="272" t="s">
        <v>55</v>
      </c>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6253</v>
      </c>
      <c r="B381" s="260" t="s">
        <v>6254</v>
      </c>
      <c r="C381" s="261" t="s">
        <v>6275</v>
      </c>
      <c r="D381" s="264" t="s">
        <v>6276</v>
      </c>
      <c r="E381" s="265" t="s">
        <v>5606</v>
      </c>
      <c r="F381" s="268" t="s">
        <v>6257</v>
      </c>
      <c r="G381" s="271">
        <f>IF(COUNTIF(H381:AU381,"&lt;&gt;")=0,"",SUMPRODUCT(((Recommendations[ImplStatus]="Implemented")+(Recommendations[ImplStatus]="Compensated"))*ISNUMBER(MATCH(Recommendations[Id],H381:AU381,0)))/COUNTIF(H381:AU381,"&lt;&gt;"))</f>
        <v>0</v>
      </c>
      <c r="H381" s="272" t="s">
        <v>14</v>
      </c>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6253</v>
      </c>
      <c r="B382" s="260" t="s">
        <v>6254</v>
      </c>
      <c r="C382" s="261" t="s">
        <v>6277</v>
      </c>
      <c r="D382" s="264" t="s">
        <v>6278</v>
      </c>
      <c r="E382" s="265" t="s">
        <v>5654</v>
      </c>
      <c r="F382" s="268" t="s">
        <v>6257</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6253</v>
      </c>
      <c r="B383" s="260" t="s">
        <v>6254</v>
      </c>
      <c r="C383" s="261" t="s">
        <v>6279</v>
      </c>
      <c r="D383" s="264" t="s">
        <v>6280</v>
      </c>
      <c r="E383" s="265" t="s">
        <v>5654</v>
      </c>
      <c r="F383" s="268" t="s">
        <v>6257</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6253</v>
      </c>
      <c r="B384" s="260" t="s">
        <v>6254</v>
      </c>
      <c r="C384" s="261" t="s">
        <v>6281</v>
      </c>
      <c r="D384" s="264" t="s">
        <v>6282</v>
      </c>
      <c r="E384" s="265" t="s">
        <v>5654</v>
      </c>
      <c r="F384" s="268" t="s">
        <v>6257</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6253</v>
      </c>
      <c r="B385" s="260" t="s">
        <v>6254</v>
      </c>
      <c r="C385" s="261" t="s">
        <v>6283</v>
      </c>
      <c r="D385" s="264" t="s">
        <v>6284</v>
      </c>
      <c r="E385" s="265" t="s">
        <v>5606</v>
      </c>
      <c r="F385" s="268" t="s">
        <v>6257</v>
      </c>
      <c r="G385" s="271">
        <f>IF(COUNTIF(H385:AU385,"&lt;&gt;")=0,"",SUMPRODUCT(((Recommendations[ImplStatus]="Implemented")+(Recommendations[ImplStatus]="Compensated"))*ISNUMBER(MATCH(Recommendations[Id],H385:AU385,0)))/COUNTIF(H385:AU385,"&lt;&gt;"))</f>
        <v>0</v>
      </c>
      <c r="H385" s="272" t="s">
        <v>315</v>
      </c>
      <c r="I385" s="272" t="s">
        <v>464</v>
      </c>
      <c r="J385" s="272" t="s">
        <v>469</v>
      </c>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6253</v>
      </c>
      <c r="B386" s="259" t="s">
        <v>6285</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6253</v>
      </c>
      <c r="B387" s="260" t="s">
        <v>6285</v>
      </c>
      <c r="C387" s="261" t="s">
        <v>6286</v>
      </c>
      <c r="D387" s="264" t="s">
        <v>6287</v>
      </c>
      <c r="E387" s="265" t="s">
        <v>5510</v>
      </c>
      <c r="F387" s="268" t="s">
        <v>6288</v>
      </c>
      <c r="G387" s="271">
        <f>IF(COUNTIF(H387:AU387,"&lt;&gt;")=0,"",SUMPRODUCT(((Recommendations[ImplStatus]="Implemented")+(Recommendations[ImplStatus]="Compensated"))*ISNUMBER(MATCH(Recommendations[Id],H387:AU387,0)))/COUNTIF(H387:AU387,"&lt;&gt;"))</f>
        <v>0</v>
      </c>
      <c r="H387" s="272" t="s">
        <v>45</v>
      </c>
      <c r="I387" s="272" t="s">
        <v>335</v>
      </c>
      <c r="J387" s="272" t="s">
        <v>346</v>
      </c>
      <c r="K387" s="272" t="s">
        <v>405</v>
      </c>
      <c r="L387" s="272" t="s">
        <v>410</v>
      </c>
      <c r="M387" s="272" t="s">
        <v>415</v>
      </c>
      <c r="N387" s="272" t="s">
        <v>420</v>
      </c>
      <c r="O387" s="272" t="s">
        <v>430</v>
      </c>
      <c r="P387" s="272" t="s">
        <v>435</v>
      </c>
      <c r="Q387" s="272" t="s">
        <v>440</v>
      </c>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6253</v>
      </c>
      <c r="B388" s="260" t="s">
        <v>6285</v>
      </c>
      <c r="C388" s="261" t="s">
        <v>6289</v>
      </c>
      <c r="D388" s="264" t="s">
        <v>6290</v>
      </c>
      <c r="E388" s="265" t="s">
        <v>5510</v>
      </c>
      <c r="F388" s="268" t="s">
        <v>6288</v>
      </c>
      <c r="G388" s="271">
        <f>IF(COUNTIF(H388:AU388,"&lt;&gt;")=0,"",SUMPRODUCT(((Recommendations[ImplStatus]="Implemented")+(Recommendations[ImplStatus]="Compensated"))*ISNUMBER(MATCH(Recommendations[Id],H388:AU388,0)))/COUNTIF(H388:AU388,"&lt;&gt;"))</f>
        <v>0</v>
      </c>
      <c r="H388" s="272" t="s">
        <v>405</v>
      </c>
      <c r="I388" s="272" t="s">
        <v>415</v>
      </c>
      <c r="J388" s="272" t="s">
        <v>420</v>
      </c>
      <c r="K388" s="272" t="s">
        <v>430</v>
      </c>
      <c r="L388" s="272" t="s">
        <v>435</v>
      </c>
      <c r="M388" s="272" t="s">
        <v>440</v>
      </c>
      <c r="N388" s="272" t="s">
        <v>716</v>
      </c>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6253</v>
      </c>
      <c r="B389" s="260" t="s">
        <v>6285</v>
      </c>
      <c r="C389" s="261" t="s">
        <v>6291</v>
      </c>
      <c r="D389" s="264" t="s">
        <v>6292</v>
      </c>
      <c r="E389" s="265" t="s">
        <v>5789</v>
      </c>
      <c r="F389" s="268" t="s">
        <v>6288</v>
      </c>
      <c r="G389" s="271">
        <f>IF(COUNTIF(H389:AU389,"&lt;&gt;")=0,"",SUMPRODUCT(((Recommendations[ImplStatus]="Implemented")+(Recommendations[ImplStatus]="Compensated"))*ISNUMBER(MATCH(Recommendations[Id],H389:AU389,0)))/COUNTIF(H389:AU389,"&lt;&gt;"))</f>
        <v>0</v>
      </c>
      <c r="H389" s="272" t="s">
        <v>361</v>
      </c>
      <c r="I389" s="272" t="s">
        <v>366</v>
      </c>
      <c r="J389" s="272" t="s">
        <v>371</v>
      </c>
      <c r="K389" s="272" t="s">
        <v>376</v>
      </c>
      <c r="L389" s="272" t="s">
        <v>381</v>
      </c>
      <c r="M389" s="272" t="s">
        <v>444</v>
      </c>
      <c r="N389" s="272" t="s">
        <v>459</v>
      </c>
      <c r="O389" s="272" t="s">
        <v>614</v>
      </c>
      <c r="P389" s="272" t="s">
        <v>721</v>
      </c>
      <c r="Q389" s="272" t="s">
        <v>726</v>
      </c>
      <c r="R389" s="272" t="s">
        <v>731</v>
      </c>
      <c r="S389" s="272" t="s">
        <v>736</v>
      </c>
      <c r="T389" s="272" t="s">
        <v>741</v>
      </c>
      <c r="U389" s="272" t="s">
        <v>746</v>
      </c>
      <c r="V389" s="272" t="s">
        <v>751</v>
      </c>
      <c r="W389" s="272" t="s">
        <v>756</v>
      </c>
      <c r="X389" s="272" t="s">
        <v>761</v>
      </c>
      <c r="Y389" s="272" t="s">
        <v>765</v>
      </c>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6253</v>
      </c>
      <c r="B390" s="260" t="s">
        <v>6285</v>
      </c>
      <c r="C390" s="261" t="s">
        <v>6293</v>
      </c>
      <c r="D390" s="264" t="s">
        <v>6294</v>
      </c>
      <c r="E390" s="265" t="s">
        <v>5606</v>
      </c>
      <c r="F390" s="268" t="s">
        <v>6288</v>
      </c>
      <c r="G390" s="271">
        <f>IF(COUNTIF(H390:AU390,"&lt;&gt;")=0,"",SUMPRODUCT(((Recommendations[ImplStatus]="Implemented")+(Recommendations[ImplStatus]="Compensated"))*ISNUMBER(MATCH(Recommendations[Id],H390:AU390,0)))/COUNTIF(H390:AU390,"&lt;&gt;"))</f>
        <v>0</v>
      </c>
      <c r="H390" s="272" t="s">
        <v>425</v>
      </c>
      <c r="I390" s="272" t="s">
        <v>609</v>
      </c>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6253</v>
      </c>
      <c r="B391" s="260" t="s">
        <v>6285</v>
      </c>
      <c r="C391" s="261" t="s">
        <v>6295</v>
      </c>
      <c r="D391" s="264" t="s">
        <v>6296</v>
      </c>
      <c r="E391" s="265" t="s">
        <v>5789</v>
      </c>
      <c r="F391" s="268" t="s">
        <v>6288</v>
      </c>
      <c r="G391" s="271">
        <f>IF(COUNTIF(H391:AU391,"&lt;&gt;")=0,"",SUMPRODUCT(((Recommendations[ImplStatus]="Implemented")+(Recommendations[ImplStatus]="Compensated"))*ISNUMBER(MATCH(Recommendations[Id],H391:AU391,0)))/COUNTIF(H391:AU391,"&lt;&gt;"))</f>
        <v>0</v>
      </c>
      <c r="H391" s="272" t="s">
        <v>341</v>
      </c>
      <c r="I391" s="272" t="s">
        <v>479</v>
      </c>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6253</v>
      </c>
      <c r="B392" s="260" t="s">
        <v>6285</v>
      </c>
      <c r="C392" s="261" t="s">
        <v>6297</v>
      </c>
      <c r="D392" s="264" t="s">
        <v>6298</v>
      </c>
      <c r="E392" s="265" t="s">
        <v>5539</v>
      </c>
      <c r="F392" s="268" t="s">
        <v>6288</v>
      </c>
      <c r="G392" s="271">
        <f>IF(COUNTIF(H392:AU392,"&lt;&gt;")=0,"",SUMPRODUCT(((Recommendations[ImplStatus]="Implemented")+(Recommendations[ImplStatus]="Compensated"))*ISNUMBER(MATCH(Recommendations[Id],H392:AU392,0)))/COUNTIF(H392:AU392,"&lt;&gt;"))</f>
        <v>0</v>
      </c>
      <c r="H392" s="272" t="s">
        <v>239</v>
      </c>
      <c r="I392" s="272" t="s">
        <v>245</v>
      </c>
      <c r="J392" s="272" t="s">
        <v>250</v>
      </c>
      <c r="K392" s="272" t="s">
        <v>260</v>
      </c>
      <c r="L392" s="272" t="s">
        <v>265</v>
      </c>
      <c r="M392" s="272" t="s">
        <v>270</v>
      </c>
      <c r="N392" s="272" t="s">
        <v>290</v>
      </c>
      <c r="O392" s="272" t="s">
        <v>295</v>
      </c>
      <c r="P392" s="272" t="s">
        <v>320</v>
      </c>
      <c r="Q392" s="272" t="s">
        <v>325</v>
      </c>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6253</v>
      </c>
      <c r="B393" s="260" t="s">
        <v>6285</v>
      </c>
      <c r="C393" s="261" t="s">
        <v>6299</v>
      </c>
      <c r="D393" s="264" t="s">
        <v>6300</v>
      </c>
      <c r="E393" s="265" t="s">
        <v>5539</v>
      </c>
      <c r="F393" s="268" t="s">
        <v>6288</v>
      </c>
      <c r="G393" s="271">
        <f>IF(COUNTIF(H393:AU393,"&lt;&gt;")=0,"",SUMPRODUCT(((Recommendations[ImplStatus]="Implemented")+(Recommendations[ImplStatus]="Compensated"))*ISNUMBER(MATCH(Recommendations[Id],H393:AU393,0)))/COUNTIF(H393:AU393,"&lt;&gt;"))</f>
        <v>0</v>
      </c>
      <c r="H393" s="272" t="s">
        <v>474</v>
      </c>
      <c r="I393" s="272" t="s">
        <v>484</v>
      </c>
      <c r="J393" s="272" t="s">
        <v>489</v>
      </c>
      <c r="K393" s="272" t="s">
        <v>494</v>
      </c>
      <c r="L393" s="272" t="s">
        <v>499</v>
      </c>
      <c r="M393" s="272" t="s">
        <v>504</v>
      </c>
      <c r="N393" s="272" t="s">
        <v>509</v>
      </c>
      <c r="O393" s="272" t="s">
        <v>514</v>
      </c>
      <c r="P393" s="272" t="s">
        <v>524</v>
      </c>
      <c r="Q393" s="272" t="s">
        <v>529</v>
      </c>
      <c r="R393" s="272" t="s">
        <v>534</v>
      </c>
      <c r="S393" s="272" t="s">
        <v>539</v>
      </c>
      <c r="T393" s="272" t="s">
        <v>544</v>
      </c>
      <c r="U393" s="272" t="s">
        <v>549</v>
      </c>
      <c r="V393" s="272" t="s">
        <v>554</v>
      </c>
      <c r="W393" s="272" t="s">
        <v>559</v>
      </c>
      <c r="X393" s="272" t="s">
        <v>564</v>
      </c>
      <c r="Y393" s="272" t="s">
        <v>574</v>
      </c>
      <c r="Z393" s="272" t="s">
        <v>584</v>
      </c>
      <c r="AA393" s="272" t="s">
        <v>594</v>
      </c>
      <c r="AB393" s="272" t="s">
        <v>599</v>
      </c>
      <c r="AC393" s="272" t="s">
        <v>604</v>
      </c>
      <c r="AD393" s="272" t="s">
        <v>619</v>
      </c>
      <c r="AE393" s="272" t="s">
        <v>632</v>
      </c>
      <c r="AF393" s="272" t="s">
        <v>637</v>
      </c>
      <c r="AG393" s="272" t="s">
        <v>642</v>
      </c>
      <c r="AH393" s="272" t="s">
        <v>647</v>
      </c>
      <c r="AI393" s="272" t="s">
        <v>652</v>
      </c>
      <c r="AJ393" s="272" t="s">
        <v>657</v>
      </c>
      <c r="AK393" s="272" t="s">
        <v>667</v>
      </c>
      <c r="AL393" s="272" t="s">
        <v>672</v>
      </c>
      <c r="AM393" s="272" t="s">
        <v>676</v>
      </c>
      <c r="AN393" s="272" t="s">
        <v>681</v>
      </c>
      <c r="AO393" s="272" t="s">
        <v>686</v>
      </c>
      <c r="AP393" s="272" t="s">
        <v>691</v>
      </c>
      <c r="AQ393" s="272" t="s">
        <v>696</v>
      </c>
      <c r="AR393" s="272" t="s">
        <v>701</v>
      </c>
      <c r="AS393" s="272" t="s">
        <v>706</v>
      </c>
      <c r="AT393" s="272" t="s">
        <v>711</v>
      </c>
      <c r="AU393" s="286"/>
    </row>
    <row r="394" spans="1:47" ht="60" customHeight="1" x14ac:dyDescent="0.35">
      <c r="A394" s="282" t="s">
        <v>6253</v>
      </c>
      <c r="B394" s="260" t="s">
        <v>6285</v>
      </c>
      <c r="C394" s="261" t="s">
        <v>6301</v>
      </c>
      <c r="D394" s="264" t="s">
        <v>6302</v>
      </c>
      <c r="E394" s="265" t="s">
        <v>5789</v>
      </c>
      <c r="F394" s="268" t="s">
        <v>6288</v>
      </c>
      <c r="G394" s="271">
        <f>IF(COUNTIF(H394:AU394,"&lt;&gt;")=0,"",SUMPRODUCT(((Recommendations[ImplStatus]="Implemented")+(Recommendations[ImplStatus]="Compensated"))*ISNUMBER(MATCH(Recommendations[Id],H394:AU394,0)))/COUNTIF(H394:AU394,"&lt;&gt;"))</f>
        <v>0</v>
      </c>
      <c r="H394" s="272" t="s">
        <v>484</v>
      </c>
      <c r="I394" s="272" t="s">
        <v>489</v>
      </c>
      <c r="J394" s="272" t="s">
        <v>494</v>
      </c>
      <c r="K394" s="272" t="s">
        <v>499</v>
      </c>
      <c r="L394" s="272" t="s">
        <v>504</v>
      </c>
      <c r="M394" s="272" t="s">
        <v>509</v>
      </c>
      <c r="N394" s="272" t="s">
        <v>514</v>
      </c>
      <c r="O394" s="272" t="s">
        <v>524</v>
      </c>
      <c r="P394" s="272" t="s">
        <v>529</v>
      </c>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6253</v>
      </c>
      <c r="B395" s="260" t="s">
        <v>6285</v>
      </c>
      <c r="C395" s="261" t="s">
        <v>6303</v>
      </c>
      <c r="D395" s="264" t="s">
        <v>6304</v>
      </c>
      <c r="E395" s="265" t="s">
        <v>5606</v>
      </c>
      <c r="F395" s="268" t="s">
        <v>6288</v>
      </c>
      <c r="G395" s="271">
        <f>IF(COUNTIF(H395:AU395,"&lt;&gt;")=0,"",SUMPRODUCT(((Recommendations[ImplStatus]="Implemented")+(Recommendations[ImplStatus]="Compensated"))*ISNUMBER(MATCH(Recommendations[Id],H395:AU395,0)))/COUNTIF(H395:AU395,"&lt;&gt;"))</f>
        <v>0</v>
      </c>
      <c r="H395" s="272" t="s">
        <v>223</v>
      </c>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6253</v>
      </c>
      <c r="B396" s="260" t="s">
        <v>6285</v>
      </c>
      <c r="C396" s="261" t="s">
        <v>6305</v>
      </c>
      <c r="D396" s="264" t="s">
        <v>6306</v>
      </c>
      <c r="E396" s="265" t="s">
        <v>5789</v>
      </c>
      <c r="F396" s="268" t="s">
        <v>6288</v>
      </c>
      <c r="G396" s="271">
        <f>IF(COUNTIF(H396:AU396,"&lt;&gt;")=0,"",SUMPRODUCT(((Recommendations[ImplStatus]="Implemented")+(Recommendations[ImplStatus]="Compensated"))*ISNUMBER(MATCH(Recommendations[Id],H396:AU396,0)))/COUNTIF(H396:AU396,"&lt;&gt;"))</f>
        <v>0</v>
      </c>
      <c r="H396" s="272" t="s">
        <v>260</v>
      </c>
      <c r="I396" s="272" t="s">
        <v>265</v>
      </c>
      <c r="J396" s="272" t="s">
        <v>270</v>
      </c>
      <c r="K396" s="272" t="s">
        <v>290</v>
      </c>
      <c r="L396" s="272" t="s">
        <v>295</v>
      </c>
      <c r="M396" s="272" t="s">
        <v>320</v>
      </c>
      <c r="N396" s="272" t="s">
        <v>325</v>
      </c>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6253</v>
      </c>
      <c r="B397" s="260" t="s">
        <v>6285</v>
      </c>
      <c r="C397" s="261" t="s">
        <v>6307</v>
      </c>
      <c r="D397" s="264" t="s">
        <v>6308</v>
      </c>
      <c r="E397" s="265" t="s">
        <v>5539</v>
      </c>
      <c r="F397" s="268" t="s">
        <v>6288</v>
      </c>
      <c r="G397" s="271">
        <f>IF(COUNTIF(H397:AU397,"&lt;&gt;")=0,"",SUMPRODUCT(((Recommendations[ImplStatus]="Implemented")+(Recommendations[ImplStatus]="Compensated"))*ISNUMBER(MATCH(Recommendations[Id],H397:AU397,0)))/COUNTIF(H397:AU397,"&lt;&gt;"))</f>
        <v>0</v>
      </c>
      <c r="H397" s="272" t="s">
        <v>229</v>
      </c>
      <c r="I397" s="272" t="s">
        <v>239</v>
      </c>
      <c r="J397" s="272" t="s">
        <v>245</v>
      </c>
      <c r="K397" s="272" t="s">
        <v>250</v>
      </c>
      <c r="L397" s="272" t="s">
        <v>280</v>
      </c>
      <c r="M397" s="272" t="s">
        <v>285</v>
      </c>
      <c r="N397" s="272" t="s">
        <v>300</v>
      </c>
      <c r="O397" s="272" t="s">
        <v>305</v>
      </c>
      <c r="P397" s="272" t="s">
        <v>310</v>
      </c>
      <c r="Q397" s="272" t="s">
        <v>330</v>
      </c>
      <c r="R397" s="272" t="s">
        <v>579</v>
      </c>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6253</v>
      </c>
      <c r="B398" s="260" t="s">
        <v>6285</v>
      </c>
      <c r="C398" s="261" t="s">
        <v>6309</v>
      </c>
      <c r="D398" s="264" t="s">
        <v>6310</v>
      </c>
      <c r="E398" s="265" t="s">
        <v>5654</v>
      </c>
      <c r="F398" s="268" t="s">
        <v>6288</v>
      </c>
      <c r="G398" s="271">
        <f>IF(COUNTIF(H398:AU398,"&lt;&gt;")=0,"",SUMPRODUCT(((Recommendations[ImplStatus]="Implemented")+(Recommendations[ImplStatus]="Compensated"))*ISNUMBER(MATCH(Recommendations[Id],H398:AU398,0)))/COUNTIF(H398:AU398,"&lt;&gt;"))</f>
        <v>0</v>
      </c>
      <c r="H398" s="272" t="s">
        <v>280</v>
      </c>
      <c r="I398" s="272" t="s">
        <v>285</v>
      </c>
      <c r="J398" s="272" t="s">
        <v>300</v>
      </c>
      <c r="K398" s="272" t="s">
        <v>305</v>
      </c>
      <c r="L398" s="272" t="s">
        <v>310</v>
      </c>
      <c r="M398" s="272" t="s">
        <v>330</v>
      </c>
      <c r="N398" s="272" t="s">
        <v>579</v>
      </c>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6253</v>
      </c>
      <c r="B399" s="260" t="s">
        <v>6285</v>
      </c>
      <c r="C399" s="261" t="s">
        <v>6311</v>
      </c>
      <c r="D399" s="264" t="s">
        <v>6312</v>
      </c>
      <c r="E399" s="265" t="s">
        <v>5789</v>
      </c>
      <c r="F399" s="268" t="s">
        <v>6288</v>
      </c>
      <c r="G399" s="271">
        <f>IF(COUNTIF(H399:AU399,"&lt;&gt;")=0,"",SUMPRODUCT(((Recommendations[ImplStatus]="Implemented")+(Recommendations[ImplStatus]="Compensated"))*ISNUMBER(MATCH(Recommendations[Id],H399:AU399,0)))/COUNTIF(H399:AU399,"&lt;&gt;"))</f>
        <v>0</v>
      </c>
      <c r="H399" s="272" t="s">
        <v>275</v>
      </c>
      <c r="I399" s="272" t="s">
        <v>589</v>
      </c>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6253</v>
      </c>
      <c r="B400" s="260" t="s">
        <v>6285</v>
      </c>
      <c r="C400" s="261" t="s">
        <v>6313</v>
      </c>
      <c r="D400" s="264" t="s">
        <v>6314</v>
      </c>
      <c r="E400" s="265" t="s">
        <v>5789</v>
      </c>
      <c r="F400" s="268" t="s">
        <v>6288</v>
      </c>
      <c r="G400" s="271">
        <f>IF(COUNTIF(H400:AU400,"&lt;&gt;")=0,"",SUMPRODUCT(((Recommendations[ImplStatus]="Implemented")+(Recommendations[ImplStatus]="Compensated"))*ISNUMBER(MATCH(Recommendations[Id],H400:AU400,0)))/COUNTIF(H400:AU400,"&lt;&gt;"))</f>
        <v>0</v>
      </c>
      <c r="H400" s="272" t="s">
        <v>632</v>
      </c>
      <c r="I400" s="272" t="s">
        <v>637</v>
      </c>
      <c r="J400" s="272" t="s">
        <v>642</v>
      </c>
      <c r="K400" s="272" t="s">
        <v>647</v>
      </c>
      <c r="L400" s="272" t="s">
        <v>652</v>
      </c>
      <c r="M400" s="272" t="s">
        <v>657</v>
      </c>
      <c r="N400" s="272" t="s">
        <v>681</v>
      </c>
      <c r="O400" s="272" t="s">
        <v>686</v>
      </c>
      <c r="P400" s="272" t="s">
        <v>691</v>
      </c>
      <c r="Q400" s="272" t="s">
        <v>696</v>
      </c>
      <c r="R400" s="272" t="s">
        <v>701</v>
      </c>
      <c r="S400" s="272" t="s">
        <v>706</v>
      </c>
      <c r="T400" s="272" t="s">
        <v>711</v>
      </c>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6253</v>
      </c>
      <c r="B401" s="260" t="s">
        <v>6285</v>
      </c>
      <c r="C401" s="261" t="s">
        <v>6315</v>
      </c>
      <c r="D401" s="264" t="s">
        <v>6316</v>
      </c>
      <c r="E401" s="265" t="s">
        <v>5539</v>
      </c>
      <c r="F401" s="268" t="s">
        <v>6288</v>
      </c>
      <c r="G401" s="271">
        <f>IF(COUNTIF(H401:AU401,"&lt;&gt;")=0,"",SUMPRODUCT(((Recommendations[ImplStatus]="Implemented")+(Recommendations[ImplStatus]="Compensated"))*ISNUMBER(MATCH(Recommendations[Id],H401:AU401,0)))/COUNTIF(H401:AU401,"&lt;&gt;"))</f>
        <v>0</v>
      </c>
      <c r="H401" s="272" t="s">
        <v>234</v>
      </c>
      <c r="I401" s="272" t="s">
        <v>255</v>
      </c>
      <c r="J401" s="272" t="s">
        <v>275</v>
      </c>
      <c r="K401" s="272" t="s">
        <v>356</v>
      </c>
      <c r="L401" s="272" t="s">
        <v>519</v>
      </c>
      <c r="M401" s="272" t="s">
        <v>589</v>
      </c>
      <c r="N401" s="272" t="s">
        <v>624</v>
      </c>
      <c r="O401" s="272" t="s">
        <v>627</v>
      </c>
      <c r="P401" s="272" t="s">
        <v>662</v>
      </c>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6253</v>
      </c>
      <c r="B402" s="260" t="s">
        <v>6285</v>
      </c>
      <c r="C402" s="261" t="s">
        <v>6317</v>
      </c>
      <c r="D402" s="264" t="s">
        <v>6318</v>
      </c>
      <c r="E402" s="265" t="s">
        <v>5539</v>
      </c>
      <c r="F402" s="268" t="s">
        <v>6288</v>
      </c>
      <c r="G402" s="271">
        <f>IF(COUNTIF(H402:AU402,"&lt;&gt;")=0,"",SUMPRODUCT(((Recommendations[ImplStatus]="Implemented")+(Recommendations[ImplStatus]="Compensated"))*ISNUMBER(MATCH(Recommendations[Id],H402:AU402,0)))/COUNTIF(H402:AU402,"&lt;&gt;"))</f>
        <v>0</v>
      </c>
      <c r="H402" s="272" t="s">
        <v>234</v>
      </c>
      <c r="I402" s="272" t="s">
        <v>255</v>
      </c>
      <c r="J402" s="272" t="s">
        <v>356</v>
      </c>
      <c r="K402" s="272" t="s">
        <v>519</v>
      </c>
      <c r="L402" s="272" t="s">
        <v>624</v>
      </c>
      <c r="M402" s="272" t="s">
        <v>627</v>
      </c>
      <c r="N402" s="272" t="s">
        <v>662</v>
      </c>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6253</v>
      </c>
      <c r="B403" s="260" t="s">
        <v>6285</v>
      </c>
      <c r="C403" s="261" t="s">
        <v>6319</v>
      </c>
      <c r="D403" s="264" t="s">
        <v>6320</v>
      </c>
      <c r="E403" s="265" t="s">
        <v>5539</v>
      </c>
      <c r="F403" s="268" t="s">
        <v>6288</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6253</v>
      </c>
      <c r="B404" s="260" t="s">
        <v>6285</v>
      </c>
      <c r="C404" s="261" t="s">
        <v>6321</v>
      </c>
      <c r="D404" s="264" t="s">
        <v>6322</v>
      </c>
      <c r="E404" s="265" t="s">
        <v>5654</v>
      </c>
      <c r="F404" s="268" t="s">
        <v>6288</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6253</v>
      </c>
      <c r="B405" s="260" t="s">
        <v>6285</v>
      </c>
      <c r="C405" s="261" t="s">
        <v>6323</v>
      </c>
      <c r="D405" s="264" t="s">
        <v>6324</v>
      </c>
      <c r="E405" s="265" t="s">
        <v>5654</v>
      </c>
      <c r="F405" s="268" t="s">
        <v>6288</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6253</v>
      </c>
      <c r="B406" s="260" t="s">
        <v>6285</v>
      </c>
      <c r="C406" s="261" t="s">
        <v>6325</v>
      </c>
      <c r="D406" s="264" t="s">
        <v>6326</v>
      </c>
      <c r="E406" s="265" t="s">
        <v>5654</v>
      </c>
      <c r="F406" s="268" t="s">
        <v>6327</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6253</v>
      </c>
      <c r="B407" s="260" t="s">
        <v>6285</v>
      </c>
      <c r="C407" s="261" t="s">
        <v>6328</v>
      </c>
      <c r="D407" s="264" t="s">
        <v>6329</v>
      </c>
      <c r="E407" s="265" t="s">
        <v>5654</v>
      </c>
      <c r="F407" s="268" t="s">
        <v>6288</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6253</v>
      </c>
      <c r="B408" s="260" t="s">
        <v>6285</v>
      </c>
      <c r="C408" s="261" t="s">
        <v>6330</v>
      </c>
      <c r="D408" s="264" t="s">
        <v>6331</v>
      </c>
      <c r="E408" s="265" t="s">
        <v>5654</v>
      </c>
      <c r="F408" s="268" t="s">
        <v>6288</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6253</v>
      </c>
      <c r="B409" s="260" t="s">
        <v>6285</v>
      </c>
      <c r="C409" s="261" t="s">
        <v>6332</v>
      </c>
      <c r="D409" s="264" t="s">
        <v>6333</v>
      </c>
      <c r="E409" s="265" t="s">
        <v>5654</v>
      </c>
      <c r="F409" s="268" t="s">
        <v>6334</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6253</v>
      </c>
      <c r="B410" s="259" t="s">
        <v>6335</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6253</v>
      </c>
      <c r="B411" s="260" t="s">
        <v>6335</v>
      </c>
      <c r="C411" s="261" t="s">
        <v>6336</v>
      </c>
      <c r="D411" s="264" t="s">
        <v>6337</v>
      </c>
      <c r="E411" s="265" t="s">
        <v>5510</v>
      </c>
      <c r="F411" s="268" t="s">
        <v>6260</v>
      </c>
      <c r="G411" s="271">
        <f>IF(COUNTIF(H411:AU411,"&lt;&gt;")=0,"",SUMPRODUCT(((Recommendations[ImplStatus]="Implemented")+(Recommendations[ImplStatus]="Compensated"))*ISNUMBER(MATCH(Recommendations[Id],H411:AU411,0)))/COUNTIF(H411:AU411,"&lt;&gt;"))</f>
        <v>0</v>
      </c>
      <c r="H411" s="272" t="s">
        <v>25</v>
      </c>
      <c r="I411" s="272" t="s">
        <v>30</v>
      </c>
      <c r="J411" s="272" t="s">
        <v>35</v>
      </c>
      <c r="K411" s="272" t="s">
        <v>40</v>
      </c>
      <c r="L411" s="272" t="s">
        <v>97</v>
      </c>
      <c r="M411" s="272" t="s">
        <v>140</v>
      </c>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6253</v>
      </c>
      <c r="B412" s="260" t="s">
        <v>6335</v>
      </c>
      <c r="C412" s="261" t="s">
        <v>6338</v>
      </c>
      <c r="D412" s="264" t="s">
        <v>6339</v>
      </c>
      <c r="E412" s="265" t="s">
        <v>5510</v>
      </c>
      <c r="F412" s="268" t="s">
        <v>6260</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6253</v>
      </c>
      <c r="B413" s="260" t="s">
        <v>6335</v>
      </c>
      <c r="C413" s="261" t="s">
        <v>6340</v>
      </c>
      <c r="D413" s="264" t="s">
        <v>6341</v>
      </c>
      <c r="E413" s="265" t="s">
        <v>5510</v>
      </c>
      <c r="F413" s="268" t="s">
        <v>6260</v>
      </c>
      <c r="G413" s="271">
        <f>IF(COUNTIF(H413:AU413,"&lt;&gt;")=0,"",SUMPRODUCT(((Recommendations[ImplStatus]="Implemented")+(Recommendations[ImplStatus]="Compensated"))*ISNUMBER(MATCH(Recommendations[Id],H413:AU413,0)))/COUNTIF(H413:AU413,"&lt;&gt;"))</f>
        <v>0</v>
      </c>
      <c r="H413" s="272" t="s">
        <v>198</v>
      </c>
      <c r="I413" s="272" t="s">
        <v>223</v>
      </c>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6253</v>
      </c>
      <c r="B414" s="260" t="s">
        <v>6335</v>
      </c>
      <c r="C414" s="261" t="s">
        <v>6342</v>
      </c>
      <c r="D414" s="264" t="s">
        <v>6343</v>
      </c>
      <c r="E414" s="265" t="s">
        <v>5510</v>
      </c>
      <c r="F414" s="268" t="s">
        <v>6260</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6253</v>
      </c>
      <c r="B415" s="260" t="s">
        <v>6335</v>
      </c>
      <c r="C415" s="261" t="s">
        <v>6344</v>
      </c>
      <c r="D415" s="264" t="s">
        <v>6345</v>
      </c>
      <c r="E415" s="265" t="s">
        <v>5539</v>
      </c>
      <c r="F415" s="268" t="s">
        <v>6260</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6253</v>
      </c>
      <c r="B416" s="260" t="s">
        <v>6335</v>
      </c>
      <c r="C416" s="261" t="s">
        <v>6346</v>
      </c>
      <c r="D416" s="264" t="s">
        <v>6347</v>
      </c>
      <c r="E416" s="265" t="s">
        <v>5539</v>
      </c>
      <c r="F416" s="268" t="s">
        <v>6348</v>
      </c>
      <c r="G416" s="271">
        <f>IF(COUNTIF(H416:AU416,"&lt;&gt;")=0,"",SUMPRODUCT(((Recommendations[ImplStatus]="Implemented")+(Recommendations[ImplStatus]="Compensated"))*ISNUMBER(MATCH(Recommendations[Id],H416:AU416,0)))/COUNTIF(H416:AU416,"&lt;&gt;"))</f>
        <v>0</v>
      </c>
      <c r="H416" s="272" t="s">
        <v>45</v>
      </c>
      <c r="I416" s="272" t="s">
        <v>335</v>
      </c>
      <c r="J416" s="272" t="s">
        <v>410</v>
      </c>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6253</v>
      </c>
      <c r="B417" s="260" t="s">
        <v>6335</v>
      </c>
      <c r="C417" s="261" t="s">
        <v>6349</v>
      </c>
      <c r="D417" s="264" t="s">
        <v>6350</v>
      </c>
      <c r="E417" s="265" t="s">
        <v>5539</v>
      </c>
      <c r="F417" s="268" t="s">
        <v>6348</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6253</v>
      </c>
      <c r="B418" s="260" t="s">
        <v>6335</v>
      </c>
      <c r="C418" s="261" t="s">
        <v>6351</v>
      </c>
      <c r="D418" s="264" t="s">
        <v>6352</v>
      </c>
      <c r="E418" s="265" t="s">
        <v>5789</v>
      </c>
      <c r="F418" s="268" t="s">
        <v>6348</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6253</v>
      </c>
      <c r="B419" s="260" t="s">
        <v>6335</v>
      </c>
      <c r="C419" s="261" t="s">
        <v>6353</v>
      </c>
      <c r="D419" s="264" t="s">
        <v>6354</v>
      </c>
      <c r="E419" s="265" t="s">
        <v>5539</v>
      </c>
      <c r="F419" s="268" t="s">
        <v>6348</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6253</v>
      </c>
      <c r="B420" s="260" t="s">
        <v>6335</v>
      </c>
      <c r="C420" s="261" t="s">
        <v>6355</v>
      </c>
      <c r="D420" s="264" t="s">
        <v>6356</v>
      </c>
      <c r="E420" s="265" t="s">
        <v>5789</v>
      </c>
      <c r="F420" s="268" t="s">
        <v>6348</v>
      </c>
      <c r="G420" s="271">
        <f>IF(COUNTIF(H420:AU420,"&lt;&gt;")=0,"",SUMPRODUCT(((Recommendations[ImplStatus]="Implemented")+(Recommendations[ImplStatus]="Compensated"))*ISNUMBER(MATCH(Recommendations[Id],H420:AU420,0)))/COUNTIF(H420:AU420,"&lt;&gt;"))</f>
        <v>0</v>
      </c>
      <c r="H420" s="272" t="s">
        <v>50</v>
      </c>
      <c r="I420" s="272" t="s">
        <v>190</v>
      </c>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6253</v>
      </c>
      <c r="B421" s="260" t="s">
        <v>6335</v>
      </c>
      <c r="C421" s="261" t="s">
        <v>6357</v>
      </c>
      <c r="D421" s="264" t="s">
        <v>6358</v>
      </c>
      <c r="E421" s="265" t="s">
        <v>5789</v>
      </c>
      <c r="F421" s="268" t="s">
        <v>6348</v>
      </c>
      <c r="G421" s="271">
        <f>IF(COUNTIF(H421:AU421,"&lt;&gt;")=0,"",SUMPRODUCT(((Recommendations[ImplStatus]="Implemented")+(Recommendations[ImplStatus]="Compensated"))*ISNUMBER(MATCH(Recommendations[Id],H421:AU421,0)))/COUNTIF(H421:AU421,"&lt;&gt;"))</f>
        <v>0</v>
      </c>
      <c r="H421" s="272" t="s">
        <v>102</v>
      </c>
      <c r="I421" s="272" t="s">
        <v>107</v>
      </c>
      <c r="J421" s="272" t="s">
        <v>112</v>
      </c>
      <c r="K421" s="272" t="s">
        <v>117</v>
      </c>
      <c r="L421" s="272" t="s">
        <v>121</v>
      </c>
      <c r="M421" s="272" t="s">
        <v>130</v>
      </c>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6253</v>
      </c>
      <c r="B422" s="260" t="s">
        <v>6335</v>
      </c>
      <c r="C422" s="261" t="s">
        <v>6359</v>
      </c>
      <c r="D422" s="264" t="s">
        <v>6360</v>
      </c>
      <c r="E422" s="265" t="s">
        <v>5539</v>
      </c>
      <c r="F422" s="268" t="s">
        <v>6348</v>
      </c>
      <c r="G422" s="271">
        <f>IF(COUNTIF(H422:AU422,"&lt;&gt;")=0,"",SUMPRODUCT(((Recommendations[ImplStatus]="Implemented")+(Recommendations[ImplStatus]="Compensated"))*ISNUMBER(MATCH(Recommendations[Id],H422:AU422,0)))/COUNTIF(H422:AU422,"&lt;&gt;"))</f>
        <v>0</v>
      </c>
      <c r="H422" s="272" t="s">
        <v>102</v>
      </c>
      <c r="I422" s="272" t="s">
        <v>107</v>
      </c>
      <c r="J422" s="272" t="s">
        <v>112</v>
      </c>
      <c r="K422" s="272" t="s">
        <v>117</v>
      </c>
      <c r="L422" s="272" t="s">
        <v>121</v>
      </c>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6253</v>
      </c>
      <c r="B423" s="260" t="s">
        <v>6335</v>
      </c>
      <c r="C423" s="261" t="s">
        <v>6361</v>
      </c>
      <c r="D423" s="264" t="s">
        <v>6362</v>
      </c>
      <c r="E423" s="265" t="s">
        <v>5539</v>
      </c>
      <c r="F423" s="268" t="s">
        <v>6348</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6363</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6363</v>
      </c>
      <c r="B425" s="259" t="s">
        <v>6364</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6363</v>
      </c>
      <c r="B426" s="260" t="s">
        <v>6364</v>
      </c>
      <c r="C426" s="261" t="s">
        <v>6365</v>
      </c>
      <c r="D426" s="264" t="s">
        <v>6366</v>
      </c>
      <c r="E426" s="265" t="s">
        <v>5510</v>
      </c>
      <c r="F426" s="268" t="s">
        <v>6327</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6363</v>
      </c>
      <c r="B427" s="260" t="s">
        <v>6364</v>
      </c>
      <c r="C427" s="261" t="s">
        <v>6367</v>
      </c>
      <c r="D427" s="264" t="s">
        <v>6368</v>
      </c>
      <c r="E427" s="265" t="s">
        <v>5510</v>
      </c>
      <c r="F427" s="268" t="s">
        <v>6327</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6363</v>
      </c>
      <c r="B428" s="260" t="s">
        <v>6364</v>
      </c>
      <c r="C428" s="261" t="s">
        <v>6369</v>
      </c>
      <c r="D428" s="264" t="s">
        <v>6370</v>
      </c>
      <c r="E428" s="265" t="s">
        <v>5789</v>
      </c>
      <c r="F428" s="268" t="s">
        <v>6327</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6363</v>
      </c>
      <c r="B429" s="260" t="s">
        <v>6364</v>
      </c>
      <c r="C429" s="261" t="s">
        <v>6371</v>
      </c>
      <c r="D429" s="264" t="s">
        <v>6372</v>
      </c>
      <c r="E429" s="265" t="s">
        <v>5539</v>
      </c>
      <c r="F429" s="268" t="s">
        <v>6327</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6363</v>
      </c>
      <c r="B430" s="260" t="s">
        <v>6364</v>
      </c>
      <c r="C430" s="261" t="s">
        <v>6373</v>
      </c>
      <c r="D430" s="264" t="s">
        <v>6374</v>
      </c>
      <c r="E430" s="265" t="s">
        <v>5539</v>
      </c>
      <c r="F430" s="268" t="s">
        <v>6327</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6363</v>
      </c>
      <c r="B431" s="260" t="s">
        <v>6364</v>
      </c>
      <c r="C431" s="261" t="s">
        <v>6375</v>
      </c>
      <c r="D431" s="264" t="s">
        <v>6376</v>
      </c>
      <c r="E431" s="265" t="s">
        <v>5789</v>
      </c>
      <c r="F431" s="268" t="s">
        <v>6327</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6363</v>
      </c>
      <c r="B432" s="260" t="s">
        <v>6364</v>
      </c>
      <c r="C432" s="261" t="s">
        <v>6377</v>
      </c>
      <c r="D432" s="264" t="s">
        <v>6378</v>
      </c>
      <c r="E432" s="265" t="s">
        <v>5789</v>
      </c>
      <c r="F432" s="268" t="s">
        <v>6327</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6363</v>
      </c>
      <c r="B433" s="260" t="s">
        <v>6364</v>
      </c>
      <c r="C433" s="261" t="s">
        <v>6379</v>
      </c>
      <c r="D433" s="264" t="s">
        <v>6380</v>
      </c>
      <c r="E433" s="265" t="s">
        <v>5606</v>
      </c>
      <c r="F433" s="268" t="s">
        <v>6327</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6363</v>
      </c>
      <c r="B434" s="260" t="s">
        <v>6364</v>
      </c>
      <c r="C434" s="261" t="s">
        <v>6381</v>
      </c>
      <c r="D434" s="264" t="s">
        <v>6382</v>
      </c>
      <c r="E434" s="265" t="s">
        <v>5606</v>
      </c>
      <c r="F434" s="268" t="s">
        <v>6327</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6363</v>
      </c>
      <c r="B435" s="260" t="s">
        <v>6364</v>
      </c>
      <c r="C435" s="261" t="s">
        <v>6383</v>
      </c>
      <c r="D435" s="264" t="s">
        <v>6384</v>
      </c>
      <c r="E435" s="265" t="s">
        <v>5539</v>
      </c>
      <c r="F435" s="268" t="s">
        <v>6327</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6363</v>
      </c>
      <c r="B436" s="260" t="s">
        <v>6364</v>
      </c>
      <c r="C436" s="261" t="s">
        <v>6385</v>
      </c>
      <c r="D436" s="264" t="s">
        <v>6386</v>
      </c>
      <c r="E436" s="265" t="s">
        <v>5606</v>
      </c>
      <c r="F436" s="268" t="s">
        <v>6327</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6363</v>
      </c>
      <c r="B437" s="260" t="s">
        <v>6364</v>
      </c>
      <c r="C437" s="261" t="s">
        <v>6387</v>
      </c>
      <c r="D437" s="264" t="s">
        <v>6388</v>
      </c>
      <c r="E437" s="265" t="s">
        <v>5539</v>
      </c>
      <c r="F437" s="268" t="s">
        <v>6327</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6363</v>
      </c>
      <c r="B438" s="259" t="s">
        <v>6389</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6363</v>
      </c>
      <c r="B439" s="260" t="s">
        <v>6389</v>
      </c>
      <c r="C439" s="261" t="s">
        <v>6390</v>
      </c>
      <c r="D439" s="264" t="s">
        <v>6391</v>
      </c>
      <c r="E439" s="265" t="s">
        <v>5510</v>
      </c>
      <c r="F439" s="268" t="s">
        <v>6392</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6363</v>
      </c>
      <c r="B440" s="260" t="s">
        <v>6389</v>
      </c>
      <c r="C440" s="261" t="s">
        <v>6393</v>
      </c>
      <c r="D440" s="264" t="s">
        <v>6394</v>
      </c>
      <c r="E440" s="265" t="s">
        <v>5510</v>
      </c>
      <c r="F440" s="268" t="s">
        <v>6392</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6363</v>
      </c>
      <c r="B441" s="260" t="s">
        <v>6389</v>
      </c>
      <c r="C441" s="261" t="s">
        <v>6395</v>
      </c>
      <c r="D441" s="264" t="s">
        <v>6396</v>
      </c>
      <c r="E441" s="265" t="s">
        <v>5510</v>
      </c>
      <c r="F441" s="268" t="s">
        <v>6392</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6363</v>
      </c>
      <c r="B442" s="260" t="s">
        <v>6389</v>
      </c>
      <c r="C442" s="261" t="s">
        <v>6397</v>
      </c>
      <c r="D442" s="264" t="s">
        <v>6398</v>
      </c>
      <c r="E442" s="265" t="s">
        <v>5510</v>
      </c>
      <c r="F442" s="268" t="s">
        <v>6392</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6363</v>
      </c>
      <c r="B443" s="260" t="s">
        <v>6389</v>
      </c>
      <c r="C443" s="261" t="s">
        <v>6399</v>
      </c>
      <c r="D443" s="264" t="s">
        <v>6400</v>
      </c>
      <c r="E443" s="265" t="s">
        <v>5539</v>
      </c>
      <c r="F443" s="268" t="s">
        <v>6392</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6363</v>
      </c>
      <c r="B444" s="260" t="s">
        <v>6389</v>
      </c>
      <c r="C444" s="261" t="s">
        <v>6401</v>
      </c>
      <c r="D444" s="264" t="s">
        <v>6402</v>
      </c>
      <c r="E444" s="265" t="s">
        <v>5539</v>
      </c>
      <c r="F444" s="268" t="s">
        <v>6392</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6363</v>
      </c>
      <c r="B445" s="260" t="s">
        <v>6389</v>
      </c>
      <c r="C445" s="261" t="s">
        <v>6403</v>
      </c>
      <c r="D445" s="264" t="s">
        <v>6404</v>
      </c>
      <c r="E445" s="265" t="s">
        <v>5539</v>
      </c>
      <c r="F445" s="268" t="s">
        <v>6392</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6363</v>
      </c>
      <c r="B446" s="260" t="s">
        <v>6389</v>
      </c>
      <c r="C446" s="261" t="s">
        <v>6405</v>
      </c>
      <c r="D446" s="264" t="s">
        <v>6406</v>
      </c>
      <c r="E446" s="265" t="s">
        <v>5654</v>
      </c>
      <c r="F446" s="268" t="s">
        <v>6392</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6363</v>
      </c>
      <c r="B447" s="260" t="s">
        <v>6389</v>
      </c>
      <c r="C447" s="261" t="s">
        <v>6407</v>
      </c>
      <c r="D447" s="264" t="s">
        <v>6408</v>
      </c>
      <c r="E447" s="265" t="s">
        <v>5539</v>
      </c>
      <c r="F447" s="268" t="s">
        <v>6392</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6363</v>
      </c>
      <c r="B448" s="260" t="s">
        <v>6389</v>
      </c>
      <c r="C448" s="261" t="s">
        <v>6409</v>
      </c>
      <c r="D448" s="264" t="s">
        <v>6410</v>
      </c>
      <c r="E448" s="265" t="s">
        <v>5654</v>
      </c>
      <c r="F448" s="268" t="s">
        <v>6392</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6363</v>
      </c>
      <c r="B449" s="260" t="s">
        <v>6389</v>
      </c>
      <c r="C449" s="261" t="s">
        <v>6411</v>
      </c>
      <c r="D449" s="264" t="s">
        <v>6412</v>
      </c>
      <c r="E449" s="265" t="s">
        <v>5654</v>
      </c>
      <c r="F449" s="268" t="s">
        <v>6392</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6413</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6413</v>
      </c>
      <c r="B451" s="259" t="s">
        <v>6414</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6413</v>
      </c>
      <c r="B452" s="260" t="s">
        <v>6414</v>
      </c>
      <c r="C452" s="261" t="s">
        <v>6415</v>
      </c>
      <c r="D452" s="264" t="s">
        <v>6416</v>
      </c>
      <c r="E452" s="265" t="s">
        <v>5510</v>
      </c>
      <c r="F452" s="268" t="s">
        <v>6417</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6413</v>
      </c>
      <c r="B453" s="260" t="s">
        <v>6414</v>
      </c>
      <c r="C453" s="261" t="s">
        <v>6418</v>
      </c>
      <c r="D453" s="264" t="s">
        <v>6419</v>
      </c>
      <c r="E453" s="265" t="s">
        <v>5510</v>
      </c>
      <c r="F453" s="268" t="s">
        <v>6417</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6413</v>
      </c>
      <c r="B454" s="260" t="s">
        <v>6414</v>
      </c>
      <c r="C454" s="261" t="s">
        <v>6420</v>
      </c>
      <c r="D454" s="264" t="s">
        <v>6421</v>
      </c>
      <c r="E454" s="265" t="s">
        <v>5510</v>
      </c>
      <c r="F454" s="268" t="s">
        <v>6417</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6413</v>
      </c>
      <c r="B455" s="260" t="s">
        <v>6414</v>
      </c>
      <c r="C455" s="261" t="s">
        <v>6422</v>
      </c>
      <c r="D455" s="264" t="s">
        <v>6423</v>
      </c>
      <c r="E455" s="265" t="s">
        <v>5510</v>
      </c>
      <c r="F455" s="268" t="s">
        <v>6417</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6413</v>
      </c>
      <c r="B456" s="260" t="s">
        <v>6414</v>
      </c>
      <c r="C456" s="261" t="s">
        <v>6424</v>
      </c>
      <c r="D456" s="264" t="s">
        <v>6425</v>
      </c>
      <c r="E456" s="265" t="s">
        <v>5510</v>
      </c>
      <c r="F456" s="268" t="s">
        <v>6417</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6413</v>
      </c>
      <c r="B457" s="260" t="s">
        <v>6414</v>
      </c>
      <c r="C457" s="261" t="s">
        <v>6426</v>
      </c>
      <c r="D457" s="264" t="s">
        <v>6427</v>
      </c>
      <c r="E457" s="265" t="s">
        <v>5539</v>
      </c>
      <c r="F457" s="268" t="s">
        <v>6417</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6413</v>
      </c>
      <c r="B458" s="260" t="s">
        <v>6414</v>
      </c>
      <c r="C458" s="261" t="s">
        <v>6428</v>
      </c>
      <c r="D458" s="264" t="s">
        <v>6429</v>
      </c>
      <c r="E458" s="265" t="s">
        <v>5539</v>
      </c>
      <c r="F458" s="268" t="s">
        <v>6417</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6413</v>
      </c>
      <c r="B459" s="260" t="s">
        <v>6414</v>
      </c>
      <c r="C459" s="261" t="s">
        <v>6430</v>
      </c>
      <c r="D459" s="264" t="s">
        <v>6431</v>
      </c>
      <c r="E459" s="265" t="s">
        <v>5539</v>
      </c>
      <c r="F459" s="268" t="s">
        <v>6417</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6413</v>
      </c>
      <c r="B460" s="260" t="s">
        <v>6414</v>
      </c>
      <c r="C460" s="261" t="s">
        <v>6432</v>
      </c>
      <c r="D460" s="264" t="s">
        <v>6433</v>
      </c>
      <c r="E460" s="265" t="s">
        <v>5539</v>
      </c>
      <c r="F460" s="268" t="s">
        <v>6417</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6413</v>
      </c>
      <c r="B461" s="260" t="s">
        <v>6414</v>
      </c>
      <c r="C461" s="261" t="s">
        <v>6434</v>
      </c>
      <c r="D461" s="264" t="s">
        <v>6435</v>
      </c>
      <c r="E461" s="265" t="s">
        <v>5539</v>
      </c>
      <c r="F461" s="268" t="s">
        <v>6417</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6413</v>
      </c>
      <c r="B462" s="260" t="s">
        <v>6414</v>
      </c>
      <c r="C462" s="261" t="s">
        <v>6436</v>
      </c>
      <c r="D462" s="264" t="s">
        <v>6437</v>
      </c>
      <c r="E462" s="265" t="s">
        <v>5539</v>
      </c>
      <c r="F462" s="268" t="s">
        <v>6417</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6413</v>
      </c>
      <c r="B463" s="260" t="s">
        <v>6414</v>
      </c>
      <c r="C463" s="261" t="s">
        <v>6438</v>
      </c>
      <c r="D463" s="264" t="s">
        <v>6439</v>
      </c>
      <c r="E463" s="265" t="s">
        <v>5539</v>
      </c>
      <c r="F463" s="268" t="s">
        <v>6417</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6413</v>
      </c>
      <c r="B464" s="260" t="s">
        <v>6414</v>
      </c>
      <c r="C464" s="261" t="s">
        <v>6440</v>
      </c>
      <c r="D464" s="264" t="s">
        <v>6441</v>
      </c>
      <c r="E464" s="265" t="s">
        <v>5539</v>
      </c>
      <c r="F464" s="268" t="s">
        <v>6417</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6413</v>
      </c>
      <c r="B465" s="260" t="s">
        <v>6414</v>
      </c>
      <c r="C465" s="261" t="s">
        <v>6442</v>
      </c>
      <c r="D465" s="264" t="s">
        <v>6443</v>
      </c>
      <c r="E465" s="265" t="s">
        <v>5539</v>
      </c>
      <c r="F465" s="268" t="s">
        <v>6417</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6413</v>
      </c>
      <c r="B466" s="259" t="s">
        <v>6444</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6413</v>
      </c>
      <c r="B467" s="260" t="s">
        <v>6444</v>
      </c>
      <c r="C467" s="261" t="s">
        <v>6445</v>
      </c>
      <c r="D467" s="264" t="s">
        <v>6446</v>
      </c>
      <c r="E467" s="265" t="s">
        <v>5510</v>
      </c>
      <c r="F467" s="268" t="s">
        <v>5649</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6413</v>
      </c>
      <c r="B468" s="260" t="s">
        <v>6444</v>
      </c>
      <c r="C468" s="261" t="s">
        <v>6447</v>
      </c>
      <c r="D468" s="264" t="s">
        <v>6448</v>
      </c>
      <c r="E468" s="265" t="s">
        <v>5510</v>
      </c>
      <c r="F468" s="268" t="s">
        <v>5649</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6413</v>
      </c>
      <c r="B469" s="260" t="s">
        <v>6444</v>
      </c>
      <c r="C469" s="261" t="s">
        <v>6449</v>
      </c>
      <c r="D469" s="264" t="s">
        <v>6450</v>
      </c>
      <c r="E469" s="265" t="s">
        <v>5510</v>
      </c>
      <c r="F469" s="268" t="s">
        <v>5649</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6413</v>
      </c>
      <c r="B470" s="260" t="s">
        <v>6444</v>
      </c>
      <c r="C470" s="261" t="s">
        <v>6451</v>
      </c>
      <c r="D470" s="264" t="s">
        <v>6452</v>
      </c>
      <c r="E470" s="265" t="s">
        <v>5606</v>
      </c>
      <c r="F470" s="268" t="s">
        <v>6018</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6413</v>
      </c>
      <c r="B471" s="260" t="s">
        <v>6444</v>
      </c>
      <c r="C471" s="261" t="s">
        <v>6453</v>
      </c>
      <c r="D471" s="264" t="s">
        <v>6454</v>
      </c>
      <c r="E471" s="265" t="s">
        <v>5606</v>
      </c>
      <c r="F471" s="268" t="s">
        <v>6018</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6413</v>
      </c>
      <c r="B472" s="260" t="s">
        <v>6444</v>
      </c>
      <c r="C472" s="261" t="s">
        <v>6455</v>
      </c>
      <c r="D472" s="264" t="s">
        <v>6456</v>
      </c>
      <c r="E472" s="265" t="s">
        <v>5510</v>
      </c>
      <c r="F472" s="268" t="s">
        <v>6018</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6413</v>
      </c>
      <c r="B473" s="260" t="s">
        <v>6444</v>
      </c>
      <c r="C473" s="261" t="s">
        <v>6457</v>
      </c>
      <c r="D473" s="264" t="s">
        <v>6458</v>
      </c>
      <c r="E473" s="265" t="s">
        <v>5510</v>
      </c>
      <c r="F473" s="268" t="s">
        <v>5957</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6413</v>
      </c>
      <c r="B474" s="260" t="s">
        <v>6444</v>
      </c>
      <c r="C474" s="261" t="s">
        <v>6459</v>
      </c>
      <c r="D474" s="264" t="s">
        <v>6460</v>
      </c>
      <c r="E474" s="265" t="s">
        <v>5539</v>
      </c>
      <c r="F474" s="268" t="s">
        <v>5957</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6413</v>
      </c>
      <c r="B475" s="260" t="s">
        <v>6444</v>
      </c>
      <c r="C475" s="261" t="s">
        <v>6461</v>
      </c>
      <c r="D475" s="264" t="s">
        <v>6462</v>
      </c>
      <c r="E475" s="265" t="s">
        <v>5539</v>
      </c>
      <c r="F475" s="268" t="s">
        <v>5957</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6413</v>
      </c>
      <c r="B476" s="260" t="s">
        <v>6444</v>
      </c>
      <c r="C476" s="261" t="s">
        <v>6463</v>
      </c>
      <c r="D476" s="264" t="s">
        <v>6464</v>
      </c>
      <c r="E476" s="265" t="s">
        <v>5539</v>
      </c>
      <c r="F476" s="268" t="s">
        <v>5957</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6413</v>
      </c>
      <c r="B477" s="260" t="s">
        <v>6444</v>
      </c>
      <c r="C477" s="261" t="s">
        <v>6465</v>
      </c>
      <c r="D477" s="264" t="s">
        <v>6466</v>
      </c>
      <c r="E477" s="265" t="s">
        <v>5539</v>
      </c>
      <c r="F477" s="268" t="s">
        <v>5957</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6413</v>
      </c>
      <c r="B478" s="260" t="s">
        <v>6444</v>
      </c>
      <c r="C478" s="261" t="s">
        <v>6467</v>
      </c>
      <c r="D478" s="264" t="s">
        <v>6468</v>
      </c>
      <c r="E478" s="265" t="s">
        <v>5539</v>
      </c>
      <c r="F478" s="268" t="s">
        <v>6018</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6413</v>
      </c>
      <c r="B479" s="260" t="s">
        <v>6444</v>
      </c>
      <c r="C479" s="261" t="s">
        <v>6469</v>
      </c>
      <c r="D479" s="264" t="s">
        <v>6470</v>
      </c>
      <c r="E479" s="265" t="s">
        <v>5654</v>
      </c>
      <c r="F479" s="268" t="s">
        <v>6018</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6413</v>
      </c>
      <c r="B480" s="260" t="s">
        <v>6444</v>
      </c>
      <c r="C480" s="261" t="s">
        <v>6471</v>
      </c>
      <c r="D480" s="264" t="s">
        <v>6472</v>
      </c>
      <c r="E480" s="265" t="s">
        <v>5654</v>
      </c>
      <c r="F480" s="268" t="s">
        <v>6018</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6413</v>
      </c>
      <c r="B481" s="273" t="s">
        <v>6444</v>
      </c>
      <c r="C481" s="274" t="s">
        <v>6473</v>
      </c>
      <c r="D481" s="275" t="s">
        <v>6474</v>
      </c>
      <c r="E481" s="276" t="s">
        <v>5654</v>
      </c>
      <c r="F481" s="277" t="s">
        <v>5649</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770</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IFERROR(INDEX('Recommendations'!$H$2:$H$153, MATCH(H2,'Recommendations'!$A$2:$A$153,0))="Implemented", FALSE))</xm:f>
            <x14:dxf>
              <font>
                <color rgb="FF000000"/>
              </font>
              <fill>
                <patternFill>
                  <bgColor rgb="FF3C7D22"/>
                </patternFill>
              </fill>
            </x14:dxf>
          </x14:cfRule>
          <x14:cfRule type="expression" priority="2" id="{00000000-000E-0000-0B00-000002000000}">
            <xm:f>AND(H2&lt;&gt;"", IFERROR(INDEX('Recommendations'!$H$2:$H$153, MATCH(H2,'Recommendations'!$A$2:$A$153,0))="Compensated", FALSE))</xm:f>
            <x14:dxf>
              <font>
                <color rgb="FF000000"/>
              </font>
              <fill>
                <patternFill>
                  <bgColor rgb="FFC6E0B4"/>
                </patternFill>
              </fill>
            </x14:dxf>
          </x14:cfRule>
          <x14:cfRule type="expression" priority="3" id="{00000000-000E-0000-0B00-000003000000}">
            <xm:f>AND(H2&lt;&gt;"", IFERROR(INDEX('Recommendations'!$H$2:$H$153, MATCH(H2,'Recommendations'!$A$2:$A$153,0))="Testing", FALSE))</xm:f>
            <x14:dxf>
              <font>
                <color rgb="FF000000"/>
              </font>
              <fill>
                <patternFill>
                  <bgColor rgb="FFFFC000"/>
                </patternFill>
              </fill>
            </x14:dxf>
          </x14:cfRule>
          <x14:cfRule type="expression" priority="4" id="{00000000-000E-0000-0B00-000004000000}">
            <xm:f>AND(H2&lt;&gt;"", IFERROR(INDEX('Recommendations'!$H$2:$H$153, MATCH(H2,'Recommendations'!$A$2:$A$153,0))="Failed", FALSE))</xm:f>
            <x14:dxf>
              <font>
                <color rgb="FF000000"/>
              </font>
              <fill>
                <patternFill>
                  <bgColor rgb="FFD82891"/>
                </patternFill>
              </fill>
            </x14:dxf>
          </x14:cfRule>
          <x14:cfRule type="expression" priority="5" id="{00000000-000E-0000-0B00-000005000000}">
            <xm:f>AND(H2&lt;&gt;"", IFERROR(INDEX('Recommendations'!$H$2:$H$153, MATCH(H2,'Recommendations'!$A$2:$A$153,0))="Risk Accepted", FALSE))</xm:f>
            <x14:dxf>
              <font>
                <color rgb="FF000000"/>
              </font>
              <fill>
                <patternFill>
                  <bgColor rgb="FFD9D9D9"/>
                </patternFill>
              </fill>
            </x14:dxf>
          </x14:cfRule>
          <x14:cfRule type="expression" priority="6" id="{00000000-000E-0000-0B00-000006000000}">
            <xm:f>AND(H2&lt;&gt;"", IFERROR(INDEX('Recommendations'!$H$2:$H$153, MATCH(H2,'Recommendations'!$A$2:$A$153,0))="N/A",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854</v>
      </c>
      <c r="C2" s="293"/>
      <c r="D2" s="293"/>
      <c r="E2" s="293"/>
      <c r="F2" s="293"/>
      <c r="G2" s="293"/>
      <c r="H2" s="293"/>
      <c r="I2" s="293"/>
    </row>
    <row r="4" spans="2:15" ht="18.5" x14ac:dyDescent="0.45">
      <c r="B4" s="42" t="s">
        <v>855</v>
      </c>
    </row>
    <row r="5" spans="2:15" x14ac:dyDescent="0.35">
      <c r="B5" s="44" t="s">
        <v>21</v>
      </c>
      <c r="C5" s="44" t="s">
        <v>856</v>
      </c>
      <c r="D5" s="44" t="s">
        <v>857</v>
      </c>
      <c r="F5" s="294" t="s">
        <v>858</v>
      </c>
      <c r="G5" s="294"/>
      <c r="H5" s="294"/>
      <c r="I5" s="295" t="s">
        <v>859</v>
      </c>
      <c r="J5" s="295"/>
      <c r="K5" s="295"/>
      <c r="L5" s="295"/>
      <c r="M5" s="295"/>
      <c r="N5" s="295"/>
      <c r="O5" s="295"/>
    </row>
    <row r="6" spans="2:15" x14ac:dyDescent="0.35">
      <c r="B6" s="50" t="s">
        <v>860</v>
      </c>
      <c r="C6" s="51">
        <v>152</v>
      </c>
      <c r="D6" s="52" t="s">
        <v>21</v>
      </c>
      <c r="F6" s="294" t="s">
        <v>861</v>
      </c>
      <c r="G6" s="294"/>
      <c r="H6" s="294"/>
      <c r="I6" s="296" t="s">
        <v>862</v>
      </c>
      <c r="J6" s="296"/>
      <c r="K6" s="296"/>
      <c r="L6" s="296"/>
      <c r="M6" s="296"/>
      <c r="N6" s="296"/>
      <c r="O6" s="296"/>
    </row>
    <row r="7" spans="2:15" x14ac:dyDescent="0.35">
      <c r="B7" s="53" t="s">
        <v>863</v>
      </c>
      <c r="C7" s="54">
        <f>C6-C8-C9</f>
        <v>152</v>
      </c>
      <c r="D7" s="55">
        <f>IF(C6&gt;0,C7/C6,0)</f>
        <v>1</v>
      </c>
      <c r="F7" s="294" t="s">
        <v>864</v>
      </c>
      <c r="G7" s="294"/>
      <c r="H7" s="294"/>
      <c r="I7" s="296" t="s">
        <v>862</v>
      </c>
      <c r="J7" s="296"/>
      <c r="K7" s="296"/>
      <c r="L7" s="296"/>
      <c r="M7" s="296"/>
      <c r="N7" s="296"/>
      <c r="O7" s="296"/>
    </row>
    <row r="8" spans="2:15" x14ac:dyDescent="0.35">
      <c r="B8" s="46" t="s">
        <v>865</v>
      </c>
      <c r="C8" s="47">
        <f>COUNTIF('Recommendations'!H:H,"Risk Accepted")</f>
        <v>0</v>
      </c>
      <c r="D8" s="48">
        <f>IF(C6&gt;0,C8/C6,0)</f>
        <v>0</v>
      </c>
      <c r="F8" s="294" t="s">
        <v>866</v>
      </c>
      <c r="G8" s="294"/>
      <c r="H8" s="294"/>
      <c r="I8" s="296" t="s">
        <v>862</v>
      </c>
      <c r="J8" s="296"/>
      <c r="K8" s="296"/>
      <c r="L8" s="296"/>
      <c r="M8" s="296"/>
      <c r="N8" s="296"/>
      <c r="O8" s="296"/>
    </row>
    <row r="9" spans="2:15" x14ac:dyDescent="0.35">
      <c r="B9" s="46" t="s">
        <v>867</v>
      </c>
      <c r="C9" s="47">
        <f>COUNTIF('Recommendations'!H:H,"N/A")</f>
        <v>0</v>
      </c>
      <c r="D9" s="48">
        <f>IF(C6&gt;0,C9/C6,0)</f>
        <v>0</v>
      </c>
      <c r="F9" s="294" t="s">
        <v>868</v>
      </c>
      <c r="G9" s="294"/>
      <c r="H9" s="294"/>
      <c r="I9" s="296" t="s">
        <v>862</v>
      </c>
      <c r="J9" s="296"/>
      <c r="K9" s="296"/>
      <c r="L9" s="296"/>
      <c r="M9" s="296"/>
      <c r="N9" s="296"/>
      <c r="O9" s="296"/>
    </row>
    <row r="12" spans="2:15" ht="18.5" x14ac:dyDescent="0.45">
      <c r="B12" s="42" t="s">
        <v>869</v>
      </c>
    </row>
    <row r="14" spans="2:15" x14ac:dyDescent="0.35">
      <c r="B14" s="56" t="s">
        <v>870</v>
      </c>
    </row>
    <row r="15" spans="2:15" x14ac:dyDescent="0.35">
      <c r="B15" s="44" t="s">
        <v>21</v>
      </c>
      <c r="C15" s="44" t="s">
        <v>871</v>
      </c>
      <c r="D15" s="44" t="s">
        <v>872</v>
      </c>
      <c r="E15" s="44" t="s">
        <v>873</v>
      </c>
      <c r="F15" s="44" t="s">
        <v>874</v>
      </c>
    </row>
    <row r="16" spans="2:15" x14ac:dyDescent="0.35">
      <c r="B16" s="46" t="s">
        <v>875</v>
      </c>
      <c r="C16" s="47">
        <f>COUNTIF('Recommendations'!M:M,"Resolved")</f>
        <v>0</v>
      </c>
      <c r="D16" s="47">
        <f>COUNTIF('Recommendations'!M:M,"Testing")</f>
        <v>0</v>
      </c>
      <c r="E16" s="47">
        <f>COUNTIF('Recommendations'!M:M,"Outstanding")</f>
        <v>152</v>
      </c>
      <c r="F16" s="47">
        <f>SUM(C16:E16)</f>
        <v>152</v>
      </c>
    </row>
    <row r="18" spans="2:6" x14ac:dyDescent="0.35">
      <c r="B18" s="56" t="s">
        <v>876</v>
      </c>
    </row>
    <row r="19" spans="2:6" x14ac:dyDescent="0.35">
      <c r="B19" s="57" t="s">
        <v>21</v>
      </c>
      <c r="C19" s="57" t="s">
        <v>871</v>
      </c>
      <c r="D19" s="57" t="s">
        <v>872</v>
      </c>
      <c r="E19" s="57" t="s">
        <v>873</v>
      </c>
      <c r="F19" s="57" t="s">
        <v>21</v>
      </c>
    </row>
    <row r="20" spans="2:6" x14ac:dyDescent="0.35">
      <c r="B20" s="46" t="s">
        <v>875</v>
      </c>
      <c r="C20" s="48">
        <f>IF(F16&gt;0, C16/F16, 0)</f>
        <v>0</v>
      </c>
      <c r="D20" s="48">
        <f>IF(F16&gt;0, D16/F16, 0)</f>
        <v>0</v>
      </c>
      <c r="E20" s="48">
        <f>IF(F16&gt;0, E16/F16, 0)</f>
        <v>1</v>
      </c>
      <c r="F20" s="49" t="s">
        <v>21</v>
      </c>
    </row>
    <row r="25" spans="2:6" ht="18.5" x14ac:dyDescent="0.45">
      <c r="B25" s="42" t="s">
        <v>877</v>
      </c>
    </row>
    <row r="27" spans="2:6" x14ac:dyDescent="0.35">
      <c r="B27" s="56" t="s">
        <v>870</v>
      </c>
    </row>
    <row r="28" spans="2:6" x14ac:dyDescent="0.35">
      <c r="B28" s="44" t="s">
        <v>3</v>
      </c>
      <c r="C28" s="44" t="s">
        <v>871</v>
      </c>
      <c r="D28" s="44" t="s">
        <v>872</v>
      </c>
      <c r="E28" s="44" t="s">
        <v>873</v>
      </c>
      <c r="F28" s="44" t="s">
        <v>874</v>
      </c>
    </row>
    <row r="29" spans="2:6" x14ac:dyDescent="0.35">
      <c r="B29" s="46" t="s">
        <v>225</v>
      </c>
      <c r="C29" s="47">
        <f>COUNTIFS('Recommendations'!D:D,"L2S",'Recommendations'!M:M,"=Resolved")</f>
        <v>0</v>
      </c>
      <c r="D29" s="47">
        <f>COUNTIFS('Recommendations'!D:D,"=L2S",'Recommendations'!M:M,"=Testing")</f>
        <v>0</v>
      </c>
      <c r="E29" s="47">
        <f>COUNTIFS('Recommendations'!D:D,"=L2S",'Recommendations'!M:M,"=Outstanding")</f>
        <v>22</v>
      </c>
      <c r="F29" s="47">
        <f>SUM(C29:E29)</f>
        <v>22</v>
      </c>
    </row>
    <row r="30" spans="2:6" x14ac:dyDescent="0.35">
      <c r="B30" s="46" t="s">
        <v>17</v>
      </c>
      <c r="C30" s="47">
        <f>COUNTIFS('Recommendations'!D:D,"NDM",'Recommendations'!M:M,"=Resolved")</f>
        <v>0</v>
      </c>
      <c r="D30" s="47">
        <f>COUNTIFS('Recommendations'!D:D,"=NDM",'Recommendations'!M:M,"=Testing")</f>
        <v>0</v>
      </c>
      <c r="E30" s="47">
        <f>COUNTIFS('Recommendations'!D:D,"=NDM",'Recommendations'!M:M,"=Outstanding")</f>
        <v>42</v>
      </c>
      <c r="F30" s="47">
        <f>SUM(C30:E30)</f>
        <v>42</v>
      </c>
    </row>
    <row r="31" spans="2:6" x14ac:dyDescent="0.35">
      <c r="B31" s="46" t="s">
        <v>337</v>
      </c>
      <c r="C31" s="47">
        <f>COUNTIFS('Recommendations'!D:D,"RTR",'Recommendations'!M:M,"=Resolved")</f>
        <v>0</v>
      </c>
      <c r="D31" s="47">
        <f>COUNTIFS('Recommendations'!D:D,"=RTR",'Recommendations'!M:M,"=Testing")</f>
        <v>0</v>
      </c>
      <c r="E31" s="47">
        <f>COUNTIFS('Recommendations'!D:D,"=RTR",'Recommendations'!M:M,"=Outstanding")</f>
        <v>88</v>
      </c>
      <c r="F31" s="47">
        <f>SUM(C31:E31)</f>
        <v>88</v>
      </c>
    </row>
    <row r="33" spans="2:6" x14ac:dyDescent="0.35">
      <c r="B33" s="56" t="s">
        <v>876</v>
      </c>
    </row>
    <row r="34" spans="2:6" x14ac:dyDescent="0.35">
      <c r="B34" s="57" t="s">
        <v>3</v>
      </c>
      <c r="C34" s="57" t="s">
        <v>871</v>
      </c>
      <c r="D34" s="57" t="s">
        <v>872</v>
      </c>
      <c r="E34" s="57" t="s">
        <v>873</v>
      </c>
      <c r="F34" s="57" t="s">
        <v>21</v>
      </c>
    </row>
    <row r="35" spans="2:6" x14ac:dyDescent="0.35">
      <c r="B35" s="46" t="s">
        <v>225</v>
      </c>
      <c r="C35" s="48">
        <f>IF(F29&gt;0, C29/F29, 0)</f>
        <v>0</v>
      </c>
      <c r="D35" s="48">
        <f>IF(F29&gt;0, D29/F29, 0)</f>
        <v>0</v>
      </c>
      <c r="E35" s="48">
        <f>IF(F29&gt;0, E29/F29, 0)</f>
        <v>1</v>
      </c>
      <c r="F35" s="49" t="s">
        <v>21</v>
      </c>
    </row>
    <row r="36" spans="2:6" x14ac:dyDescent="0.35">
      <c r="B36" s="46" t="s">
        <v>17</v>
      </c>
      <c r="C36" s="48">
        <f>IF(F30&gt;0, C30/F30, 0)</f>
        <v>0</v>
      </c>
      <c r="D36" s="48">
        <f>IF(F30&gt;0, D30/F30, 0)</f>
        <v>0</v>
      </c>
      <c r="E36" s="48">
        <f>IF(F30&gt;0, E30/F30, 0)</f>
        <v>1</v>
      </c>
      <c r="F36" s="49" t="s">
        <v>21</v>
      </c>
    </row>
    <row r="37" spans="2:6" x14ac:dyDescent="0.35">
      <c r="B37" s="46" t="s">
        <v>337</v>
      </c>
      <c r="C37" s="48">
        <f>IF(F31&gt;0, C31/F31, 0)</f>
        <v>0</v>
      </c>
      <c r="D37" s="48">
        <f>IF(F31&gt;0, D31/F31, 0)</f>
        <v>0</v>
      </c>
      <c r="E37" s="48">
        <f>IF(F31&gt;0, E31/F31, 0)</f>
        <v>1</v>
      </c>
      <c r="F37" s="49" t="s">
        <v>21</v>
      </c>
    </row>
    <row r="42" spans="2:6" ht="18.5" x14ac:dyDescent="0.45">
      <c r="B42" s="42" t="s">
        <v>878</v>
      </c>
    </row>
    <row r="44" spans="2:6" x14ac:dyDescent="0.35">
      <c r="B44" s="56" t="s">
        <v>870</v>
      </c>
    </row>
    <row r="45" spans="2:6" x14ac:dyDescent="0.35">
      <c r="B45" s="44" t="s">
        <v>6</v>
      </c>
      <c r="C45" s="44" t="s">
        <v>871</v>
      </c>
      <c r="D45" s="44" t="s">
        <v>872</v>
      </c>
      <c r="E45" s="44" t="s">
        <v>873</v>
      </c>
      <c r="F45" s="44" t="s">
        <v>874</v>
      </c>
    </row>
    <row r="46" spans="2:6" x14ac:dyDescent="0.35">
      <c r="B46" s="46" t="s">
        <v>879</v>
      </c>
      <c r="C46" s="47">
        <f>COUNTIFS('Recommendations'!G:G,"Phase1",'Recommendations'!M:M,"=Resolved")</f>
        <v>0</v>
      </c>
      <c r="D46" s="47">
        <f>COUNTIFS('Recommendations'!G:G,"=Phase1",'Recommendations'!M:M,"=Testing")</f>
        <v>0</v>
      </c>
      <c r="E46" s="47">
        <f>COUNTIFS('Recommendations'!G:G,"=Phase1",'Recommendations'!M:M,"=Outstanding")</f>
        <v>0</v>
      </c>
      <c r="F46" s="47">
        <f t="shared" ref="F46:F51" si="0">SUM(C46:E46)</f>
        <v>0</v>
      </c>
    </row>
    <row r="47" spans="2:6" x14ac:dyDescent="0.35">
      <c r="B47" s="46" t="s">
        <v>880</v>
      </c>
      <c r="C47" s="47">
        <f>COUNTIFS('Recommendations'!G:G,"Phase2",'Recommendations'!M:M,"=Resolved")</f>
        <v>0</v>
      </c>
      <c r="D47" s="47">
        <f>COUNTIFS('Recommendations'!G:G,"=Phase2",'Recommendations'!M:M,"=Testing")</f>
        <v>0</v>
      </c>
      <c r="E47" s="47">
        <f>COUNTIFS('Recommendations'!G:G,"=Phase2",'Recommendations'!M:M,"=Outstanding")</f>
        <v>0</v>
      </c>
      <c r="F47" s="47">
        <f t="shared" si="0"/>
        <v>0</v>
      </c>
    </row>
    <row r="48" spans="2:6" x14ac:dyDescent="0.35">
      <c r="B48" s="46" t="s">
        <v>881</v>
      </c>
      <c r="C48" s="47">
        <f>COUNTIFS('Recommendations'!G:G,"Phase3",'Recommendations'!M:M,"=Resolved")</f>
        <v>0</v>
      </c>
      <c r="D48" s="47">
        <f>COUNTIFS('Recommendations'!G:G,"=Phase3",'Recommendations'!M:M,"=Testing")</f>
        <v>0</v>
      </c>
      <c r="E48" s="47">
        <f>COUNTIFS('Recommendations'!G:G,"=Phase3",'Recommendations'!M:M,"=Outstanding")</f>
        <v>0</v>
      </c>
      <c r="F48" s="47">
        <f t="shared" si="0"/>
        <v>0</v>
      </c>
    </row>
    <row r="49" spans="2:6" x14ac:dyDescent="0.35">
      <c r="B49" s="46" t="s">
        <v>882</v>
      </c>
      <c r="C49" s="47">
        <f>COUNTIFS('Recommendations'!G:G,"Phase4",'Recommendations'!M:M,"=Resolved")</f>
        <v>0</v>
      </c>
      <c r="D49" s="47">
        <f>COUNTIFS('Recommendations'!G:G,"=Phase4",'Recommendations'!M:M,"=Testing")</f>
        <v>0</v>
      </c>
      <c r="E49" s="47">
        <f>COUNTIFS('Recommendations'!G:G,"=Phase4",'Recommendations'!M:M,"=Outstanding")</f>
        <v>0</v>
      </c>
      <c r="F49" s="47">
        <f t="shared" si="0"/>
        <v>0</v>
      </c>
    </row>
    <row r="50" spans="2:6" x14ac:dyDescent="0.35">
      <c r="B50" s="46" t="s">
        <v>883</v>
      </c>
      <c r="C50" s="47">
        <f>COUNTIFS('Recommendations'!G:G,"Phase5",'Recommendations'!M:M,"=Resolved")</f>
        <v>0</v>
      </c>
      <c r="D50" s="47">
        <f>COUNTIFS('Recommendations'!G:G,"=Phase5",'Recommendations'!M:M,"=Testing")</f>
        <v>0</v>
      </c>
      <c r="E50" s="47">
        <f>COUNTIFS('Recommendations'!G:G,"=Phase5",'Recommendations'!M:M,"=Outstanding")</f>
        <v>0</v>
      </c>
      <c r="F50" s="47">
        <f t="shared" si="0"/>
        <v>0</v>
      </c>
    </row>
    <row r="51" spans="2:6" x14ac:dyDescent="0.35">
      <c r="B51" s="46" t="s">
        <v>20</v>
      </c>
      <c r="C51" s="47">
        <f>COUNTIFS('Recommendations'!G:G,"Pending",'Recommendations'!M:M,"=Resolved")</f>
        <v>0</v>
      </c>
      <c r="D51" s="47">
        <f>COUNTIFS('Recommendations'!G:G,"=Pending",'Recommendations'!M:M,"=Testing")</f>
        <v>0</v>
      </c>
      <c r="E51" s="47">
        <f>COUNTIFS('Recommendations'!G:G,"=Pending",'Recommendations'!M:M,"=Outstanding")</f>
        <v>152</v>
      </c>
      <c r="F51" s="47">
        <f t="shared" si="0"/>
        <v>152</v>
      </c>
    </row>
    <row r="53" spans="2:6" x14ac:dyDescent="0.35">
      <c r="B53" s="56" t="s">
        <v>876</v>
      </c>
    </row>
    <row r="54" spans="2:6" x14ac:dyDescent="0.35">
      <c r="B54" s="57" t="s">
        <v>6</v>
      </c>
      <c r="C54" s="57" t="s">
        <v>871</v>
      </c>
      <c r="D54" s="57" t="s">
        <v>872</v>
      </c>
      <c r="E54" s="57" t="s">
        <v>873</v>
      </c>
      <c r="F54" s="57" t="s">
        <v>21</v>
      </c>
    </row>
    <row r="55" spans="2:6" x14ac:dyDescent="0.35">
      <c r="B55" s="46" t="s">
        <v>879</v>
      </c>
      <c r="C55" s="48">
        <f t="shared" ref="C55:C60" si="1">IF(F46&gt;0, C46/F46, 0)</f>
        <v>0</v>
      </c>
      <c r="D55" s="48">
        <f t="shared" ref="D55:D60" si="2">IF(F46&gt;0, D46/F46, 0)</f>
        <v>0</v>
      </c>
      <c r="E55" s="48">
        <f t="shared" ref="E55:E60" si="3">IF(F46&gt;0, E46/F46, 0)</f>
        <v>0</v>
      </c>
      <c r="F55" s="49" t="s">
        <v>21</v>
      </c>
    </row>
    <row r="56" spans="2:6" x14ac:dyDescent="0.35">
      <c r="B56" s="46" t="s">
        <v>880</v>
      </c>
      <c r="C56" s="48">
        <f t="shared" si="1"/>
        <v>0</v>
      </c>
      <c r="D56" s="48">
        <f t="shared" si="2"/>
        <v>0</v>
      </c>
      <c r="E56" s="48">
        <f t="shared" si="3"/>
        <v>0</v>
      </c>
      <c r="F56" s="49" t="s">
        <v>21</v>
      </c>
    </row>
    <row r="57" spans="2:6" x14ac:dyDescent="0.35">
      <c r="B57" s="46" t="s">
        <v>881</v>
      </c>
      <c r="C57" s="48">
        <f t="shared" si="1"/>
        <v>0</v>
      </c>
      <c r="D57" s="48">
        <f t="shared" si="2"/>
        <v>0</v>
      </c>
      <c r="E57" s="48">
        <f t="shared" si="3"/>
        <v>0</v>
      </c>
      <c r="F57" s="49" t="s">
        <v>21</v>
      </c>
    </row>
    <row r="58" spans="2:6" x14ac:dyDescent="0.35">
      <c r="B58" s="46" t="s">
        <v>882</v>
      </c>
      <c r="C58" s="48">
        <f t="shared" si="1"/>
        <v>0</v>
      </c>
      <c r="D58" s="48">
        <f t="shared" si="2"/>
        <v>0</v>
      </c>
      <c r="E58" s="48">
        <f t="shared" si="3"/>
        <v>0</v>
      </c>
      <c r="F58" s="49" t="s">
        <v>21</v>
      </c>
    </row>
    <row r="59" spans="2:6" x14ac:dyDescent="0.35">
      <c r="B59" s="46" t="s">
        <v>883</v>
      </c>
      <c r="C59" s="48">
        <f t="shared" si="1"/>
        <v>0</v>
      </c>
      <c r="D59" s="48">
        <f t="shared" si="2"/>
        <v>0</v>
      </c>
      <c r="E59" s="48">
        <f t="shared" si="3"/>
        <v>0</v>
      </c>
      <c r="F59" s="49" t="s">
        <v>21</v>
      </c>
    </row>
    <row r="60" spans="2:6" x14ac:dyDescent="0.35">
      <c r="B60" s="46" t="s">
        <v>20</v>
      </c>
      <c r="C60" s="48">
        <f t="shared" si="1"/>
        <v>0</v>
      </c>
      <c r="D60" s="48">
        <f t="shared" si="2"/>
        <v>0</v>
      </c>
      <c r="E60" s="48">
        <f t="shared" si="3"/>
        <v>1</v>
      </c>
      <c r="F60" s="49" t="s">
        <v>21</v>
      </c>
    </row>
    <row r="65" spans="2:6" ht="18.5" x14ac:dyDescent="0.45">
      <c r="B65" s="42" t="s">
        <v>884</v>
      </c>
    </row>
    <row r="67" spans="2:6" x14ac:dyDescent="0.35">
      <c r="B67" s="56" t="s">
        <v>870</v>
      </c>
    </row>
    <row r="68" spans="2:6" x14ac:dyDescent="0.35">
      <c r="B68" s="44" t="s">
        <v>2</v>
      </c>
      <c r="C68" s="44" t="s">
        <v>871</v>
      </c>
      <c r="D68" s="44" t="s">
        <v>872</v>
      </c>
      <c r="E68" s="44" t="s">
        <v>873</v>
      </c>
      <c r="F68" s="44" t="s">
        <v>874</v>
      </c>
    </row>
    <row r="69" spans="2:6" x14ac:dyDescent="0.35">
      <c r="B69" s="46" t="s">
        <v>93</v>
      </c>
      <c r="C69" s="47">
        <f>COUNTIFS('Recommendations'!C:C,"CAT I (High)",'Recommendations'!M:M,"=Resolved")</f>
        <v>0</v>
      </c>
      <c r="D69" s="47">
        <f>COUNTIFS('Recommendations'!C:C,"=CAT I (High)",'Recommendations'!M:M,"=Testing")</f>
        <v>0</v>
      </c>
      <c r="E69" s="47">
        <f>COUNTIFS('Recommendations'!C:C,"=CAT I (High)",'Recommendations'!M:M,"=Outstanding")</f>
        <v>17</v>
      </c>
      <c r="F69" s="47">
        <f>SUM(C69:E69)</f>
        <v>17</v>
      </c>
    </row>
    <row r="70" spans="2:6" x14ac:dyDescent="0.35">
      <c r="B70" s="46" t="s">
        <v>16</v>
      </c>
      <c r="C70" s="47">
        <f>COUNTIFS('Recommendations'!C:C,"CAT II (Medium)",'Recommendations'!M:M,"=Resolved")</f>
        <v>0</v>
      </c>
      <c r="D70" s="47">
        <f>COUNTIFS('Recommendations'!C:C,"=CAT II (Medium)",'Recommendations'!M:M,"=Testing")</f>
        <v>0</v>
      </c>
      <c r="E70" s="47">
        <f>COUNTIFS('Recommendations'!C:C,"=CAT II (Medium)",'Recommendations'!M:M,"=Outstanding")</f>
        <v>103</v>
      </c>
      <c r="F70" s="47">
        <f>SUM(C70:E70)</f>
        <v>103</v>
      </c>
    </row>
    <row r="71" spans="2:6" x14ac:dyDescent="0.35">
      <c r="B71" s="46" t="s">
        <v>241</v>
      </c>
      <c r="C71" s="47">
        <f>COUNTIFS('Recommendations'!C:C,"CAT III (Low)",'Recommendations'!M:M,"=Resolved")</f>
        <v>0</v>
      </c>
      <c r="D71" s="47">
        <f>COUNTIFS('Recommendations'!C:C,"=CAT III (Low)",'Recommendations'!M:M,"=Testing")</f>
        <v>0</v>
      </c>
      <c r="E71" s="47">
        <f>COUNTIFS('Recommendations'!C:C,"=CAT III (Low)",'Recommendations'!M:M,"=Outstanding")</f>
        <v>32</v>
      </c>
      <c r="F71" s="47">
        <f>SUM(C71:E71)</f>
        <v>32</v>
      </c>
    </row>
    <row r="73" spans="2:6" x14ac:dyDescent="0.35">
      <c r="B73" s="56" t="s">
        <v>876</v>
      </c>
    </row>
    <row r="74" spans="2:6" x14ac:dyDescent="0.35">
      <c r="B74" s="57" t="s">
        <v>2</v>
      </c>
      <c r="C74" s="57" t="s">
        <v>871</v>
      </c>
      <c r="D74" s="57" t="s">
        <v>872</v>
      </c>
      <c r="E74" s="57" t="s">
        <v>873</v>
      </c>
      <c r="F74" s="57" t="s">
        <v>21</v>
      </c>
    </row>
    <row r="75" spans="2:6" x14ac:dyDescent="0.35">
      <c r="B75" s="46" t="s">
        <v>93</v>
      </c>
      <c r="C75" s="48">
        <f>IF(F69&gt;0, C69/F69, 0)</f>
        <v>0</v>
      </c>
      <c r="D75" s="48">
        <f>IF(F69&gt;0, D69/F69, 0)</f>
        <v>0</v>
      </c>
      <c r="E75" s="48">
        <f>IF(F69&gt;0, E69/F69, 0)</f>
        <v>1</v>
      </c>
      <c r="F75" s="49" t="s">
        <v>21</v>
      </c>
    </row>
    <row r="76" spans="2:6" x14ac:dyDescent="0.35">
      <c r="B76" s="46" t="s">
        <v>16</v>
      </c>
      <c r="C76" s="48">
        <f>IF(F70&gt;0, C70/F70, 0)</f>
        <v>0</v>
      </c>
      <c r="D76" s="48">
        <f>IF(F70&gt;0, D70/F70, 0)</f>
        <v>0</v>
      </c>
      <c r="E76" s="48">
        <f>IF(F70&gt;0, E70/F70, 0)</f>
        <v>1</v>
      </c>
      <c r="F76" s="49" t="s">
        <v>21</v>
      </c>
    </row>
    <row r="77" spans="2:6" x14ac:dyDescent="0.35">
      <c r="B77" s="46" t="s">
        <v>241</v>
      </c>
      <c r="C77" s="48">
        <f>IF(F71&gt;0, C71/F71, 0)</f>
        <v>0</v>
      </c>
      <c r="D77" s="48">
        <f>IF(F71&gt;0, D71/F71, 0)</f>
        <v>0</v>
      </c>
      <c r="E77" s="48">
        <f>IF(F71&gt;0, E71/F71, 0)</f>
        <v>1</v>
      </c>
      <c r="F77" s="49" t="s">
        <v>21</v>
      </c>
    </row>
    <row r="82" spans="2:6" ht="18.5" x14ac:dyDescent="0.45">
      <c r="B82" s="42" t="s">
        <v>885</v>
      </c>
    </row>
    <row r="84" spans="2:6" x14ac:dyDescent="0.35">
      <c r="B84" s="56" t="s">
        <v>870</v>
      </c>
    </row>
    <row r="85" spans="2:6" x14ac:dyDescent="0.35">
      <c r="B85" s="44" t="s">
        <v>4</v>
      </c>
      <c r="C85" s="44" t="s">
        <v>871</v>
      </c>
      <c r="D85" s="44" t="s">
        <v>872</v>
      </c>
      <c r="E85" s="44" t="s">
        <v>873</v>
      </c>
      <c r="F85" s="44" t="s">
        <v>874</v>
      </c>
    </row>
    <row r="86" spans="2:6" x14ac:dyDescent="0.35">
      <c r="B86" s="46" t="s">
        <v>886</v>
      </c>
      <c r="C86" s="47">
        <f>COUNTIFS('Recommendations'!E:E,"Must",'Recommendations'!M:M,"=Resolved")</f>
        <v>0</v>
      </c>
      <c r="D86" s="47">
        <f>COUNTIFS('Recommendations'!E:E,"=Must",'Recommendations'!M:M,"=Testing")</f>
        <v>0</v>
      </c>
      <c r="E86" s="47">
        <f>COUNTIFS('Recommendations'!E:E,"=Must",'Recommendations'!M:M,"=Outstanding")</f>
        <v>0</v>
      </c>
      <c r="F86" s="47">
        <f>SUM(C86:E86)</f>
        <v>0</v>
      </c>
    </row>
    <row r="87" spans="2:6" x14ac:dyDescent="0.35">
      <c r="B87" s="46" t="s">
        <v>887</v>
      </c>
      <c r="C87" s="47">
        <f>COUNTIFS('Recommendations'!E:E,"Should",'Recommendations'!M:M,"=Resolved")</f>
        <v>0</v>
      </c>
      <c r="D87" s="47">
        <f>COUNTIFS('Recommendations'!E:E,"=Should",'Recommendations'!M:M,"=Testing")</f>
        <v>0</v>
      </c>
      <c r="E87" s="47">
        <f>COUNTIFS('Recommendations'!E:E,"=Should",'Recommendations'!M:M,"=Outstanding")</f>
        <v>0</v>
      </c>
      <c r="F87" s="47">
        <f>SUM(C87:E87)</f>
        <v>0</v>
      </c>
    </row>
    <row r="88" spans="2:6" x14ac:dyDescent="0.35">
      <c r="B88" s="46" t="s">
        <v>888</v>
      </c>
      <c r="C88" s="47">
        <f>COUNTIFS('Recommendations'!E:E,"Could",'Recommendations'!M:M,"=Resolved")</f>
        <v>0</v>
      </c>
      <c r="D88" s="47">
        <f>COUNTIFS('Recommendations'!E:E,"=Could",'Recommendations'!M:M,"=Testing")</f>
        <v>0</v>
      </c>
      <c r="E88" s="47">
        <f>COUNTIFS('Recommendations'!E:E,"=Could",'Recommendations'!M:M,"=Outstanding")</f>
        <v>0</v>
      </c>
      <c r="F88" s="47">
        <f>SUM(C88:E88)</f>
        <v>0</v>
      </c>
    </row>
    <row r="89" spans="2:6" x14ac:dyDescent="0.35">
      <c r="B89" s="46" t="s">
        <v>889</v>
      </c>
      <c r="C89" s="47">
        <f>COUNTIFS('Recommendations'!E:E,"Won't",'Recommendations'!M:M,"=Resolved")</f>
        <v>0</v>
      </c>
      <c r="D89" s="47">
        <f>COUNTIFS('Recommendations'!E:E,"=Won't",'Recommendations'!M:M,"=Testing")</f>
        <v>0</v>
      </c>
      <c r="E89" s="47">
        <f>COUNTIFS('Recommendations'!E:E,"=Won't",'Recommendations'!M:M,"=Outstanding")</f>
        <v>0</v>
      </c>
      <c r="F89" s="47">
        <f>SUM(C89:E89)</f>
        <v>0</v>
      </c>
    </row>
    <row r="90" spans="2:6" x14ac:dyDescent="0.35">
      <c r="B90" s="46" t="s">
        <v>18</v>
      </c>
      <c r="C90" s="47">
        <f>COUNTIFS('Recommendations'!E:E,"Unassigned",'Recommendations'!M:M,"=Resolved")</f>
        <v>0</v>
      </c>
      <c r="D90" s="47">
        <f>COUNTIFS('Recommendations'!E:E,"=Unassigned",'Recommendations'!M:M,"=Testing")</f>
        <v>0</v>
      </c>
      <c r="E90" s="47">
        <f>COUNTIFS('Recommendations'!E:E,"=Unassigned",'Recommendations'!M:M,"=Outstanding")</f>
        <v>152</v>
      </c>
      <c r="F90" s="47">
        <f>SUM(C90:E90)</f>
        <v>152</v>
      </c>
    </row>
    <row r="92" spans="2:6" x14ac:dyDescent="0.35">
      <c r="B92" s="56" t="s">
        <v>876</v>
      </c>
    </row>
    <row r="93" spans="2:6" x14ac:dyDescent="0.35">
      <c r="B93" s="57" t="s">
        <v>4</v>
      </c>
      <c r="C93" s="57" t="s">
        <v>871</v>
      </c>
      <c r="D93" s="57" t="s">
        <v>872</v>
      </c>
      <c r="E93" s="57" t="s">
        <v>873</v>
      </c>
      <c r="F93" s="57" t="s">
        <v>21</v>
      </c>
    </row>
    <row r="94" spans="2:6" x14ac:dyDescent="0.35">
      <c r="B94" s="46" t="s">
        <v>886</v>
      </c>
      <c r="C94" s="48">
        <f>IF(F86&gt;0, C86/F86, 0)</f>
        <v>0</v>
      </c>
      <c r="D94" s="48">
        <f>IF(F86&gt;0, D86/F86, 0)</f>
        <v>0</v>
      </c>
      <c r="E94" s="48">
        <f>IF(F86&gt;0, E86/F86, 0)</f>
        <v>0</v>
      </c>
      <c r="F94" s="49" t="s">
        <v>21</v>
      </c>
    </row>
    <row r="95" spans="2:6" x14ac:dyDescent="0.35">
      <c r="B95" s="46" t="s">
        <v>887</v>
      </c>
      <c r="C95" s="48">
        <f>IF(F87&gt;0, C87/F87, 0)</f>
        <v>0</v>
      </c>
      <c r="D95" s="48">
        <f>IF(F87&gt;0, D87/F87, 0)</f>
        <v>0</v>
      </c>
      <c r="E95" s="48">
        <f>IF(F87&gt;0, E87/F87, 0)</f>
        <v>0</v>
      </c>
      <c r="F95" s="49" t="s">
        <v>21</v>
      </c>
    </row>
    <row r="96" spans="2:6" x14ac:dyDescent="0.35">
      <c r="B96" s="46" t="s">
        <v>888</v>
      </c>
      <c r="C96" s="48">
        <f>IF(F88&gt;0, C88/F88, 0)</f>
        <v>0</v>
      </c>
      <c r="D96" s="48">
        <f>IF(F88&gt;0, D88/F88, 0)</f>
        <v>0</v>
      </c>
      <c r="E96" s="48">
        <f>IF(F88&gt;0, E88/F88, 0)</f>
        <v>0</v>
      </c>
      <c r="F96" s="49" t="s">
        <v>21</v>
      </c>
    </row>
    <row r="97" spans="2:6" x14ac:dyDescent="0.35">
      <c r="B97" s="46" t="s">
        <v>889</v>
      </c>
      <c r="C97" s="48">
        <f>IF(F89&gt;0, C89/F89, 0)</f>
        <v>0</v>
      </c>
      <c r="D97" s="48">
        <f>IF(F89&gt;0, D89/F89, 0)</f>
        <v>0</v>
      </c>
      <c r="E97" s="48">
        <f>IF(F89&gt;0, E89/F89, 0)</f>
        <v>0</v>
      </c>
      <c r="F97" s="49" t="s">
        <v>21</v>
      </c>
    </row>
    <row r="98" spans="2:6" x14ac:dyDescent="0.35">
      <c r="B98" s="46" t="s">
        <v>18</v>
      </c>
      <c r="C98" s="48">
        <f>IF(F90&gt;0, C90/F90, 0)</f>
        <v>0</v>
      </c>
      <c r="D98" s="48">
        <f>IF(F90&gt;0, D90/F90, 0)</f>
        <v>0</v>
      </c>
      <c r="E98" s="48">
        <f>IF(F90&gt;0, E90/F90, 0)</f>
        <v>1</v>
      </c>
      <c r="F98" s="49" t="s">
        <v>21</v>
      </c>
    </row>
    <row r="103" spans="2:6" ht="18.5" x14ac:dyDescent="0.45">
      <c r="B103" s="42" t="s">
        <v>890</v>
      </c>
    </row>
    <row r="105" spans="2:6" x14ac:dyDescent="0.35">
      <c r="B105" s="56" t="s">
        <v>870</v>
      </c>
    </row>
    <row r="106" spans="2:6" x14ac:dyDescent="0.35">
      <c r="B106" s="44" t="s">
        <v>891</v>
      </c>
      <c r="C106" s="44" t="s">
        <v>871</v>
      </c>
      <c r="D106" s="44" t="s">
        <v>872</v>
      </c>
      <c r="E106" s="44" t="s">
        <v>873</v>
      </c>
      <c r="F106" s="44" t="s">
        <v>874</v>
      </c>
    </row>
    <row r="107" spans="2:6" x14ac:dyDescent="0.35">
      <c r="B107" s="46" t="s">
        <v>892</v>
      </c>
      <c r="C107" s="47">
        <f>COUNTIFS('Recommendations'!F:F,"Low",'Recommendations'!M:M,"=Resolved")</f>
        <v>0</v>
      </c>
      <c r="D107" s="47">
        <f>COUNTIFS('Recommendations'!F:F,"=Low",'Recommendations'!M:M,"=Testing")</f>
        <v>0</v>
      </c>
      <c r="E107" s="47">
        <f>COUNTIFS('Recommendations'!F:F,"=Low",'Recommendations'!M:M,"=Outstanding")</f>
        <v>0</v>
      </c>
      <c r="F107" s="47">
        <f>SUM(C107:E107)</f>
        <v>0</v>
      </c>
    </row>
    <row r="108" spans="2:6" x14ac:dyDescent="0.35">
      <c r="B108" s="46" t="s">
        <v>893</v>
      </c>
      <c r="C108" s="47">
        <f>COUNTIFS('Recommendations'!F:F,"Medium",'Recommendations'!M:M,"=Resolved")</f>
        <v>0</v>
      </c>
      <c r="D108" s="47">
        <f>COUNTIFS('Recommendations'!F:F,"=Medium",'Recommendations'!M:M,"=Testing")</f>
        <v>0</v>
      </c>
      <c r="E108" s="47">
        <f>COUNTIFS('Recommendations'!F:F,"=Medium",'Recommendations'!M:M,"=Outstanding")</f>
        <v>0</v>
      </c>
      <c r="F108" s="47">
        <f>SUM(C108:E108)</f>
        <v>0</v>
      </c>
    </row>
    <row r="109" spans="2:6" x14ac:dyDescent="0.35">
      <c r="B109" s="46" t="s">
        <v>894</v>
      </c>
      <c r="C109" s="47">
        <f>COUNTIFS('Recommendations'!F:F,"High",'Recommendations'!M:M,"=Resolved")</f>
        <v>0</v>
      </c>
      <c r="D109" s="47">
        <f>COUNTIFS('Recommendations'!F:F,"=High",'Recommendations'!M:M,"=Testing")</f>
        <v>0</v>
      </c>
      <c r="E109" s="47">
        <f>COUNTIFS('Recommendations'!F:F,"=High",'Recommendations'!M:M,"=Outstanding")</f>
        <v>0</v>
      </c>
      <c r="F109" s="47">
        <f>SUM(C109:E109)</f>
        <v>0</v>
      </c>
    </row>
    <row r="110" spans="2:6" x14ac:dyDescent="0.35">
      <c r="B110" s="46" t="s">
        <v>19</v>
      </c>
      <c r="C110" s="47">
        <f>COUNTIFS('Recommendations'!F:F,"Unassessed",'Recommendations'!M:M,"=Resolved")</f>
        <v>0</v>
      </c>
      <c r="D110" s="47">
        <f>COUNTIFS('Recommendations'!F:F,"=Unassessed",'Recommendations'!M:M,"=Testing")</f>
        <v>0</v>
      </c>
      <c r="E110" s="47">
        <f>COUNTIFS('Recommendations'!F:F,"=Unassessed",'Recommendations'!M:M,"=Outstanding")</f>
        <v>152</v>
      </c>
      <c r="F110" s="47">
        <f>SUM(C110:E110)</f>
        <v>152</v>
      </c>
    </row>
    <row r="112" spans="2:6" x14ac:dyDescent="0.35">
      <c r="B112" s="56" t="s">
        <v>876</v>
      </c>
    </row>
    <row r="113" spans="2:15" x14ac:dyDescent="0.35">
      <c r="B113" s="57" t="s">
        <v>891</v>
      </c>
      <c r="C113" s="57" t="s">
        <v>871</v>
      </c>
      <c r="D113" s="57" t="s">
        <v>872</v>
      </c>
      <c r="E113" s="57" t="s">
        <v>873</v>
      </c>
      <c r="F113" s="57" t="s">
        <v>21</v>
      </c>
    </row>
    <row r="114" spans="2:15" x14ac:dyDescent="0.35">
      <c r="B114" s="46" t="s">
        <v>892</v>
      </c>
      <c r="C114" s="48">
        <f>IF(F107&gt;0, C107/F107, 0)</f>
        <v>0</v>
      </c>
      <c r="D114" s="48">
        <f>IF(F107&gt;0, D107/F107, 0)</f>
        <v>0</v>
      </c>
      <c r="E114" s="48">
        <f>IF(F107&gt;0, E107/F107, 0)</f>
        <v>0</v>
      </c>
      <c r="F114" s="49" t="s">
        <v>21</v>
      </c>
    </row>
    <row r="115" spans="2:15" x14ac:dyDescent="0.35">
      <c r="B115" s="46" t="s">
        <v>893</v>
      </c>
      <c r="C115" s="48">
        <f>IF(F108&gt;0, C108/F108, 0)</f>
        <v>0</v>
      </c>
      <c r="D115" s="48">
        <f>IF(F108&gt;0, D108/F108, 0)</f>
        <v>0</v>
      </c>
      <c r="E115" s="48">
        <f>IF(F108&gt;0, E108/F108, 0)</f>
        <v>0</v>
      </c>
      <c r="F115" s="49" t="s">
        <v>21</v>
      </c>
    </row>
    <row r="116" spans="2:15" x14ac:dyDescent="0.35">
      <c r="B116" s="46" t="s">
        <v>894</v>
      </c>
      <c r="C116" s="48">
        <f>IF(F109&gt;0, C109/F109, 0)</f>
        <v>0</v>
      </c>
      <c r="D116" s="48">
        <f>IF(F109&gt;0, D109/F109, 0)</f>
        <v>0</v>
      </c>
      <c r="E116" s="48">
        <f>IF(F109&gt;0, E109/F109, 0)</f>
        <v>0</v>
      </c>
      <c r="F116" s="49" t="s">
        <v>21</v>
      </c>
    </row>
    <row r="117" spans="2:15" x14ac:dyDescent="0.35">
      <c r="B117" s="46" t="s">
        <v>19</v>
      </c>
      <c r="C117" s="48">
        <f>IF(F110&gt;0, C110/F110, 0)</f>
        <v>0</v>
      </c>
      <c r="D117" s="48">
        <f>IF(F110&gt;0, D110/F110, 0)</f>
        <v>0</v>
      </c>
      <c r="E117" s="48">
        <f>IF(F110&gt;0, E110/F110, 0)</f>
        <v>1</v>
      </c>
      <c r="F117" s="49" t="s">
        <v>21</v>
      </c>
    </row>
    <row r="122" spans="2:15" ht="18.5" x14ac:dyDescent="0.45">
      <c r="B122" s="42" t="s">
        <v>895</v>
      </c>
      <c r="J122" s="42" t="s">
        <v>896</v>
      </c>
    </row>
    <row r="123" spans="2:15" x14ac:dyDescent="0.35">
      <c r="B123" s="44" t="s">
        <v>6</v>
      </c>
      <c r="C123" s="297" t="s">
        <v>897</v>
      </c>
      <c r="D123" s="297"/>
      <c r="E123" s="44" t="s">
        <v>863</v>
      </c>
      <c r="F123" s="44" t="s">
        <v>871</v>
      </c>
      <c r="G123" s="297" t="s">
        <v>898</v>
      </c>
      <c r="H123" s="297"/>
      <c r="J123" s="44" t="s">
        <v>6</v>
      </c>
      <c r="K123" s="44" t="s">
        <v>886</v>
      </c>
      <c r="L123" s="44" t="s">
        <v>887</v>
      </c>
      <c r="M123" s="44" t="s">
        <v>888</v>
      </c>
      <c r="N123" s="44" t="s">
        <v>889</v>
      </c>
      <c r="O123" s="44" t="s">
        <v>18</v>
      </c>
    </row>
    <row r="124" spans="2:15" x14ac:dyDescent="0.35">
      <c r="B124" s="50" t="s">
        <v>879</v>
      </c>
      <c r="C124" s="298" t="s">
        <v>21</v>
      </c>
      <c r="D124" s="298"/>
      <c r="E124" s="47">
        <f>COUNTIF('Recommendations'!G:G,"Phase1")-COUNTIFS('Recommendations'!G:G,"Phase1",'Recommendations'!H:H,"Risk Accepted")-COUNTIFS('Recommendations'!G:G,"Phase1",'Recommendations'!H:H,"N/A")</f>
        <v>0</v>
      </c>
      <c r="F124" s="47">
        <f>COUNTIFS('Recommendations'!G:G,"Phase1",'Recommendations'!M:M,"Resolved")</f>
        <v>0</v>
      </c>
      <c r="G124" s="299">
        <f t="shared" ref="G124:G129" si="4">IF(E124&gt;0,F124/E124,0)</f>
        <v>0</v>
      </c>
      <c r="H124" s="299"/>
      <c r="J124" s="50" t="s">
        <v>879</v>
      </c>
      <c r="K124" s="47">
        <f>COUNTIFS('Recommendations'!G:G,"Phase1",'Recommendations'!E:E,"Must")</f>
        <v>0</v>
      </c>
      <c r="L124" s="47">
        <f>COUNTIFS('Recommendations'!G:G,"Phase1",'Recommendations'!E:E,"Should")</f>
        <v>0</v>
      </c>
      <c r="M124" s="47">
        <f>COUNTIFS('Recommendations'!G:G,"Phase1",'Recommendations'!E:E,"Could")</f>
        <v>0</v>
      </c>
      <c r="N124" s="47">
        <f>COUNTIFS('Recommendations'!G:G,"Phase1",'Recommendations'!E:E,"Won't")</f>
        <v>0</v>
      </c>
      <c r="O124" s="47">
        <f>COUNTIFS('Recommendations'!G:G,"Phase1",'Recommendations'!E:E,"Unassigned")</f>
        <v>0</v>
      </c>
    </row>
    <row r="125" spans="2:15" x14ac:dyDescent="0.35">
      <c r="B125" s="50" t="s">
        <v>880</v>
      </c>
      <c r="C125" s="298" t="s">
        <v>21</v>
      </c>
      <c r="D125" s="298"/>
      <c r="E125" s="47">
        <f>COUNTIF('Recommendations'!G:G,"Phase2")-COUNTIFS('Recommendations'!G:G,"Phase2",'Recommendations'!H:H,"Risk Accepted")-COUNTIFS('Recommendations'!G:G,"Phase2",'Recommendations'!H:H,"N/A")</f>
        <v>0</v>
      </c>
      <c r="F125" s="47">
        <f>COUNTIFS('Recommendations'!G:G,"Phase2",'Recommendations'!M:M,"Resolved")</f>
        <v>0</v>
      </c>
      <c r="G125" s="299">
        <f t="shared" si="4"/>
        <v>0</v>
      </c>
      <c r="H125" s="299"/>
      <c r="J125" s="50" t="s">
        <v>880</v>
      </c>
      <c r="K125" s="47">
        <f>COUNTIFS('Recommendations'!G:G,"Phase2",'Recommendations'!E:E,"Must")</f>
        <v>0</v>
      </c>
      <c r="L125" s="47">
        <f>COUNTIFS('Recommendations'!G:G,"Phase2",'Recommendations'!E:E,"Should")</f>
        <v>0</v>
      </c>
      <c r="M125" s="47">
        <f>COUNTIFS('Recommendations'!G:G,"Phase2",'Recommendations'!E:E,"Could")</f>
        <v>0</v>
      </c>
      <c r="N125" s="47">
        <f>COUNTIFS('Recommendations'!G:G,"Phase2",'Recommendations'!E:E,"Won't")</f>
        <v>0</v>
      </c>
      <c r="O125" s="47">
        <f>COUNTIFS('Recommendations'!G:G,"Phase2",'Recommendations'!E:E,"Unassigned")</f>
        <v>0</v>
      </c>
    </row>
    <row r="126" spans="2:15" x14ac:dyDescent="0.35">
      <c r="B126" s="50" t="s">
        <v>881</v>
      </c>
      <c r="C126" s="298" t="s">
        <v>21</v>
      </c>
      <c r="D126" s="298"/>
      <c r="E126" s="47">
        <f>COUNTIF('Recommendations'!G:G,"Phase3")-COUNTIFS('Recommendations'!G:G,"Phase3",'Recommendations'!H:H,"Risk Accepted")-COUNTIFS('Recommendations'!G:G,"Phase3",'Recommendations'!H:H,"N/A")</f>
        <v>0</v>
      </c>
      <c r="F126" s="47">
        <f>COUNTIFS('Recommendations'!G:G,"Phase3",'Recommendations'!M:M,"Resolved")</f>
        <v>0</v>
      </c>
      <c r="G126" s="299">
        <f t="shared" si="4"/>
        <v>0</v>
      </c>
      <c r="H126" s="299"/>
      <c r="J126" s="50" t="s">
        <v>881</v>
      </c>
      <c r="K126" s="47">
        <f>COUNTIFS('Recommendations'!G:G,"Phase3",'Recommendations'!E:E,"Must")</f>
        <v>0</v>
      </c>
      <c r="L126" s="47">
        <f>COUNTIFS('Recommendations'!G:G,"Phase3",'Recommendations'!E:E,"Should")</f>
        <v>0</v>
      </c>
      <c r="M126" s="47">
        <f>COUNTIFS('Recommendations'!G:G,"Phase3",'Recommendations'!E:E,"Could")</f>
        <v>0</v>
      </c>
      <c r="N126" s="47">
        <f>COUNTIFS('Recommendations'!G:G,"Phase3",'Recommendations'!E:E,"Won't")</f>
        <v>0</v>
      </c>
      <c r="O126" s="47">
        <f>COUNTIFS('Recommendations'!G:G,"Phase3",'Recommendations'!E:E,"Unassigned")</f>
        <v>0</v>
      </c>
    </row>
    <row r="127" spans="2:15" x14ac:dyDescent="0.35">
      <c r="B127" s="50" t="s">
        <v>882</v>
      </c>
      <c r="C127" s="298" t="s">
        <v>21</v>
      </c>
      <c r="D127" s="298"/>
      <c r="E127" s="47">
        <f>COUNTIF('Recommendations'!G:G,"Phase4")-COUNTIFS('Recommendations'!G:G,"Phase4",'Recommendations'!H:H,"Risk Accepted")-COUNTIFS('Recommendations'!G:G,"Phase4",'Recommendations'!H:H,"N/A")</f>
        <v>0</v>
      </c>
      <c r="F127" s="47">
        <f>COUNTIFS('Recommendations'!G:G,"Phase4",'Recommendations'!M:M,"Resolved")</f>
        <v>0</v>
      </c>
      <c r="G127" s="299">
        <f t="shared" si="4"/>
        <v>0</v>
      </c>
      <c r="H127" s="299"/>
      <c r="J127" s="50" t="s">
        <v>882</v>
      </c>
      <c r="K127" s="47">
        <f>COUNTIFS('Recommendations'!G:G,"Phase4",'Recommendations'!E:E,"Must")</f>
        <v>0</v>
      </c>
      <c r="L127" s="47">
        <f>COUNTIFS('Recommendations'!G:G,"Phase4",'Recommendations'!E:E,"Should")</f>
        <v>0</v>
      </c>
      <c r="M127" s="47">
        <f>COUNTIFS('Recommendations'!G:G,"Phase4",'Recommendations'!E:E,"Could")</f>
        <v>0</v>
      </c>
      <c r="N127" s="47">
        <f>COUNTIFS('Recommendations'!G:G,"Phase4",'Recommendations'!E:E,"Won't")</f>
        <v>0</v>
      </c>
      <c r="O127" s="47">
        <f>COUNTIFS('Recommendations'!G:G,"Phase4",'Recommendations'!E:E,"Unassigned")</f>
        <v>0</v>
      </c>
    </row>
    <row r="128" spans="2:15" x14ac:dyDescent="0.35">
      <c r="B128" s="50" t="s">
        <v>883</v>
      </c>
      <c r="C128" s="298" t="s">
        <v>21</v>
      </c>
      <c r="D128" s="298"/>
      <c r="E128" s="47">
        <f>COUNTIF('Recommendations'!G:G,"Phase5")-COUNTIFS('Recommendations'!G:G,"Phase5",'Recommendations'!H:H,"Risk Accepted")-COUNTIFS('Recommendations'!G:G,"Phase5",'Recommendations'!H:H,"N/A")</f>
        <v>0</v>
      </c>
      <c r="F128" s="47">
        <f>COUNTIFS('Recommendations'!G:G,"Phase5",'Recommendations'!M:M,"Resolved")</f>
        <v>0</v>
      </c>
      <c r="G128" s="299">
        <f t="shared" si="4"/>
        <v>0</v>
      </c>
      <c r="H128" s="299"/>
      <c r="J128" s="50" t="s">
        <v>883</v>
      </c>
      <c r="K128" s="47">
        <f>COUNTIFS('Recommendations'!G:G,"Phase5",'Recommendations'!E:E,"Must")</f>
        <v>0</v>
      </c>
      <c r="L128" s="47">
        <f>COUNTIFS('Recommendations'!G:G,"Phase5",'Recommendations'!E:E,"Should")</f>
        <v>0</v>
      </c>
      <c r="M128" s="47">
        <f>COUNTIFS('Recommendations'!G:G,"Phase5",'Recommendations'!E:E,"Could")</f>
        <v>0</v>
      </c>
      <c r="N128" s="47">
        <f>COUNTIFS('Recommendations'!G:G,"Phase5",'Recommendations'!E:E,"Won't")</f>
        <v>0</v>
      </c>
      <c r="O128" s="47">
        <f>COUNTIFS('Recommendations'!G:G,"Phase5",'Recommendations'!E:E,"Unassigned")</f>
        <v>0</v>
      </c>
    </row>
    <row r="129" spans="2:24" x14ac:dyDescent="0.35">
      <c r="B129" s="50" t="s">
        <v>20</v>
      </c>
      <c r="C129" s="298" t="s">
        <v>21</v>
      </c>
      <c r="D129" s="298"/>
      <c r="E129" s="47">
        <f>COUNTIF('Recommendations'!G:G,"Pending")-COUNTIFS('Recommendations'!G:G,"Pending",'Recommendations'!H:H,"Risk Accepted")-COUNTIFS('Recommendations'!G:G,"Pending",'Recommendations'!H:H,"N/A")</f>
        <v>152</v>
      </c>
      <c r="F129" s="47">
        <f>COUNTIFS('Recommendations'!G:G,"Pending",'Recommendations'!M:M,"Resolved")</f>
        <v>0</v>
      </c>
      <c r="G129" s="299">
        <f t="shared" si="4"/>
        <v>0</v>
      </c>
      <c r="H129" s="299"/>
      <c r="J129" s="50" t="s">
        <v>20</v>
      </c>
      <c r="K129" s="47">
        <f>COUNTIFS('Recommendations'!G:G,"Pending",'Recommendations'!E:E,"Must")</f>
        <v>0</v>
      </c>
      <c r="L129" s="47">
        <f>COUNTIFS('Recommendations'!G:G,"Pending",'Recommendations'!E:E,"Should")</f>
        <v>0</v>
      </c>
      <c r="M129" s="47">
        <f>COUNTIFS('Recommendations'!G:G,"Pending",'Recommendations'!E:E,"Could")</f>
        <v>0</v>
      </c>
      <c r="N129" s="47">
        <f>COUNTIFS('Recommendations'!G:G,"Pending",'Recommendations'!E:E,"Won't")</f>
        <v>0</v>
      </c>
      <c r="O129" s="47">
        <f>COUNTIFS('Recommendations'!G:G,"Pending",'Recommendations'!E:E,"Unassigned")</f>
        <v>152</v>
      </c>
    </row>
    <row r="136" spans="2:24" ht="21" x14ac:dyDescent="0.5">
      <c r="B136" s="42" t="s">
        <v>899</v>
      </c>
      <c r="P136" s="59" t="s">
        <v>900</v>
      </c>
    </row>
    <row r="138" spans="2:24" ht="60" customHeight="1" x14ac:dyDescent="0.35">
      <c r="B138" s="300" t="s">
        <v>901</v>
      </c>
      <c r="C138" s="293"/>
      <c r="D138" s="293"/>
      <c r="E138" s="293"/>
      <c r="F138" s="293"/>
      <c r="P138" s="300" t="s">
        <v>902</v>
      </c>
      <c r="Q138" s="293"/>
      <c r="R138" s="293"/>
      <c r="S138" s="293"/>
      <c r="T138" s="293"/>
      <c r="U138" s="293"/>
      <c r="V138" s="293"/>
      <c r="W138" s="293"/>
    </row>
    <row r="140" spans="2:24" ht="30" customHeight="1" x14ac:dyDescent="0.35">
      <c r="P140" s="60" t="s">
        <v>903</v>
      </c>
      <c r="Q140" s="61">
        <f>C16</f>
        <v>0</v>
      </c>
      <c r="R140" s="62"/>
      <c r="S140" s="61">
        <f>C86</f>
        <v>0</v>
      </c>
      <c r="T140" s="62"/>
      <c r="U140" s="61">
        <f>C87</f>
        <v>0</v>
      </c>
      <c r="V140" s="62"/>
      <c r="W140" s="61">
        <f>C88</f>
        <v>0</v>
      </c>
      <c r="X140" s="62"/>
    </row>
    <row r="141" spans="2:24" ht="35" customHeight="1" x14ac:dyDescent="0.35">
      <c r="P141" s="63" t="s">
        <v>904</v>
      </c>
      <c r="Q141" s="63" t="s">
        <v>905</v>
      </c>
      <c r="R141" s="63" t="s">
        <v>906</v>
      </c>
      <c r="S141" s="63" t="s">
        <v>907</v>
      </c>
      <c r="T141" s="63" t="s">
        <v>908</v>
      </c>
      <c r="U141" s="63" t="s">
        <v>909</v>
      </c>
      <c r="V141" s="63" t="s">
        <v>910</v>
      </c>
      <c r="W141" s="63" t="s">
        <v>911</v>
      </c>
      <c r="X141" s="63" t="s">
        <v>912</v>
      </c>
    </row>
    <row r="142" spans="2:24" x14ac:dyDescent="0.35">
      <c r="O142" s="64" t="s">
        <v>913</v>
      </c>
      <c r="P142" s="65" t="s">
        <v>914</v>
      </c>
      <c r="Q142" s="66">
        <v>0</v>
      </c>
      <c r="R142" s="67">
        <f>IF(Dashboard!F16&gt;0, Q142/Dashboard!F16, "")</f>
        <v>0</v>
      </c>
      <c r="S142" s="66">
        <v>0</v>
      </c>
      <c r="T142" s="67" t="str">
        <f>IF(AND(NOT(ISBLANK(S142)),Dashboard!F86&gt;0), S142/Dashboard!F86, "")</f>
        <v/>
      </c>
      <c r="U142" s="66">
        <v>0</v>
      </c>
      <c r="V142" s="67" t="str">
        <f>IF(AND(NOT(ISBLANK(U142)),Dashboard!F87&gt;0), U142/Dashboard!F87, "")</f>
        <v/>
      </c>
      <c r="W142" s="66">
        <v>0</v>
      </c>
      <c r="X142" s="67" t="str">
        <f>IF(AND(NOT(ISBLANK(W142)),Dashboard!F88&gt;0), W142/Dashboard!F88, "")</f>
        <v/>
      </c>
    </row>
    <row r="143" spans="2:24" x14ac:dyDescent="0.35">
      <c r="P143" s="58"/>
      <c r="Q143" s="45"/>
      <c r="R143" s="48" t="str">
        <f>IF(AND(NOT(ISBLANK(Q143)),Dashboard!F16&gt;0), Q143/Dashboard!F16, "")</f>
        <v/>
      </c>
      <c r="S143" s="45"/>
      <c r="T143" s="48" t="str">
        <f>IF(AND(NOT(ISBLANK(S143)),Dashboard!F86&gt;0), S143/Dashboard!F86, "")</f>
        <v/>
      </c>
      <c r="U143" s="45"/>
      <c r="V143" s="48" t="str">
        <f>IF(AND(NOT(ISBLANK(U143)),Dashboard!F87&gt;0), U143/Dashboard!F87, "")</f>
        <v/>
      </c>
      <c r="W143" s="45"/>
      <c r="X143" s="48" t="str">
        <f>IF(AND(NOT(ISBLANK(W143)),Dashboard!F88&gt;0), W143/Dashboard!F88, "")</f>
        <v/>
      </c>
    </row>
    <row r="144" spans="2:24" x14ac:dyDescent="0.35">
      <c r="P144" s="58"/>
      <c r="Q144" s="45"/>
      <c r="R144" s="48" t="str">
        <f>IF(AND(NOT(ISBLANK(Q144)),Dashboard!F16&gt;0), Q144/Dashboard!F16, "")</f>
        <v/>
      </c>
      <c r="S144" s="45"/>
      <c r="T144" s="48" t="str">
        <f>IF(AND(NOT(ISBLANK(S144)),Dashboard!F86&gt;0), S144/Dashboard!F86, "")</f>
        <v/>
      </c>
      <c r="U144" s="45"/>
      <c r="V144" s="48" t="str">
        <f>IF(AND(NOT(ISBLANK(U144)),Dashboard!F87&gt;0), U144/Dashboard!F87, "")</f>
        <v/>
      </c>
      <c r="W144" s="45"/>
      <c r="X144" s="48" t="str">
        <f>IF(AND(NOT(ISBLANK(W144)),Dashboard!F88&gt;0), W144/Dashboard!F88, "")</f>
        <v/>
      </c>
    </row>
    <row r="145" spans="16:24" x14ac:dyDescent="0.35">
      <c r="P145" s="58"/>
      <c r="Q145" s="45"/>
      <c r="R145" s="48" t="str">
        <f>IF(AND(NOT(ISBLANK(Q145)),Dashboard!F16&gt;0), Q145/Dashboard!F16, "")</f>
        <v/>
      </c>
      <c r="S145" s="45"/>
      <c r="T145" s="48" t="str">
        <f>IF(AND(NOT(ISBLANK(S145)),Dashboard!F86&gt;0), S145/Dashboard!F86, "")</f>
        <v/>
      </c>
      <c r="U145" s="45"/>
      <c r="V145" s="48" t="str">
        <f>IF(AND(NOT(ISBLANK(U145)),Dashboard!F87&gt;0), U145/Dashboard!F87, "")</f>
        <v/>
      </c>
      <c r="W145" s="45"/>
      <c r="X145" s="48" t="str">
        <f>IF(AND(NOT(ISBLANK(W145)),Dashboard!F88&gt;0), W145/Dashboard!F88, "")</f>
        <v/>
      </c>
    </row>
    <row r="146" spans="16:24" x14ac:dyDescent="0.35">
      <c r="P146" s="58"/>
      <c r="Q146" s="45"/>
      <c r="R146" s="48" t="str">
        <f>IF(AND(NOT(ISBLANK(Q146)),Dashboard!F16&gt;0), Q146/Dashboard!F16, "")</f>
        <v/>
      </c>
      <c r="S146" s="45"/>
      <c r="T146" s="48" t="str">
        <f>IF(AND(NOT(ISBLANK(S146)),Dashboard!F86&gt;0), S146/Dashboard!F86, "")</f>
        <v/>
      </c>
      <c r="U146" s="45"/>
      <c r="V146" s="48" t="str">
        <f>IF(AND(NOT(ISBLANK(U146)),Dashboard!F87&gt;0), U146/Dashboard!F87, "")</f>
        <v/>
      </c>
      <c r="W146" s="45"/>
      <c r="X146" s="48" t="str">
        <f>IF(AND(NOT(ISBLANK(W146)),Dashboard!F88&gt;0), W146/Dashboard!F88, "")</f>
        <v/>
      </c>
    </row>
    <row r="147" spans="16:24" x14ac:dyDescent="0.35">
      <c r="P147" s="58"/>
      <c r="Q147" s="45"/>
      <c r="R147" s="48" t="str">
        <f>IF(AND(NOT(ISBLANK(Q147)),Dashboard!F16&gt;0), Q147/Dashboard!F16, "")</f>
        <v/>
      </c>
      <c r="S147" s="45"/>
      <c r="T147" s="48" t="str">
        <f>IF(AND(NOT(ISBLANK(S147)),Dashboard!F86&gt;0), S147/Dashboard!F86, "")</f>
        <v/>
      </c>
      <c r="U147" s="45"/>
      <c r="V147" s="48" t="str">
        <f>IF(AND(NOT(ISBLANK(U147)),Dashboard!F87&gt;0), U147/Dashboard!F87, "")</f>
        <v/>
      </c>
      <c r="W147" s="45"/>
      <c r="X147" s="48" t="str">
        <f>IF(AND(NOT(ISBLANK(W147)),Dashboard!F88&gt;0), W147/Dashboard!F88, "")</f>
        <v/>
      </c>
    </row>
    <row r="148" spans="16:24" x14ac:dyDescent="0.35">
      <c r="P148" s="58"/>
      <c r="Q148" s="45"/>
      <c r="R148" s="48" t="str">
        <f>IF(AND(NOT(ISBLANK(Q148)),Dashboard!F16&gt;0), Q148/Dashboard!F16, "")</f>
        <v/>
      </c>
      <c r="S148" s="45"/>
      <c r="T148" s="48" t="str">
        <f>IF(AND(NOT(ISBLANK(S148)),Dashboard!F86&gt;0), S148/Dashboard!F86, "")</f>
        <v/>
      </c>
      <c r="U148" s="45"/>
      <c r="V148" s="48" t="str">
        <f>IF(AND(NOT(ISBLANK(U148)),Dashboard!F87&gt;0), U148/Dashboard!F87, "")</f>
        <v/>
      </c>
      <c r="W148" s="45"/>
      <c r="X148" s="48" t="str">
        <f>IF(AND(NOT(ISBLANK(W148)),Dashboard!F88&gt;0), W148/Dashboard!F88, "")</f>
        <v/>
      </c>
    </row>
    <row r="149" spans="16:24" x14ac:dyDescent="0.35">
      <c r="P149" s="58"/>
      <c r="Q149" s="45"/>
      <c r="R149" s="48" t="str">
        <f>IF(AND(NOT(ISBLANK(Q149)),Dashboard!F16&gt;0), Q149/Dashboard!F16, "")</f>
        <v/>
      </c>
      <c r="S149" s="45"/>
      <c r="T149" s="48" t="str">
        <f>IF(AND(NOT(ISBLANK(S149)),Dashboard!F86&gt;0), S149/Dashboard!F86, "")</f>
        <v/>
      </c>
      <c r="U149" s="45"/>
      <c r="V149" s="48" t="str">
        <f>IF(AND(NOT(ISBLANK(U149)),Dashboard!F87&gt;0), U149/Dashboard!F87, "")</f>
        <v/>
      </c>
      <c r="W149" s="45"/>
      <c r="X149" s="48" t="str">
        <f>IF(AND(NOT(ISBLANK(W149)),Dashboard!F88&gt;0), W149/Dashboard!F88, "")</f>
        <v/>
      </c>
    </row>
    <row r="150" spans="16:24" x14ac:dyDescent="0.35">
      <c r="P150" s="58"/>
      <c r="Q150" s="45"/>
      <c r="R150" s="48" t="str">
        <f>IF(AND(NOT(ISBLANK(Q150)),Dashboard!F16&gt;0), Q150/Dashboard!F16, "")</f>
        <v/>
      </c>
      <c r="S150" s="45"/>
      <c r="T150" s="48" t="str">
        <f>IF(AND(NOT(ISBLANK(S150)),Dashboard!F86&gt;0), S150/Dashboard!F86, "")</f>
        <v/>
      </c>
      <c r="U150" s="45"/>
      <c r="V150" s="48" t="str">
        <f>IF(AND(NOT(ISBLANK(U150)),Dashboard!F87&gt;0), U150/Dashboard!F87, "")</f>
        <v/>
      </c>
      <c r="W150" s="45"/>
      <c r="X150" s="48" t="str">
        <f>IF(AND(NOT(ISBLANK(W150)),Dashboard!F88&gt;0), W150/Dashboard!F88, "")</f>
        <v/>
      </c>
    </row>
    <row r="151" spans="16:24" x14ac:dyDescent="0.35">
      <c r="P151" s="58"/>
      <c r="Q151" s="45"/>
      <c r="R151" s="48" t="str">
        <f>IF(AND(NOT(ISBLANK(Q151)),Dashboard!F16&gt;0), Q151/Dashboard!F16, "")</f>
        <v/>
      </c>
      <c r="S151" s="45"/>
      <c r="T151" s="48" t="str">
        <f>IF(AND(NOT(ISBLANK(S151)),Dashboard!F86&gt;0), S151/Dashboard!F86, "")</f>
        <v/>
      </c>
      <c r="U151" s="45"/>
      <c r="V151" s="48" t="str">
        <f>IF(AND(NOT(ISBLANK(U151)),Dashboard!F87&gt;0), U151/Dashboard!F87, "")</f>
        <v/>
      </c>
      <c r="W151" s="45"/>
      <c r="X151" s="48" t="str">
        <f>IF(AND(NOT(ISBLANK(W151)),Dashboard!F88&gt;0), W151/Dashboard!F88, "")</f>
        <v/>
      </c>
    </row>
    <row r="152" spans="16:24" x14ac:dyDescent="0.35">
      <c r="P152" s="58"/>
      <c r="Q152" s="45"/>
      <c r="R152" s="48" t="str">
        <f>IF(AND(NOT(ISBLANK(Q152)),Dashboard!F16&gt;0), Q152/Dashboard!F16, "")</f>
        <v/>
      </c>
      <c r="S152" s="45"/>
      <c r="T152" s="48" t="str">
        <f>IF(AND(NOT(ISBLANK(S152)),Dashboard!F86&gt;0), S152/Dashboard!F86, "")</f>
        <v/>
      </c>
      <c r="U152" s="45"/>
      <c r="V152" s="48" t="str">
        <f>IF(AND(NOT(ISBLANK(U152)),Dashboard!F87&gt;0), U152/Dashboard!F87, "")</f>
        <v/>
      </c>
      <c r="W152" s="45"/>
      <c r="X152" s="48" t="str">
        <f>IF(AND(NOT(ISBLANK(W152)),Dashboard!F88&gt;0), W152/Dashboard!F88, "")</f>
        <v/>
      </c>
    </row>
    <row r="153" spans="16:24" x14ac:dyDescent="0.35">
      <c r="P153" s="58"/>
      <c r="Q153" s="45"/>
      <c r="R153" s="48" t="str">
        <f>IF(AND(NOT(ISBLANK(Q153)),Dashboard!F16&gt;0), Q153/Dashboard!F16, "")</f>
        <v/>
      </c>
      <c r="S153" s="45"/>
      <c r="T153" s="48" t="str">
        <f>IF(AND(NOT(ISBLANK(S153)),Dashboard!F86&gt;0), S153/Dashboard!F86, "")</f>
        <v/>
      </c>
      <c r="U153" s="45"/>
      <c r="V153" s="48" t="str">
        <f>IF(AND(NOT(ISBLANK(U153)),Dashboard!F87&gt;0), U153/Dashboard!F87, "")</f>
        <v/>
      </c>
      <c r="W153" s="45"/>
      <c r="X153" s="48" t="str">
        <f>IF(AND(NOT(ISBLANK(W153)),Dashboard!F88&gt;0), W153/Dashboard!F88, "")</f>
        <v/>
      </c>
    </row>
    <row r="154" spans="16:24" x14ac:dyDescent="0.35">
      <c r="P154" s="58"/>
      <c r="Q154" s="45"/>
      <c r="R154" s="48" t="str">
        <f>IF(AND(NOT(ISBLANK(Q154)),Dashboard!F16&gt;0), Q154/Dashboard!F16, "")</f>
        <v/>
      </c>
      <c r="S154" s="45"/>
      <c r="T154" s="48" t="str">
        <f>IF(AND(NOT(ISBLANK(S154)),Dashboard!F86&gt;0), S154/Dashboard!F86, "")</f>
        <v/>
      </c>
      <c r="U154" s="45"/>
      <c r="V154" s="48" t="str">
        <f>IF(AND(NOT(ISBLANK(U154)),Dashboard!F87&gt;0), U154/Dashboard!F87, "")</f>
        <v/>
      </c>
      <c r="W154" s="45"/>
      <c r="X154" s="48" t="str">
        <f>IF(AND(NOT(ISBLANK(W154)),Dashboard!F88&gt;0), W154/Dashboard!F88, "")</f>
        <v/>
      </c>
    </row>
    <row r="155" spans="16:24" x14ac:dyDescent="0.35">
      <c r="P155" s="58"/>
      <c r="Q155" s="45"/>
      <c r="R155" s="48" t="str">
        <f>IF(AND(NOT(ISBLANK(Q155)),Dashboard!F16&gt;0), Q155/Dashboard!F16, "")</f>
        <v/>
      </c>
      <c r="S155" s="45"/>
      <c r="T155" s="48" t="str">
        <f>IF(AND(NOT(ISBLANK(S155)),Dashboard!F86&gt;0), S155/Dashboard!F86, "")</f>
        <v/>
      </c>
      <c r="U155" s="45"/>
      <c r="V155" s="48" t="str">
        <f>IF(AND(NOT(ISBLANK(U155)),Dashboard!F87&gt;0), U155/Dashboard!F87, "")</f>
        <v/>
      </c>
      <c r="W155" s="45"/>
      <c r="X155" s="48" t="str">
        <f>IF(AND(NOT(ISBLANK(W155)),Dashboard!F88&gt;0), W155/Dashboard!F88, "")</f>
        <v/>
      </c>
    </row>
    <row r="156" spans="16:24" x14ac:dyDescent="0.35">
      <c r="P156" s="58"/>
      <c r="Q156" s="45"/>
      <c r="R156" s="48" t="str">
        <f>IF(AND(NOT(ISBLANK(Q156)),Dashboard!F16&gt;0), Q156/Dashboard!F16, "")</f>
        <v/>
      </c>
      <c r="S156" s="45"/>
      <c r="T156" s="48" t="str">
        <f>IF(AND(NOT(ISBLANK(S156)),Dashboard!F86&gt;0), S156/Dashboard!F86, "")</f>
        <v/>
      </c>
      <c r="U156" s="45"/>
      <c r="V156" s="48" t="str">
        <f>IF(AND(NOT(ISBLANK(U156)),Dashboard!F87&gt;0), U156/Dashboard!F87, "")</f>
        <v/>
      </c>
      <c r="W156" s="45"/>
      <c r="X156" s="48" t="str">
        <f>IF(AND(NOT(ISBLANK(W156)),Dashboard!F88&gt;0), W156/Dashboard!F88, "")</f>
        <v/>
      </c>
    </row>
    <row r="157" spans="16:24" x14ac:dyDescent="0.35">
      <c r="P157" s="58"/>
      <c r="Q157" s="45"/>
      <c r="R157" s="48" t="str">
        <f>IF(AND(NOT(ISBLANK(Q157)),Dashboard!F16&gt;0), Q157/Dashboard!F16, "")</f>
        <v/>
      </c>
      <c r="S157" s="45"/>
      <c r="T157" s="48" t="str">
        <f>IF(AND(NOT(ISBLANK(S157)),Dashboard!F86&gt;0), S157/Dashboard!F86, "")</f>
        <v/>
      </c>
      <c r="U157" s="45"/>
      <c r="V157" s="48" t="str">
        <f>IF(AND(NOT(ISBLANK(U157)),Dashboard!F87&gt;0), U157/Dashboard!F87, "")</f>
        <v/>
      </c>
      <c r="W157" s="45"/>
      <c r="X157" s="48" t="str">
        <f>IF(AND(NOT(ISBLANK(W157)),Dashboard!F88&gt;0), W157/Dashboard!F88, "")</f>
        <v/>
      </c>
    </row>
    <row r="158" spans="16:24" x14ac:dyDescent="0.35">
      <c r="P158" s="58"/>
      <c r="Q158" s="45"/>
      <c r="R158" s="48" t="str">
        <f>IF(AND(NOT(ISBLANK(Q158)),Dashboard!F16&gt;0), Q158/Dashboard!F16, "")</f>
        <v/>
      </c>
      <c r="S158" s="45"/>
      <c r="T158" s="48" t="str">
        <f>IF(AND(NOT(ISBLANK(S158)),Dashboard!F86&gt;0), S158/Dashboard!F86, "")</f>
        <v/>
      </c>
      <c r="U158" s="45"/>
      <c r="V158" s="48" t="str">
        <f>IF(AND(NOT(ISBLANK(U158)),Dashboard!F87&gt;0), U158/Dashboard!F87, "")</f>
        <v/>
      </c>
      <c r="W158" s="45"/>
      <c r="X158" s="48" t="str">
        <f>IF(AND(NOT(ISBLANK(W158)),Dashboard!F88&gt;0), W158/Dashboard!F88, "")</f>
        <v/>
      </c>
    </row>
    <row r="159" spans="16:24" x14ac:dyDescent="0.35">
      <c r="P159" s="58"/>
      <c r="Q159" s="45"/>
      <c r="R159" s="48" t="str">
        <f>IF(AND(NOT(ISBLANK(Q159)),Dashboard!F16&gt;0), Q159/Dashboard!F16, "")</f>
        <v/>
      </c>
      <c r="S159" s="45"/>
      <c r="T159" s="48" t="str">
        <f>IF(AND(NOT(ISBLANK(S159)),Dashboard!F86&gt;0), S159/Dashboard!F86, "")</f>
        <v/>
      </c>
      <c r="U159" s="45"/>
      <c r="V159" s="48" t="str">
        <f>IF(AND(NOT(ISBLANK(U159)),Dashboard!F87&gt;0), U159/Dashboard!F87, "")</f>
        <v/>
      </c>
      <c r="W159" s="45"/>
      <c r="X159" s="48" t="str">
        <f>IF(AND(NOT(ISBLANK(W159)),Dashboard!F88&gt;0), W159/Dashboard!F88, "")</f>
        <v/>
      </c>
    </row>
    <row r="160" spans="16:24" x14ac:dyDescent="0.35">
      <c r="P160" s="58"/>
      <c r="Q160" s="45"/>
      <c r="R160" s="48" t="str">
        <f>IF(AND(NOT(ISBLANK(Q160)),Dashboard!F16&gt;0), Q160/Dashboard!F16, "")</f>
        <v/>
      </c>
      <c r="S160" s="45"/>
      <c r="T160" s="48" t="str">
        <f>IF(AND(NOT(ISBLANK(S160)),Dashboard!F86&gt;0), S160/Dashboard!F86, "")</f>
        <v/>
      </c>
      <c r="U160" s="45"/>
      <c r="V160" s="48" t="str">
        <f>IF(AND(NOT(ISBLANK(U160)),Dashboard!F87&gt;0), U160/Dashboard!F87, "")</f>
        <v/>
      </c>
      <c r="W160" s="45"/>
      <c r="X160" s="48" t="str">
        <f>IF(AND(NOT(ISBLANK(W160)),Dashboard!F88&gt;0), W160/Dashboard!F88, "")</f>
        <v/>
      </c>
    </row>
    <row r="161" spans="16:24" x14ac:dyDescent="0.35">
      <c r="P161" s="58"/>
      <c r="Q161" s="45"/>
      <c r="R161" s="48" t="str">
        <f>IF(AND(NOT(ISBLANK(Q161)),Dashboard!F16&gt;0), Q161/Dashboard!F16, "")</f>
        <v/>
      </c>
      <c r="S161" s="45"/>
      <c r="T161" s="48" t="str">
        <f>IF(AND(NOT(ISBLANK(S161)),Dashboard!F86&gt;0), S161/Dashboard!F86, "")</f>
        <v/>
      </c>
      <c r="U161" s="45"/>
      <c r="V161" s="48" t="str">
        <f>IF(AND(NOT(ISBLANK(U161)),Dashboard!F87&gt;0), U161/Dashboard!F87, "")</f>
        <v/>
      </c>
      <c r="W161" s="45"/>
      <c r="X161" s="48" t="str">
        <f>IF(AND(NOT(ISBLANK(W161)),Dashboard!F88&gt;0), W161/Dashboard!F88, "")</f>
        <v/>
      </c>
    </row>
    <row r="162" spans="16:24" x14ac:dyDescent="0.35">
      <c r="P162" s="58"/>
      <c r="Q162" s="45"/>
      <c r="R162" s="48" t="str">
        <f>IF(AND(NOT(ISBLANK(Q162)),Dashboard!F16&gt;0), Q162/Dashboard!F16, "")</f>
        <v/>
      </c>
      <c r="S162" s="45"/>
      <c r="T162" s="48" t="str">
        <f>IF(AND(NOT(ISBLANK(S162)),Dashboard!F86&gt;0), S162/Dashboard!F86, "")</f>
        <v/>
      </c>
      <c r="U162" s="45"/>
      <c r="V162" s="48" t="str">
        <f>IF(AND(NOT(ISBLANK(U162)),Dashboard!F87&gt;0), U162/Dashboard!F87, "")</f>
        <v/>
      </c>
      <c r="W162" s="45"/>
      <c r="X162" s="48" t="str">
        <f>IF(AND(NOT(ISBLANK(W162)),Dashboard!F88&gt;0), W162/Dashboard!F88, "")</f>
        <v/>
      </c>
    </row>
    <row r="163" spans="16:24" x14ac:dyDescent="0.35">
      <c r="P163" s="58"/>
      <c r="Q163" s="45"/>
      <c r="R163" s="48" t="str">
        <f>IF(AND(NOT(ISBLANK(Q163)),Dashboard!F16&gt;0), Q163/Dashboard!F16, "")</f>
        <v/>
      </c>
      <c r="S163" s="45"/>
      <c r="T163" s="48" t="str">
        <f>IF(AND(NOT(ISBLANK(S163)),Dashboard!F86&gt;0), S163/Dashboard!F86, "")</f>
        <v/>
      </c>
      <c r="U163" s="45"/>
      <c r="V163" s="48" t="str">
        <f>IF(AND(NOT(ISBLANK(U163)),Dashboard!F87&gt;0), U163/Dashboard!F87, "")</f>
        <v/>
      </c>
      <c r="W163" s="45"/>
      <c r="X163" s="48" t="str">
        <f>IF(AND(NOT(ISBLANK(W163)),Dashboard!F88&gt;0), W163/Dashboard!F88, "")</f>
        <v/>
      </c>
    </row>
    <row r="164" spans="16:24" x14ac:dyDescent="0.35">
      <c r="P164" s="58"/>
      <c r="Q164" s="45"/>
      <c r="R164" s="48" t="str">
        <f>IF(AND(NOT(ISBLANK(Q164)),Dashboard!F16&gt;0), Q164/Dashboard!F16, "")</f>
        <v/>
      </c>
      <c r="S164" s="45"/>
      <c r="T164" s="48" t="str">
        <f>IF(AND(NOT(ISBLANK(S164)),Dashboard!F86&gt;0), S164/Dashboard!F86, "")</f>
        <v/>
      </c>
      <c r="U164" s="45"/>
      <c r="V164" s="48" t="str">
        <f>IF(AND(NOT(ISBLANK(U164)),Dashboard!F87&gt;0), U164/Dashboard!F87, "")</f>
        <v/>
      </c>
      <c r="W164" s="45"/>
      <c r="X164" s="48" t="str">
        <f>IF(AND(NOT(ISBLANK(W164)),Dashboard!F88&gt;0), W164/Dashboard!F88, "")</f>
        <v/>
      </c>
    </row>
    <row r="165" spans="16:24" x14ac:dyDescent="0.35">
      <c r="P165" s="58"/>
      <c r="Q165" s="45"/>
      <c r="R165" s="48" t="str">
        <f>IF(AND(NOT(ISBLANK(Q165)),Dashboard!F16&gt;0), Q165/Dashboard!F16, "")</f>
        <v/>
      </c>
      <c r="S165" s="45"/>
      <c r="T165" s="48" t="str">
        <f>IF(AND(NOT(ISBLANK(S165)),Dashboard!F86&gt;0), S165/Dashboard!F86, "")</f>
        <v/>
      </c>
      <c r="U165" s="45"/>
      <c r="V165" s="48" t="str">
        <f>IF(AND(NOT(ISBLANK(U165)),Dashboard!F87&gt;0), U165/Dashboard!F87, "")</f>
        <v/>
      </c>
      <c r="W165" s="45"/>
      <c r="X165" s="48" t="str">
        <f>IF(AND(NOT(ISBLANK(W165)),Dashboard!F88&gt;0), W165/Dashboard!F88, "")</f>
        <v/>
      </c>
    </row>
    <row r="166" spans="16:24" x14ac:dyDescent="0.35">
      <c r="P166" s="58"/>
      <c r="Q166" s="45"/>
      <c r="R166" s="48" t="str">
        <f>IF(AND(NOT(ISBLANK(Q166)),Dashboard!F16&gt;0), Q166/Dashboard!F16, "")</f>
        <v/>
      </c>
      <c r="S166" s="45"/>
      <c r="T166" s="48" t="str">
        <f>IF(AND(NOT(ISBLANK(S166)),Dashboard!F86&gt;0), S166/Dashboard!F86, "")</f>
        <v/>
      </c>
      <c r="U166" s="45"/>
      <c r="V166" s="48" t="str">
        <f>IF(AND(NOT(ISBLANK(U166)),Dashboard!F87&gt;0), U166/Dashboard!F87, "")</f>
        <v/>
      </c>
      <c r="W166" s="45"/>
      <c r="X166" s="48" t="str">
        <f>IF(AND(NOT(ISBLANK(W166)),Dashboard!F88&gt;0), W166/Dashboard!F88, "")</f>
        <v/>
      </c>
    </row>
    <row r="167" spans="16:24" x14ac:dyDescent="0.35">
      <c r="P167" s="58"/>
      <c r="Q167" s="45"/>
      <c r="R167" s="48" t="str">
        <f>IF(AND(NOT(ISBLANK(Q167)),Dashboard!F16&gt;0), Q167/Dashboard!F16, "")</f>
        <v/>
      </c>
      <c r="S167" s="45"/>
      <c r="T167" s="48" t="str">
        <f>IF(AND(NOT(ISBLANK(S167)),Dashboard!F86&gt;0), S167/Dashboard!F86, "")</f>
        <v/>
      </c>
      <c r="U167" s="45"/>
      <c r="V167" s="48" t="str">
        <f>IF(AND(NOT(ISBLANK(U167)),Dashboard!F87&gt;0), U167/Dashboard!F87, "")</f>
        <v/>
      </c>
      <c r="W167" s="45"/>
      <c r="X167" s="48" t="str">
        <f>IF(AND(NOT(ISBLANK(W167)),Dashboard!F88&gt;0), W167/Dashboard!F88, "")</f>
        <v/>
      </c>
    </row>
    <row r="168" spans="16:24" x14ac:dyDescent="0.35">
      <c r="P168" s="58"/>
      <c r="Q168" s="45"/>
      <c r="R168" s="48" t="str">
        <f>IF(AND(NOT(ISBLANK(Q168)),Dashboard!F16&gt;0), Q168/Dashboard!F16, "")</f>
        <v/>
      </c>
      <c r="S168" s="45"/>
      <c r="T168" s="48" t="str">
        <f>IF(AND(NOT(ISBLANK(S168)),Dashboard!F86&gt;0), S168/Dashboard!F86, "")</f>
        <v/>
      </c>
      <c r="U168" s="45"/>
      <c r="V168" s="48" t="str">
        <f>IF(AND(NOT(ISBLANK(U168)),Dashboard!F87&gt;0), U168/Dashboard!F87, "")</f>
        <v/>
      </c>
      <c r="W168" s="45"/>
      <c r="X168" s="48" t="str">
        <f>IF(AND(NOT(ISBLANK(W168)),Dashboard!F88&gt;0), W168/Dashboard!F88, "")</f>
        <v/>
      </c>
    </row>
    <row r="169" spans="16:24" x14ac:dyDescent="0.35">
      <c r="P169" s="58"/>
      <c r="Q169" s="45"/>
      <c r="R169" s="48" t="str">
        <f>IF(AND(NOT(ISBLANK(Q169)),Dashboard!F16&gt;0), Q169/Dashboard!F16, "")</f>
        <v/>
      </c>
      <c r="S169" s="45"/>
      <c r="T169" s="48" t="str">
        <f>IF(AND(NOT(ISBLANK(S169)),Dashboard!F86&gt;0), S169/Dashboard!F86, "")</f>
        <v/>
      </c>
      <c r="U169" s="45"/>
      <c r="V169" s="48" t="str">
        <f>IF(AND(NOT(ISBLANK(U169)),Dashboard!F87&gt;0), U169/Dashboard!F87, "")</f>
        <v/>
      </c>
      <c r="W169" s="45"/>
      <c r="X169" s="48" t="str">
        <f>IF(AND(NOT(ISBLANK(W169)),Dashboard!F88&gt;0), W169/Dashboard!F88, "")</f>
        <v/>
      </c>
    </row>
    <row r="170" spans="16:24" x14ac:dyDescent="0.35">
      <c r="P170" s="58"/>
      <c r="Q170" s="45"/>
      <c r="R170" s="48" t="str">
        <f>IF(AND(NOT(ISBLANK(Q170)),Dashboard!F16&gt;0), Q170/Dashboard!F16, "")</f>
        <v/>
      </c>
      <c r="S170" s="45"/>
      <c r="T170" s="48" t="str">
        <f>IF(AND(NOT(ISBLANK(S170)),Dashboard!F86&gt;0), S170/Dashboard!F86, "")</f>
        <v/>
      </c>
      <c r="U170" s="45"/>
      <c r="V170" s="48" t="str">
        <f>IF(AND(NOT(ISBLANK(U170)),Dashboard!F87&gt;0), U170/Dashboard!F87, "")</f>
        <v/>
      </c>
      <c r="W170" s="45"/>
      <c r="X170" s="48" t="str">
        <f>IF(AND(NOT(ISBLANK(W170)),Dashboard!F88&gt;0), W170/Dashboard!F88, "")</f>
        <v/>
      </c>
    </row>
    <row r="171" spans="16:24" x14ac:dyDescent="0.35">
      <c r="P171" s="58"/>
      <c r="Q171" s="45"/>
      <c r="R171" s="48" t="str">
        <f>IF(AND(NOT(ISBLANK(Q171)),Dashboard!F16&gt;0), Q171/Dashboard!F16, "")</f>
        <v/>
      </c>
      <c r="S171" s="45"/>
      <c r="T171" s="48" t="str">
        <f>IF(AND(NOT(ISBLANK(S171)),Dashboard!F86&gt;0), S171/Dashboard!F86, "")</f>
        <v/>
      </c>
      <c r="U171" s="45"/>
      <c r="V171" s="48" t="str">
        <f>IF(AND(NOT(ISBLANK(U171)),Dashboard!F87&gt;0), U171/Dashboard!F87, "")</f>
        <v/>
      </c>
      <c r="W171" s="45"/>
      <c r="X171" s="48" t="str">
        <f>IF(AND(NOT(ISBLANK(W171)),Dashboard!F88&gt;0), W171/Dashboard!F88, "")</f>
        <v/>
      </c>
    </row>
    <row r="172" spans="16:24" x14ac:dyDescent="0.35">
      <c r="P172" s="58"/>
      <c r="Q172" s="45"/>
      <c r="R172" s="48" t="str">
        <f>IF(AND(NOT(ISBLANK(Q172)),Dashboard!F16&gt;0), Q172/Dashboard!F16, "")</f>
        <v/>
      </c>
      <c r="S172" s="45"/>
      <c r="T172" s="48" t="str">
        <f>IF(AND(NOT(ISBLANK(S172)),Dashboard!F86&gt;0), S172/Dashboard!F86, "")</f>
        <v/>
      </c>
      <c r="U172" s="45"/>
      <c r="V172" s="48" t="str">
        <f>IF(AND(NOT(ISBLANK(U172)),Dashboard!F87&gt;0), U172/Dashboard!F87, "")</f>
        <v/>
      </c>
      <c r="W172" s="45"/>
      <c r="X172" s="48" t="str">
        <f>IF(AND(NOT(ISBLANK(W172)),Dashboard!F88&gt;0), W172/Dashboard!F88, "")</f>
        <v/>
      </c>
    </row>
    <row r="177" spans="2:22" ht="21" x14ac:dyDescent="0.5">
      <c r="B177" s="42" t="s">
        <v>915</v>
      </c>
      <c r="P177" s="59" t="s">
        <v>916</v>
      </c>
    </row>
    <row r="179" spans="2:22" ht="45" customHeight="1" x14ac:dyDescent="0.35">
      <c r="B179" s="300" t="s">
        <v>917</v>
      </c>
      <c r="C179" s="293"/>
      <c r="D179" s="293"/>
      <c r="E179" s="293"/>
      <c r="F179" s="293"/>
      <c r="P179" s="300" t="s">
        <v>918</v>
      </c>
      <c r="Q179" s="293"/>
      <c r="R179" s="293"/>
      <c r="S179" s="293"/>
      <c r="T179" s="293"/>
      <c r="U179" s="293"/>
    </row>
    <row r="180" spans="2:22" ht="35" customHeight="1" x14ac:dyDescent="0.35">
      <c r="P180" s="297" t="s">
        <v>919</v>
      </c>
      <c r="Q180" s="297"/>
      <c r="R180" s="297" t="s">
        <v>920</v>
      </c>
      <c r="S180" s="297"/>
      <c r="T180" s="297"/>
    </row>
    <row r="181" spans="2:22" ht="30" customHeight="1" x14ac:dyDescent="0.35">
      <c r="P181" s="301">
        <v>0</v>
      </c>
      <c r="Q181" s="302"/>
      <c r="R181" s="303" t="s">
        <v>921</v>
      </c>
      <c r="S181" s="304"/>
      <c r="T181" s="304"/>
    </row>
    <row r="184" spans="2:22" ht="25" customHeight="1" x14ac:dyDescent="0.35">
      <c r="P184" s="68" t="s">
        <v>904</v>
      </c>
      <c r="Q184" s="68" t="s">
        <v>922</v>
      </c>
      <c r="R184" s="68" t="s">
        <v>923</v>
      </c>
      <c r="S184" s="305" t="s">
        <v>8</v>
      </c>
      <c r="T184" s="305"/>
      <c r="U184" s="305"/>
      <c r="V184" s="293"/>
    </row>
    <row r="185" spans="2:22" ht="20" customHeight="1" x14ac:dyDescent="0.35">
      <c r="P185" s="70"/>
      <c r="Q185" s="71"/>
      <c r="R185" s="72" t="str">
        <f>IF(AND(NOT(ISBLANK(Q185)), Dashboard!$P181&gt;0), Q185/Dashboard!$P181, "")</f>
        <v/>
      </c>
      <c r="S185" s="306"/>
      <c r="T185" s="307"/>
      <c r="U185" s="307"/>
      <c r="V185" s="307"/>
    </row>
    <row r="186" spans="2:22" ht="20" customHeight="1" x14ac:dyDescent="0.35">
      <c r="P186" s="70"/>
      <c r="Q186" s="71"/>
      <c r="R186" s="72" t="str">
        <f>IF(AND(NOT(ISBLANK(Q186)), Dashboard!$P181&gt;0), Q186/Dashboard!$P181, "")</f>
        <v/>
      </c>
      <c r="S186" s="306"/>
      <c r="T186" s="307"/>
      <c r="U186" s="307"/>
      <c r="V186" s="307"/>
    </row>
    <row r="187" spans="2:22" ht="20" customHeight="1" x14ac:dyDescent="0.35">
      <c r="P187" s="70"/>
      <c r="Q187" s="71"/>
      <c r="R187" s="72" t="str">
        <f>IF(AND(NOT(ISBLANK(Q187)), Dashboard!$P181&gt;0), Q187/Dashboard!$P181, "")</f>
        <v/>
      </c>
      <c r="S187" s="306"/>
      <c r="T187" s="307"/>
      <c r="U187" s="307"/>
      <c r="V187" s="307"/>
    </row>
    <row r="188" spans="2:22" ht="20" customHeight="1" x14ac:dyDescent="0.35">
      <c r="P188" s="70"/>
      <c r="Q188" s="71"/>
      <c r="R188" s="72" t="str">
        <f>IF(AND(NOT(ISBLANK(Q188)), Dashboard!$P181&gt;0), Q188/Dashboard!$P181, "")</f>
        <v/>
      </c>
      <c r="S188" s="306"/>
      <c r="T188" s="307"/>
      <c r="U188" s="307"/>
      <c r="V188" s="307"/>
    </row>
    <row r="189" spans="2:22" ht="20" customHeight="1" x14ac:dyDescent="0.35">
      <c r="P189" s="70"/>
      <c r="Q189" s="71"/>
      <c r="R189" s="72" t="str">
        <f>IF(AND(NOT(ISBLANK(Q189)), Dashboard!$P181&gt;0), Q189/Dashboard!$P181, "")</f>
        <v/>
      </c>
      <c r="S189" s="306"/>
      <c r="T189" s="307"/>
      <c r="U189" s="307"/>
      <c r="V189" s="307"/>
    </row>
    <row r="190" spans="2:22" ht="20" customHeight="1" x14ac:dyDescent="0.35">
      <c r="P190" s="70"/>
      <c r="Q190" s="71"/>
      <c r="R190" s="72" t="str">
        <f>IF(AND(NOT(ISBLANK(Q190)), Dashboard!$P181&gt;0), Q190/Dashboard!$P181, "")</f>
        <v/>
      </c>
      <c r="S190" s="306"/>
      <c r="T190" s="307"/>
      <c r="U190" s="307"/>
      <c r="V190" s="307"/>
    </row>
    <row r="191" spans="2:22" ht="20" customHeight="1" x14ac:dyDescent="0.35">
      <c r="P191" s="70"/>
      <c r="Q191" s="71"/>
      <c r="R191" s="72" t="str">
        <f>IF(AND(NOT(ISBLANK(Q191)), Dashboard!$P181&gt;0), Q191/Dashboard!$P181, "")</f>
        <v/>
      </c>
      <c r="S191" s="306"/>
      <c r="T191" s="307"/>
      <c r="U191" s="307"/>
      <c r="V191" s="307"/>
    </row>
    <row r="192" spans="2:22" ht="20" customHeight="1" x14ac:dyDescent="0.35">
      <c r="P192" s="70"/>
      <c r="Q192" s="71"/>
      <c r="R192" s="72" t="str">
        <f>IF(AND(NOT(ISBLANK(Q192)), Dashboard!$P181&gt;0), Q192/Dashboard!$P181, "")</f>
        <v/>
      </c>
      <c r="S192" s="306"/>
      <c r="T192" s="307"/>
      <c r="U192" s="307"/>
      <c r="V192" s="307"/>
    </row>
    <row r="193" spans="2:22" ht="20" customHeight="1" x14ac:dyDescent="0.35">
      <c r="P193" s="70"/>
      <c r="Q193" s="71"/>
      <c r="R193" s="72" t="str">
        <f>IF(AND(NOT(ISBLANK(Q193)), Dashboard!$P181&gt;0), Q193/Dashboard!$P181, "")</f>
        <v/>
      </c>
      <c r="S193" s="306"/>
      <c r="T193" s="307"/>
      <c r="U193" s="307"/>
      <c r="V193" s="307"/>
    </row>
    <row r="194" spans="2:22" ht="20" customHeight="1" x14ac:dyDescent="0.35">
      <c r="P194" s="70"/>
      <c r="Q194" s="71"/>
      <c r="R194" s="72" t="str">
        <f>IF(AND(NOT(ISBLANK(Q194)), Dashboard!$P181&gt;0), Q194/Dashboard!$P181, "")</f>
        <v/>
      </c>
      <c r="S194" s="306"/>
      <c r="T194" s="307"/>
      <c r="U194" s="307"/>
      <c r="V194" s="307"/>
    </row>
    <row r="195" spans="2:22" ht="20" customHeight="1" x14ac:dyDescent="0.35">
      <c r="P195" s="70"/>
      <c r="Q195" s="71"/>
      <c r="R195" s="72" t="str">
        <f>IF(AND(NOT(ISBLANK(Q195)), Dashboard!$P181&gt;0), Q195/Dashboard!$P181, "")</f>
        <v/>
      </c>
      <c r="S195" s="306"/>
      <c r="T195" s="307"/>
      <c r="U195" s="307"/>
      <c r="V195" s="307"/>
    </row>
    <row r="196" spans="2:22" ht="20" customHeight="1" x14ac:dyDescent="0.35">
      <c r="P196" s="70"/>
      <c r="Q196" s="71"/>
      <c r="R196" s="72" t="str">
        <f>IF(AND(NOT(ISBLANK(Q196)), Dashboard!$P181&gt;0), Q196/Dashboard!$P181, "")</f>
        <v/>
      </c>
      <c r="S196" s="306"/>
      <c r="T196" s="307"/>
      <c r="U196" s="307"/>
      <c r="V196" s="307"/>
    </row>
    <row r="197" spans="2:22" ht="20" customHeight="1" x14ac:dyDescent="0.35">
      <c r="P197" s="70"/>
      <c r="Q197" s="71"/>
      <c r="R197" s="72" t="str">
        <f>IF(AND(NOT(ISBLANK(Q197)), Dashboard!$P181&gt;0), Q197/Dashboard!$P181, "")</f>
        <v/>
      </c>
      <c r="S197" s="306"/>
      <c r="T197" s="307"/>
      <c r="U197" s="307"/>
      <c r="V197" s="307"/>
    </row>
    <row r="198" spans="2:22" ht="20" customHeight="1" x14ac:dyDescent="0.35">
      <c r="P198" s="70"/>
      <c r="Q198" s="71"/>
      <c r="R198" s="72" t="str">
        <f>IF(AND(NOT(ISBLANK(Q198)), Dashboard!$P181&gt;0), Q198/Dashboard!$P181, "")</f>
        <v/>
      </c>
      <c r="S198" s="306"/>
      <c r="T198" s="307"/>
      <c r="U198" s="307"/>
      <c r="V198" s="307"/>
    </row>
    <row r="199" spans="2:22" ht="20" customHeight="1" x14ac:dyDescent="0.35">
      <c r="P199" s="70"/>
      <c r="Q199" s="71"/>
      <c r="R199" s="72" t="str">
        <f>IF(AND(NOT(ISBLANK(Q199)), Dashboard!$P181&gt;0), Q199/Dashboard!$P181, "")</f>
        <v/>
      </c>
      <c r="S199" s="306"/>
      <c r="T199" s="307"/>
      <c r="U199" s="307"/>
      <c r="V199" s="307"/>
    </row>
    <row r="200" spans="2:22" ht="20" customHeight="1" x14ac:dyDescent="0.35">
      <c r="P200" s="70"/>
      <c r="Q200" s="71"/>
      <c r="R200" s="72" t="str">
        <f>IF(AND(NOT(ISBLANK(Q200)), Dashboard!$P181&gt;0), Q200/Dashboard!$P181, "")</f>
        <v/>
      </c>
      <c r="S200" s="306"/>
      <c r="T200" s="307"/>
      <c r="U200" s="307"/>
      <c r="V200" s="307"/>
    </row>
    <row r="201" spans="2:22" ht="20" customHeight="1" x14ac:dyDescent="0.35">
      <c r="P201" s="70"/>
      <c r="Q201" s="71"/>
      <c r="R201" s="72" t="str">
        <f>IF(AND(NOT(ISBLANK(Q201)), Dashboard!$P181&gt;0), Q201/Dashboard!$P181, "")</f>
        <v/>
      </c>
      <c r="S201" s="306"/>
      <c r="T201" s="307"/>
      <c r="U201" s="307"/>
      <c r="V201" s="307"/>
    </row>
    <row r="202" spans="2:22" ht="20" customHeight="1" x14ac:dyDescent="0.35">
      <c r="P202" s="70"/>
      <c r="Q202" s="71"/>
      <c r="R202" s="72" t="str">
        <f>IF(AND(NOT(ISBLANK(Q202)), Dashboard!$P181&gt;0), Q202/Dashboard!$P181, "")</f>
        <v/>
      </c>
      <c r="S202" s="306"/>
      <c r="T202" s="307"/>
      <c r="U202" s="307"/>
      <c r="V202" s="307"/>
    </row>
    <row r="203" spans="2:22" ht="20" customHeight="1" x14ac:dyDescent="0.35">
      <c r="P203" s="70"/>
      <c r="Q203" s="71"/>
      <c r="R203" s="72" t="str">
        <f>IF(AND(NOT(ISBLANK(Q203)), Dashboard!$P181&gt;0), Q203/Dashboard!$P181, "")</f>
        <v/>
      </c>
      <c r="S203" s="306"/>
      <c r="T203" s="307"/>
      <c r="U203" s="307"/>
      <c r="V203" s="307"/>
    </row>
    <row r="204" spans="2:22" ht="20" customHeight="1" x14ac:dyDescent="0.35">
      <c r="P204" s="70"/>
      <c r="Q204" s="71"/>
      <c r="R204" s="72" t="str">
        <f>IF(AND(NOT(ISBLANK(Q204)), Dashboard!$P181&gt;0), Q204/Dashboard!$P181, "")</f>
        <v/>
      </c>
      <c r="S204" s="306"/>
      <c r="T204" s="307"/>
      <c r="U204" s="307"/>
      <c r="V204" s="307"/>
    </row>
    <row r="208" spans="2:22" ht="32" customHeight="1" x14ac:dyDescent="0.35">
      <c r="B208" s="291" t="s">
        <v>770</v>
      </c>
      <c r="C208" s="291"/>
      <c r="D208" s="291"/>
      <c r="E208" s="291"/>
      <c r="F208" s="291"/>
      <c r="G208" s="291"/>
      <c r="H208" s="291"/>
      <c r="I208" s="29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4:H129">
    <cfRule type="expression" dxfId="80" priority="4">
      <formula>$G124&gt;=0.8</formula>
    </cfRule>
    <cfRule type="expression" dxfId="79" priority="5">
      <formula>AND($G124&gt;=0.5,$G124&lt;0.8)</formula>
    </cfRule>
    <cfRule type="expression" dxfId="78" priority="6">
      <formula>$G124&lt;0.5</formula>
    </cfRule>
  </conditionalFormatting>
  <conditionalFormatting sqref="K124:K129">
    <cfRule type="cellIs" dxfId="77" priority="7" operator="greaterThan">
      <formula>0</formula>
    </cfRule>
  </conditionalFormatting>
  <conditionalFormatting sqref="L124:L129">
    <cfRule type="cellIs" dxfId="76" priority="8" operator="greaterThan">
      <formula>0</formula>
    </cfRule>
  </conditionalFormatting>
  <conditionalFormatting sqref="M124:M129">
    <cfRule type="cellIs" dxfId="75" priority="9" operator="greaterThan">
      <formula>0</formula>
    </cfRule>
  </conditionalFormatting>
  <conditionalFormatting sqref="N124:N129">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53"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16</v>
      </c>
      <c r="D15" s="3" t="s">
        <v>17</v>
      </c>
      <c r="E15" s="4" t="s">
        <v>18</v>
      </c>
      <c r="F15" s="4" t="s">
        <v>19</v>
      </c>
      <c r="G15" s="4" t="s">
        <v>20</v>
      </c>
      <c r="H15" s="4" t="s">
        <v>21</v>
      </c>
      <c r="I15" s="5" t="s">
        <v>21</v>
      </c>
      <c r="J15" s="1" t="s">
        <v>82</v>
      </c>
      <c r="K15" s="1" t="s">
        <v>87</v>
      </c>
      <c r="L15" s="1" t="s">
        <v>84</v>
      </c>
      <c r="M15" s="4" t="str">
        <f t="shared" si="0"/>
        <v>Outstanding</v>
      </c>
      <c r="N15" s="13" t="s">
        <v>21</v>
      </c>
    </row>
    <row r="16" spans="1:14" ht="60" customHeight="1" x14ac:dyDescent="0.35">
      <c r="A16" s="11" t="s">
        <v>88</v>
      </c>
      <c r="B16" s="1" t="s">
        <v>89</v>
      </c>
      <c r="C16" s="2" t="s">
        <v>16</v>
      </c>
      <c r="D16" s="3" t="s">
        <v>17</v>
      </c>
      <c r="E16" s="4" t="s">
        <v>18</v>
      </c>
      <c r="F16" s="4" t="s">
        <v>19</v>
      </c>
      <c r="G16" s="4" t="s">
        <v>20</v>
      </c>
      <c r="H16" s="4" t="s">
        <v>21</v>
      </c>
      <c r="I16" s="5" t="s">
        <v>21</v>
      </c>
      <c r="J16" s="1" t="s">
        <v>82</v>
      </c>
      <c r="K16" s="1" t="s">
        <v>90</v>
      </c>
      <c r="L16" s="1" t="s">
        <v>84</v>
      </c>
      <c r="M16" s="4" t="str">
        <f t="shared" si="0"/>
        <v>Outstanding</v>
      </c>
      <c r="N16" s="13" t="s">
        <v>21</v>
      </c>
    </row>
    <row r="17" spans="1:14" ht="60" customHeight="1" x14ac:dyDescent="0.35">
      <c r="A17" s="11" t="s">
        <v>91</v>
      </c>
      <c r="B17" s="1" t="s">
        <v>92</v>
      </c>
      <c r="C17" s="2" t="s">
        <v>93</v>
      </c>
      <c r="D17" s="3" t="s">
        <v>17</v>
      </c>
      <c r="E17" s="4" t="s">
        <v>18</v>
      </c>
      <c r="F17" s="4" t="s">
        <v>19</v>
      </c>
      <c r="G17" s="4" t="s">
        <v>20</v>
      </c>
      <c r="H17" s="4" t="s">
        <v>21</v>
      </c>
      <c r="I17" s="5" t="s">
        <v>21</v>
      </c>
      <c r="J17" s="1" t="s">
        <v>94</v>
      </c>
      <c r="K17" s="1" t="s">
        <v>95</v>
      </c>
      <c r="L17" s="1" t="s">
        <v>96</v>
      </c>
      <c r="M17" s="4" t="str">
        <f t="shared" si="0"/>
        <v>Outstanding</v>
      </c>
      <c r="N17" s="13" t="s">
        <v>21</v>
      </c>
    </row>
    <row r="18" spans="1:14" ht="60" customHeight="1" x14ac:dyDescent="0.35">
      <c r="A18" s="11" t="s">
        <v>97</v>
      </c>
      <c r="B18" s="1" t="s">
        <v>98</v>
      </c>
      <c r="C18" s="2" t="s">
        <v>16</v>
      </c>
      <c r="D18" s="3" t="s">
        <v>17</v>
      </c>
      <c r="E18" s="4" t="s">
        <v>18</v>
      </c>
      <c r="F18" s="4" t="s">
        <v>19</v>
      </c>
      <c r="G18" s="4" t="s">
        <v>20</v>
      </c>
      <c r="H18" s="4" t="s">
        <v>21</v>
      </c>
      <c r="I18" s="5" t="s">
        <v>21</v>
      </c>
      <c r="J18" s="1" t="s">
        <v>99</v>
      </c>
      <c r="K18" s="1" t="s">
        <v>100</v>
      </c>
      <c r="L18" s="1" t="s">
        <v>101</v>
      </c>
      <c r="M18" s="4" t="str">
        <f t="shared" si="0"/>
        <v>Outstanding</v>
      </c>
      <c r="N18" s="13" t="s">
        <v>21</v>
      </c>
    </row>
    <row r="19" spans="1:14" ht="60" customHeight="1" x14ac:dyDescent="0.35">
      <c r="A19" s="11" t="s">
        <v>102</v>
      </c>
      <c r="B19" s="1" t="s">
        <v>103</v>
      </c>
      <c r="C19" s="2" t="s">
        <v>16</v>
      </c>
      <c r="D19" s="3" t="s">
        <v>17</v>
      </c>
      <c r="E19" s="4" t="s">
        <v>18</v>
      </c>
      <c r="F19" s="4" t="s">
        <v>19</v>
      </c>
      <c r="G19" s="4" t="s">
        <v>20</v>
      </c>
      <c r="H19" s="4" t="s">
        <v>21</v>
      </c>
      <c r="I19" s="5" t="s">
        <v>21</v>
      </c>
      <c r="J19" s="1" t="s">
        <v>104</v>
      </c>
      <c r="K19" s="1" t="s">
        <v>105</v>
      </c>
      <c r="L19" s="1" t="s">
        <v>106</v>
      </c>
      <c r="M19" s="4" t="str">
        <f t="shared" si="0"/>
        <v>Outstanding</v>
      </c>
      <c r="N19" s="13" t="s">
        <v>21</v>
      </c>
    </row>
    <row r="20" spans="1:14" ht="60" customHeight="1" x14ac:dyDescent="0.35">
      <c r="A20" s="11" t="s">
        <v>107</v>
      </c>
      <c r="B20" s="1" t="s">
        <v>108</v>
      </c>
      <c r="C20" s="2" t="s">
        <v>16</v>
      </c>
      <c r="D20" s="3" t="s">
        <v>17</v>
      </c>
      <c r="E20" s="4" t="s">
        <v>18</v>
      </c>
      <c r="F20" s="4" t="s">
        <v>19</v>
      </c>
      <c r="G20" s="4" t="s">
        <v>20</v>
      </c>
      <c r="H20" s="4" t="s">
        <v>21</v>
      </c>
      <c r="I20" s="5" t="s">
        <v>21</v>
      </c>
      <c r="J20" s="1" t="s">
        <v>109</v>
      </c>
      <c r="K20" s="1" t="s">
        <v>110</v>
      </c>
      <c r="L20" s="1" t="s">
        <v>111</v>
      </c>
      <c r="M20" s="4" t="str">
        <f t="shared" si="0"/>
        <v>Outstanding</v>
      </c>
      <c r="N20" s="13" t="s">
        <v>21</v>
      </c>
    </row>
    <row r="21" spans="1:14" ht="60" customHeight="1" x14ac:dyDescent="0.35">
      <c r="A21" s="11" t="s">
        <v>112</v>
      </c>
      <c r="B21" s="1" t="s">
        <v>113</v>
      </c>
      <c r="C21" s="2" t="s">
        <v>16</v>
      </c>
      <c r="D21" s="3" t="s">
        <v>17</v>
      </c>
      <c r="E21" s="4" t="s">
        <v>18</v>
      </c>
      <c r="F21" s="4" t="s">
        <v>19</v>
      </c>
      <c r="G21" s="4" t="s">
        <v>20</v>
      </c>
      <c r="H21" s="4" t="s">
        <v>21</v>
      </c>
      <c r="I21" s="5" t="s">
        <v>21</v>
      </c>
      <c r="J21" s="1" t="s">
        <v>114</v>
      </c>
      <c r="K21" s="1" t="s">
        <v>115</v>
      </c>
      <c r="L21" s="1" t="s">
        <v>116</v>
      </c>
      <c r="M21" s="4" t="str">
        <f t="shared" si="0"/>
        <v>Outstanding</v>
      </c>
      <c r="N21" s="13" t="s">
        <v>21</v>
      </c>
    </row>
    <row r="22" spans="1:14" ht="60" customHeight="1" x14ac:dyDescent="0.35">
      <c r="A22" s="11" t="s">
        <v>117</v>
      </c>
      <c r="B22" s="1" t="s">
        <v>118</v>
      </c>
      <c r="C22" s="2" t="s">
        <v>16</v>
      </c>
      <c r="D22" s="3" t="s">
        <v>17</v>
      </c>
      <c r="E22" s="4" t="s">
        <v>18</v>
      </c>
      <c r="F22" s="4" t="s">
        <v>19</v>
      </c>
      <c r="G22" s="4" t="s">
        <v>20</v>
      </c>
      <c r="H22" s="4" t="s">
        <v>21</v>
      </c>
      <c r="I22" s="5" t="s">
        <v>21</v>
      </c>
      <c r="J22" s="1" t="s">
        <v>119</v>
      </c>
      <c r="K22" s="1" t="s">
        <v>115</v>
      </c>
      <c r="L22" s="1" t="s">
        <v>120</v>
      </c>
      <c r="M22" s="4" t="str">
        <f t="shared" si="0"/>
        <v>Outstanding</v>
      </c>
      <c r="N22" s="13" t="s">
        <v>21</v>
      </c>
    </row>
    <row r="23" spans="1:14" ht="60" customHeight="1" x14ac:dyDescent="0.35">
      <c r="A23" s="11" t="s">
        <v>121</v>
      </c>
      <c r="B23" s="1" t="s">
        <v>122</v>
      </c>
      <c r="C23" s="2" t="s">
        <v>16</v>
      </c>
      <c r="D23" s="3" t="s">
        <v>17</v>
      </c>
      <c r="E23" s="4" t="s">
        <v>18</v>
      </c>
      <c r="F23" s="4" t="s">
        <v>19</v>
      </c>
      <c r="G23" s="4" t="s">
        <v>20</v>
      </c>
      <c r="H23" s="4" t="s">
        <v>21</v>
      </c>
      <c r="I23" s="5" t="s">
        <v>21</v>
      </c>
      <c r="J23" s="1" t="s">
        <v>123</v>
      </c>
      <c r="K23" s="1" t="s">
        <v>115</v>
      </c>
      <c r="L23" s="1" t="s">
        <v>124</v>
      </c>
      <c r="M23" s="4" t="str">
        <f t="shared" si="0"/>
        <v>Outstanding</v>
      </c>
      <c r="N23" s="13" t="s">
        <v>21</v>
      </c>
    </row>
    <row r="24" spans="1:14" ht="60" customHeight="1" x14ac:dyDescent="0.35">
      <c r="A24" s="11" t="s">
        <v>125</v>
      </c>
      <c r="B24" s="1" t="s">
        <v>126</v>
      </c>
      <c r="C24" s="2" t="s">
        <v>16</v>
      </c>
      <c r="D24" s="3" t="s">
        <v>17</v>
      </c>
      <c r="E24" s="4" t="s">
        <v>18</v>
      </c>
      <c r="F24" s="4" t="s">
        <v>19</v>
      </c>
      <c r="G24" s="4" t="s">
        <v>20</v>
      </c>
      <c r="H24" s="4" t="s">
        <v>21</v>
      </c>
      <c r="I24" s="5" t="s">
        <v>21</v>
      </c>
      <c r="J24" s="1" t="s">
        <v>127</v>
      </c>
      <c r="K24" s="1" t="s">
        <v>128</v>
      </c>
      <c r="L24" s="1" t="s">
        <v>129</v>
      </c>
      <c r="M24" s="4" t="str">
        <f t="shared" si="0"/>
        <v>Outstanding</v>
      </c>
      <c r="N24" s="13" t="s">
        <v>21</v>
      </c>
    </row>
    <row r="25" spans="1:14" ht="60" customHeight="1" x14ac:dyDescent="0.35">
      <c r="A25" s="11" t="s">
        <v>130</v>
      </c>
      <c r="B25" s="1" t="s">
        <v>131</v>
      </c>
      <c r="C25" s="2" t="s">
        <v>93</v>
      </c>
      <c r="D25" s="3" t="s">
        <v>17</v>
      </c>
      <c r="E25" s="4" t="s">
        <v>18</v>
      </c>
      <c r="F25" s="4" t="s">
        <v>19</v>
      </c>
      <c r="G25" s="4" t="s">
        <v>20</v>
      </c>
      <c r="H25" s="4" t="s">
        <v>21</v>
      </c>
      <c r="I25" s="5" t="s">
        <v>21</v>
      </c>
      <c r="J25" s="1" t="s">
        <v>132</v>
      </c>
      <c r="K25" s="1" t="s">
        <v>133</v>
      </c>
      <c r="L25" s="1" t="s">
        <v>134</v>
      </c>
      <c r="M25" s="4" t="str">
        <f t="shared" si="0"/>
        <v>Outstanding</v>
      </c>
      <c r="N25" s="13" t="s">
        <v>21</v>
      </c>
    </row>
    <row r="26" spans="1:14" ht="60" customHeight="1" x14ac:dyDescent="0.35">
      <c r="A26" s="11" t="s">
        <v>135</v>
      </c>
      <c r="B26" s="1" t="s">
        <v>136</v>
      </c>
      <c r="C26" s="2" t="s">
        <v>93</v>
      </c>
      <c r="D26" s="3" t="s">
        <v>17</v>
      </c>
      <c r="E26" s="4" t="s">
        <v>18</v>
      </c>
      <c r="F26" s="4" t="s">
        <v>19</v>
      </c>
      <c r="G26" s="4" t="s">
        <v>20</v>
      </c>
      <c r="H26" s="4" t="s">
        <v>21</v>
      </c>
      <c r="I26" s="5" t="s">
        <v>21</v>
      </c>
      <c r="J26" s="1" t="s">
        <v>137</v>
      </c>
      <c r="K26" s="1" t="s">
        <v>138</v>
      </c>
      <c r="L26" s="1" t="s">
        <v>139</v>
      </c>
      <c r="M26" s="4" t="str">
        <f t="shared" si="0"/>
        <v>Outstanding</v>
      </c>
      <c r="N26" s="13" t="s">
        <v>21</v>
      </c>
    </row>
    <row r="27" spans="1:14" ht="60" customHeight="1" x14ac:dyDescent="0.35">
      <c r="A27" s="11" t="s">
        <v>140</v>
      </c>
      <c r="B27" s="1" t="s">
        <v>141</v>
      </c>
      <c r="C27" s="2" t="s">
        <v>16</v>
      </c>
      <c r="D27" s="3" t="s">
        <v>17</v>
      </c>
      <c r="E27" s="4" t="s">
        <v>18</v>
      </c>
      <c r="F27" s="4" t="s">
        <v>19</v>
      </c>
      <c r="G27" s="4" t="s">
        <v>20</v>
      </c>
      <c r="H27" s="4" t="s">
        <v>21</v>
      </c>
      <c r="I27" s="5" t="s">
        <v>21</v>
      </c>
      <c r="J27" s="1" t="s">
        <v>142</v>
      </c>
      <c r="K27" s="1" t="s">
        <v>143</v>
      </c>
      <c r="L27" s="1" t="s">
        <v>144</v>
      </c>
      <c r="M27" s="4" t="str">
        <f t="shared" si="0"/>
        <v>Outstanding</v>
      </c>
      <c r="N27" s="13" t="s">
        <v>21</v>
      </c>
    </row>
    <row r="28" spans="1:14" ht="60" customHeight="1" x14ac:dyDescent="0.35">
      <c r="A28" s="11" t="s">
        <v>145</v>
      </c>
      <c r="B28" s="1" t="s">
        <v>146</v>
      </c>
      <c r="C28" s="2" t="s">
        <v>16</v>
      </c>
      <c r="D28" s="3" t="s">
        <v>17</v>
      </c>
      <c r="E28" s="4" t="s">
        <v>18</v>
      </c>
      <c r="F28" s="4" t="s">
        <v>19</v>
      </c>
      <c r="G28" s="4" t="s">
        <v>20</v>
      </c>
      <c r="H28" s="4" t="s">
        <v>21</v>
      </c>
      <c r="I28" s="5" t="s">
        <v>21</v>
      </c>
      <c r="J28" s="1" t="s">
        <v>147</v>
      </c>
      <c r="K28" s="1" t="s">
        <v>148</v>
      </c>
      <c r="L28" s="1" t="s">
        <v>149</v>
      </c>
      <c r="M28" s="4" t="str">
        <f t="shared" si="0"/>
        <v>Outstanding</v>
      </c>
      <c r="N28" s="13" t="s">
        <v>21</v>
      </c>
    </row>
    <row r="29" spans="1:14" ht="60" customHeight="1" x14ac:dyDescent="0.35">
      <c r="A29" s="11" t="s">
        <v>150</v>
      </c>
      <c r="B29" s="1" t="s">
        <v>151</v>
      </c>
      <c r="C29" s="2" t="s">
        <v>16</v>
      </c>
      <c r="D29" s="3" t="s">
        <v>17</v>
      </c>
      <c r="E29" s="4" t="s">
        <v>18</v>
      </c>
      <c r="F29" s="4" t="s">
        <v>19</v>
      </c>
      <c r="G29" s="4" t="s">
        <v>20</v>
      </c>
      <c r="H29" s="4" t="s">
        <v>21</v>
      </c>
      <c r="I29" s="5" t="s">
        <v>21</v>
      </c>
      <c r="J29" s="1" t="s">
        <v>152</v>
      </c>
      <c r="K29" s="1" t="s">
        <v>153</v>
      </c>
      <c r="L29" s="1" t="s">
        <v>154</v>
      </c>
      <c r="M29" s="4" t="str">
        <f t="shared" si="0"/>
        <v>Outstanding</v>
      </c>
      <c r="N29" s="13" t="s">
        <v>21</v>
      </c>
    </row>
    <row r="30" spans="1:14" ht="60" customHeight="1" x14ac:dyDescent="0.35">
      <c r="A30" s="11" t="s">
        <v>155</v>
      </c>
      <c r="B30" s="1" t="s">
        <v>156</v>
      </c>
      <c r="C30" s="2" t="s">
        <v>16</v>
      </c>
      <c r="D30" s="3" t="s">
        <v>17</v>
      </c>
      <c r="E30" s="4" t="s">
        <v>18</v>
      </c>
      <c r="F30" s="4" t="s">
        <v>19</v>
      </c>
      <c r="G30" s="4" t="s">
        <v>20</v>
      </c>
      <c r="H30" s="4" t="s">
        <v>21</v>
      </c>
      <c r="I30" s="5" t="s">
        <v>21</v>
      </c>
      <c r="J30" s="1" t="s">
        <v>157</v>
      </c>
      <c r="K30" s="1" t="s">
        <v>158</v>
      </c>
      <c r="L30" s="1" t="s">
        <v>159</v>
      </c>
      <c r="M30" s="4" t="str">
        <f t="shared" si="0"/>
        <v>Outstanding</v>
      </c>
      <c r="N30" s="13" t="s">
        <v>21</v>
      </c>
    </row>
    <row r="31" spans="1:14" ht="60" customHeight="1" x14ac:dyDescent="0.35">
      <c r="A31" s="11" t="s">
        <v>160</v>
      </c>
      <c r="B31" s="1" t="s">
        <v>161</v>
      </c>
      <c r="C31" s="2" t="s">
        <v>16</v>
      </c>
      <c r="D31" s="3" t="s">
        <v>17</v>
      </c>
      <c r="E31" s="4" t="s">
        <v>18</v>
      </c>
      <c r="F31" s="4" t="s">
        <v>19</v>
      </c>
      <c r="G31" s="4" t="s">
        <v>20</v>
      </c>
      <c r="H31" s="4" t="s">
        <v>21</v>
      </c>
      <c r="I31" s="5" t="s">
        <v>21</v>
      </c>
      <c r="J31" s="1" t="s">
        <v>162</v>
      </c>
      <c r="K31" s="1" t="s">
        <v>163</v>
      </c>
      <c r="L31" s="1" t="s">
        <v>164</v>
      </c>
      <c r="M31" s="4" t="str">
        <f t="shared" si="0"/>
        <v>Outstanding</v>
      </c>
      <c r="N31" s="13" t="s">
        <v>21</v>
      </c>
    </row>
    <row r="32" spans="1:14" ht="60" customHeight="1" x14ac:dyDescent="0.35">
      <c r="A32" s="11" t="s">
        <v>165</v>
      </c>
      <c r="B32" s="1" t="s">
        <v>166</v>
      </c>
      <c r="C32" s="2" t="s">
        <v>16</v>
      </c>
      <c r="D32" s="3" t="s">
        <v>17</v>
      </c>
      <c r="E32" s="4" t="s">
        <v>18</v>
      </c>
      <c r="F32" s="4" t="s">
        <v>19</v>
      </c>
      <c r="G32" s="4" t="s">
        <v>20</v>
      </c>
      <c r="H32" s="4" t="s">
        <v>21</v>
      </c>
      <c r="I32" s="5" t="s">
        <v>21</v>
      </c>
      <c r="J32" s="1" t="s">
        <v>167</v>
      </c>
      <c r="K32" s="1" t="s">
        <v>168</v>
      </c>
      <c r="L32" s="1" t="s">
        <v>169</v>
      </c>
      <c r="M32" s="4" t="str">
        <f t="shared" si="0"/>
        <v>Outstanding</v>
      </c>
      <c r="N32" s="13" t="s">
        <v>21</v>
      </c>
    </row>
    <row r="33" spans="1:14" ht="60" customHeight="1" x14ac:dyDescent="0.35">
      <c r="A33" s="11" t="s">
        <v>170</v>
      </c>
      <c r="B33" s="1" t="s">
        <v>171</v>
      </c>
      <c r="C33" s="2" t="s">
        <v>16</v>
      </c>
      <c r="D33" s="3" t="s">
        <v>17</v>
      </c>
      <c r="E33" s="4" t="s">
        <v>18</v>
      </c>
      <c r="F33" s="4" t="s">
        <v>19</v>
      </c>
      <c r="G33" s="4" t="s">
        <v>20</v>
      </c>
      <c r="H33" s="4" t="s">
        <v>21</v>
      </c>
      <c r="I33" s="5" t="s">
        <v>21</v>
      </c>
      <c r="J33" s="1" t="s">
        <v>172</v>
      </c>
      <c r="K33" s="1" t="s">
        <v>173</v>
      </c>
      <c r="L33" s="1" t="s">
        <v>174</v>
      </c>
      <c r="M33" s="4" t="str">
        <f t="shared" si="0"/>
        <v>Outstanding</v>
      </c>
      <c r="N33" s="13" t="s">
        <v>21</v>
      </c>
    </row>
    <row r="34" spans="1:14" ht="60" customHeight="1" x14ac:dyDescent="0.35">
      <c r="A34" s="11" t="s">
        <v>175</v>
      </c>
      <c r="B34" s="1" t="s">
        <v>176</v>
      </c>
      <c r="C34" s="2" t="s">
        <v>93</v>
      </c>
      <c r="D34" s="3" t="s">
        <v>17</v>
      </c>
      <c r="E34" s="4" t="s">
        <v>18</v>
      </c>
      <c r="F34" s="4" t="s">
        <v>19</v>
      </c>
      <c r="G34" s="4" t="s">
        <v>20</v>
      </c>
      <c r="H34" s="4" t="s">
        <v>21</v>
      </c>
      <c r="I34" s="5" t="s">
        <v>21</v>
      </c>
      <c r="J34" s="1" t="s">
        <v>177</v>
      </c>
      <c r="K34" s="1" t="s">
        <v>178</v>
      </c>
      <c r="L34" s="1" t="s">
        <v>179</v>
      </c>
      <c r="M34" s="4" t="str">
        <f t="shared" si="0"/>
        <v>Outstanding</v>
      </c>
      <c r="N34" s="13" t="s">
        <v>21</v>
      </c>
    </row>
    <row r="35" spans="1:14" ht="60" customHeight="1" x14ac:dyDescent="0.35">
      <c r="A35" s="11" t="s">
        <v>180</v>
      </c>
      <c r="B35" s="1" t="s">
        <v>181</v>
      </c>
      <c r="C35" s="2" t="s">
        <v>93</v>
      </c>
      <c r="D35" s="3" t="s">
        <v>17</v>
      </c>
      <c r="E35" s="4" t="s">
        <v>18</v>
      </c>
      <c r="F35" s="4" t="s">
        <v>19</v>
      </c>
      <c r="G35" s="4" t="s">
        <v>20</v>
      </c>
      <c r="H35" s="4" t="s">
        <v>21</v>
      </c>
      <c r="I35" s="5" t="s">
        <v>21</v>
      </c>
      <c r="J35" s="1" t="s">
        <v>182</v>
      </c>
      <c r="K35" s="1" t="s">
        <v>183</v>
      </c>
      <c r="L35" s="1" t="s">
        <v>184</v>
      </c>
      <c r="M35" s="4" t="str">
        <f t="shared" si="0"/>
        <v>Outstanding</v>
      </c>
      <c r="N35" s="13" t="s">
        <v>21</v>
      </c>
    </row>
    <row r="36" spans="1:14" ht="60" customHeight="1" x14ac:dyDescent="0.35">
      <c r="A36" s="11" t="s">
        <v>185</v>
      </c>
      <c r="B36" s="1" t="s">
        <v>186</v>
      </c>
      <c r="C36" s="2" t="s">
        <v>16</v>
      </c>
      <c r="D36" s="3" t="s">
        <v>17</v>
      </c>
      <c r="E36" s="4" t="s">
        <v>18</v>
      </c>
      <c r="F36" s="4" t="s">
        <v>19</v>
      </c>
      <c r="G36" s="4" t="s">
        <v>20</v>
      </c>
      <c r="H36" s="4" t="s">
        <v>21</v>
      </c>
      <c r="I36" s="5" t="s">
        <v>21</v>
      </c>
      <c r="J36" s="1" t="s">
        <v>187</v>
      </c>
      <c r="K36" s="1" t="s">
        <v>188</v>
      </c>
      <c r="L36" s="1" t="s">
        <v>189</v>
      </c>
      <c r="M36" s="4" t="str">
        <f t="shared" si="0"/>
        <v>Outstanding</v>
      </c>
      <c r="N36" s="13" t="s">
        <v>21</v>
      </c>
    </row>
    <row r="37" spans="1:14" ht="60" customHeight="1" x14ac:dyDescent="0.35">
      <c r="A37" s="11" t="s">
        <v>190</v>
      </c>
      <c r="B37" s="1" t="s">
        <v>191</v>
      </c>
      <c r="C37" s="2" t="s">
        <v>16</v>
      </c>
      <c r="D37" s="3" t="s">
        <v>17</v>
      </c>
      <c r="E37" s="4" t="s">
        <v>18</v>
      </c>
      <c r="F37" s="4" t="s">
        <v>19</v>
      </c>
      <c r="G37" s="4" t="s">
        <v>20</v>
      </c>
      <c r="H37" s="4" t="s">
        <v>21</v>
      </c>
      <c r="I37" s="5" t="s">
        <v>21</v>
      </c>
      <c r="J37" s="1" t="s">
        <v>192</v>
      </c>
      <c r="K37" s="1" t="s">
        <v>188</v>
      </c>
      <c r="L37" s="1" t="s">
        <v>193</v>
      </c>
      <c r="M37" s="4" t="str">
        <f t="shared" si="0"/>
        <v>Outstanding</v>
      </c>
      <c r="N37" s="13" t="s">
        <v>21</v>
      </c>
    </row>
    <row r="38" spans="1:14" ht="60" customHeight="1" x14ac:dyDescent="0.35">
      <c r="A38" s="11" t="s">
        <v>194</v>
      </c>
      <c r="B38" s="1" t="s">
        <v>195</v>
      </c>
      <c r="C38" s="2" t="s">
        <v>16</v>
      </c>
      <c r="D38" s="3" t="s">
        <v>17</v>
      </c>
      <c r="E38" s="4" t="s">
        <v>18</v>
      </c>
      <c r="F38" s="4" t="s">
        <v>19</v>
      </c>
      <c r="G38" s="4" t="s">
        <v>20</v>
      </c>
      <c r="H38" s="4" t="s">
        <v>21</v>
      </c>
      <c r="I38" s="5" t="s">
        <v>21</v>
      </c>
      <c r="J38" s="1" t="s">
        <v>196</v>
      </c>
      <c r="K38" s="1" t="s">
        <v>188</v>
      </c>
      <c r="L38" s="1" t="s">
        <v>197</v>
      </c>
      <c r="M38" s="4" t="str">
        <f t="shared" si="0"/>
        <v>Outstanding</v>
      </c>
      <c r="N38" s="13" t="s">
        <v>21</v>
      </c>
    </row>
    <row r="39" spans="1:14" ht="60" customHeight="1" x14ac:dyDescent="0.35">
      <c r="A39" s="11" t="s">
        <v>198</v>
      </c>
      <c r="B39" s="1" t="s">
        <v>199</v>
      </c>
      <c r="C39" s="2" t="s">
        <v>93</v>
      </c>
      <c r="D39" s="3" t="s">
        <v>17</v>
      </c>
      <c r="E39" s="4" t="s">
        <v>18</v>
      </c>
      <c r="F39" s="4" t="s">
        <v>19</v>
      </c>
      <c r="G39" s="4" t="s">
        <v>20</v>
      </c>
      <c r="H39" s="4" t="s">
        <v>21</v>
      </c>
      <c r="I39" s="5" t="s">
        <v>21</v>
      </c>
      <c r="J39" s="1" t="s">
        <v>200</v>
      </c>
      <c r="K39" s="1" t="s">
        <v>201</v>
      </c>
      <c r="L39" s="1" t="s">
        <v>202</v>
      </c>
      <c r="M39" s="4" t="str">
        <f t="shared" si="0"/>
        <v>Outstanding</v>
      </c>
      <c r="N39" s="13" t="s">
        <v>21</v>
      </c>
    </row>
    <row r="40" spans="1:14" ht="60" customHeight="1" x14ac:dyDescent="0.35">
      <c r="A40" s="11" t="s">
        <v>203</v>
      </c>
      <c r="B40" s="1" t="s">
        <v>204</v>
      </c>
      <c r="C40" s="2" t="s">
        <v>16</v>
      </c>
      <c r="D40" s="3" t="s">
        <v>17</v>
      </c>
      <c r="E40" s="4" t="s">
        <v>18</v>
      </c>
      <c r="F40" s="4" t="s">
        <v>19</v>
      </c>
      <c r="G40" s="4" t="s">
        <v>20</v>
      </c>
      <c r="H40" s="4" t="s">
        <v>21</v>
      </c>
      <c r="I40" s="5" t="s">
        <v>21</v>
      </c>
      <c r="J40" s="1" t="s">
        <v>205</v>
      </c>
      <c r="K40" s="1" t="s">
        <v>206</v>
      </c>
      <c r="L40" s="1" t="s">
        <v>207</v>
      </c>
      <c r="M40" s="4" t="str">
        <f t="shared" si="0"/>
        <v>Outstanding</v>
      </c>
      <c r="N40" s="13" t="s">
        <v>21</v>
      </c>
    </row>
    <row r="41" spans="1:14" ht="60" customHeight="1" x14ac:dyDescent="0.35">
      <c r="A41" s="11" t="s">
        <v>208</v>
      </c>
      <c r="B41" s="1" t="s">
        <v>209</v>
      </c>
      <c r="C41" s="2" t="s">
        <v>16</v>
      </c>
      <c r="D41" s="3" t="s">
        <v>17</v>
      </c>
      <c r="E41" s="4" t="s">
        <v>18</v>
      </c>
      <c r="F41" s="4" t="s">
        <v>19</v>
      </c>
      <c r="G41" s="4" t="s">
        <v>20</v>
      </c>
      <c r="H41" s="4" t="s">
        <v>21</v>
      </c>
      <c r="I41" s="5" t="s">
        <v>21</v>
      </c>
      <c r="J41" s="1" t="s">
        <v>210</v>
      </c>
      <c r="K41" s="1" t="s">
        <v>211</v>
      </c>
      <c r="L41" s="1" t="s">
        <v>212</v>
      </c>
      <c r="M41" s="4" t="str">
        <f t="shared" si="0"/>
        <v>Outstanding</v>
      </c>
      <c r="N41" s="13" t="s">
        <v>21</v>
      </c>
    </row>
    <row r="42" spans="1:14" ht="60" customHeight="1" x14ac:dyDescent="0.35">
      <c r="A42" s="11" t="s">
        <v>213</v>
      </c>
      <c r="B42" s="1" t="s">
        <v>214</v>
      </c>
      <c r="C42" s="2" t="s">
        <v>93</v>
      </c>
      <c r="D42" s="3" t="s">
        <v>17</v>
      </c>
      <c r="E42" s="4" t="s">
        <v>18</v>
      </c>
      <c r="F42" s="4" t="s">
        <v>19</v>
      </c>
      <c r="G42" s="4" t="s">
        <v>20</v>
      </c>
      <c r="H42" s="4" t="s">
        <v>21</v>
      </c>
      <c r="I42" s="5" t="s">
        <v>21</v>
      </c>
      <c r="J42" s="1" t="s">
        <v>215</v>
      </c>
      <c r="K42" s="1" t="s">
        <v>216</v>
      </c>
      <c r="L42" s="1" t="s">
        <v>217</v>
      </c>
      <c r="M42" s="4" t="str">
        <f t="shared" si="0"/>
        <v>Outstanding</v>
      </c>
      <c r="N42" s="13" t="s">
        <v>21</v>
      </c>
    </row>
    <row r="43" spans="1:14" ht="60" customHeight="1" x14ac:dyDescent="0.35">
      <c r="A43" s="11" t="s">
        <v>218</v>
      </c>
      <c r="B43" s="1" t="s">
        <v>219</v>
      </c>
      <c r="C43" s="2" t="s">
        <v>93</v>
      </c>
      <c r="D43" s="3" t="s">
        <v>17</v>
      </c>
      <c r="E43" s="4" t="s">
        <v>18</v>
      </c>
      <c r="F43" s="4" t="s">
        <v>19</v>
      </c>
      <c r="G43" s="4" t="s">
        <v>20</v>
      </c>
      <c r="H43" s="4" t="s">
        <v>21</v>
      </c>
      <c r="I43" s="5" t="s">
        <v>21</v>
      </c>
      <c r="J43" s="1" t="s">
        <v>220</v>
      </c>
      <c r="K43" s="1" t="s">
        <v>221</v>
      </c>
      <c r="L43" s="1" t="s">
        <v>222</v>
      </c>
      <c r="M43" s="4" t="str">
        <f t="shared" si="0"/>
        <v>Outstanding</v>
      </c>
      <c r="N43" s="13" t="s">
        <v>21</v>
      </c>
    </row>
    <row r="44" spans="1:14" ht="60" customHeight="1" x14ac:dyDescent="0.35">
      <c r="A44" s="11" t="s">
        <v>223</v>
      </c>
      <c r="B44" s="1" t="s">
        <v>224</v>
      </c>
      <c r="C44" s="2" t="s">
        <v>93</v>
      </c>
      <c r="D44" s="3" t="s">
        <v>225</v>
      </c>
      <c r="E44" s="4" t="s">
        <v>18</v>
      </c>
      <c r="F44" s="4" t="s">
        <v>19</v>
      </c>
      <c r="G44" s="4" t="s">
        <v>20</v>
      </c>
      <c r="H44" s="4" t="s">
        <v>21</v>
      </c>
      <c r="I44" s="5" t="s">
        <v>21</v>
      </c>
      <c r="J44" s="1" t="s">
        <v>226</v>
      </c>
      <c r="K44" s="1" t="s">
        <v>227</v>
      </c>
      <c r="L44" s="1" t="s">
        <v>228</v>
      </c>
      <c r="M44" s="4" t="str">
        <f t="shared" si="0"/>
        <v>Outstanding</v>
      </c>
      <c r="N44" s="13" t="s">
        <v>21</v>
      </c>
    </row>
    <row r="45" spans="1:14" ht="60" customHeight="1" x14ac:dyDescent="0.35">
      <c r="A45" s="11" t="s">
        <v>229</v>
      </c>
      <c r="B45" s="1" t="s">
        <v>230</v>
      </c>
      <c r="C45" s="2" t="s">
        <v>16</v>
      </c>
      <c r="D45" s="3" t="s">
        <v>225</v>
      </c>
      <c r="E45" s="4" t="s">
        <v>18</v>
      </c>
      <c r="F45" s="4" t="s">
        <v>19</v>
      </c>
      <c r="G45" s="4" t="s">
        <v>20</v>
      </c>
      <c r="H45" s="4" t="s">
        <v>21</v>
      </c>
      <c r="I45" s="5" t="s">
        <v>21</v>
      </c>
      <c r="J45" s="1" t="s">
        <v>231</v>
      </c>
      <c r="K45" s="1" t="s">
        <v>232</v>
      </c>
      <c r="L45" s="1" t="s">
        <v>233</v>
      </c>
      <c r="M45" s="4" t="str">
        <f t="shared" si="0"/>
        <v>Outstanding</v>
      </c>
      <c r="N45" s="13" t="s">
        <v>21</v>
      </c>
    </row>
    <row r="46" spans="1:14" ht="60" customHeight="1" x14ac:dyDescent="0.35">
      <c r="A46" s="11" t="s">
        <v>234</v>
      </c>
      <c r="B46" s="1" t="s">
        <v>235</v>
      </c>
      <c r="C46" s="2" t="s">
        <v>16</v>
      </c>
      <c r="D46" s="3" t="s">
        <v>225</v>
      </c>
      <c r="E46" s="4" t="s">
        <v>18</v>
      </c>
      <c r="F46" s="4" t="s">
        <v>19</v>
      </c>
      <c r="G46" s="4" t="s">
        <v>20</v>
      </c>
      <c r="H46" s="4" t="s">
        <v>21</v>
      </c>
      <c r="I46" s="5" t="s">
        <v>21</v>
      </c>
      <c r="J46" s="1" t="s">
        <v>236</v>
      </c>
      <c r="K46" s="1" t="s">
        <v>237</v>
      </c>
      <c r="L46" s="1" t="s">
        <v>238</v>
      </c>
      <c r="M46" s="4" t="str">
        <f t="shared" si="0"/>
        <v>Outstanding</v>
      </c>
      <c r="N46" s="13" t="s">
        <v>21</v>
      </c>
    </row>
    <row r="47" spans="1:14" ht="60" customHeight="1" x14ac:dyDescent="0.35">
      <c r="A47" s="11" t="s">
        <v>239</v>
      </c>
      <c r="B47" s="1" t="s">
        <v>240</v>
      </c>
      <c r="C47" s="2" t="s">
        <v>241</v>
      </c>
      <c r="D47" s="3" t="s">
        <v>225</v>
      </c>
      <c r="E47" s="4" t="s">
        <v>18</v>
      </c>
      <c r="F47" s="4" t="s">
        <v>19</v>
      </c>
      <c r="G47" s="4" t="s">
        <v>20</v>
      </c>
      <c r="H47" s="4" t="s">
        <v>21</v>
      </c>
      <c r="I47" s="5" t="s">
        <v>21</v>
      </c>
      <c r="J47" s="1" t="s">
        <v>242</v>
      </c>
      <c r="K47" s="1" t="s">
        <v>243</v>
      </c>
      <c r="L47" s="1" t="s">
        <v>244</v>
      </c>
      <c r="M47" s="4" t="str">
        <f t="shared" si="0"/>
        <v>Outstanding</v>
      </c>
      <c r="N47" s="13" t="s">
        <v>21</v>
      </c>
    </row>
    <row r="48" spans="1:14" ht="60" customHeight="1" x14ac:dyDescent="0.35">
      <c r="A48" s="11" t="s">
        <v>245</v>
      </c>
      <c r="B48" s="1" t="s">
        <v>246</v>
      </c>
      <c r="C48" s="2" t="s">
        <v>16</v>
      </c>
      <c r="D48" s="3" t="s">
        <v>225</v>
      </c>
      <c r="E48" s="4" t="s">
        <v>18</v>
      </c>
      <c r="F48" s="4" t="s">
        <v>19</v>
      </c>
      <c r="G48" s="4" t="s">
        <v>20</v>
      </c>
      <c r="H48" s="4" t="s">
        <v>21</v>
      </c>
      <c r="I48" s="5" t="s">
        <v>21</v>
      </c>
      <c r="J48" s="1" t="s">
        <v>247</v>
      </c>
      <c r="K48" s="1" t="s">
        <v>248</v>
      </c>
      <c r="L48" s="1" t="s">
        <v>249</v>
      </c>
      <c r="M48" s="4" t="str">
        <f t="shared" si="0"/>
        <v>Outstanding</v>
      </c>
      <c r="N48" s="13" t="s">
        <v>21</v>
      </c>
    </row>
    <row r="49" spans="1:14" ht="60" customHeight="1" x14ac:dyDescent="0.35">
      <c r="A49" s="11" t="s">
        <v>250</v>
      </c>
      <c r="B49" s="1" t="s">
        <v>251</v>
      </c>
      <c r="C49" s="2" t="s">
        <v>16</v>
      </c>
      <c r="D49" s="3" t="s">
        <v>225</v>
      </c>
      <c r="E49" s="4" t="s">
        <v>18</v>
      </c>
      <c r="F49" s="4" t="s">
        <v>19</v>
      </c>
      <c r="G49" s="4" t="s">
        <v>20</v>
      </c>
      <c r="H49" s="4" t="s">
        <v>21</v>
      </c>
      <c r="I49" s="5" t="s">
        <v>21</v>
      </c>
      <c r="J49" s="1" t="s">
        <v>252</v>
      </c>
      <c r="K49" s="1" t="s">
        <v>253</v>
      </c>
      <c r="L49" s="1" t="s">
        <v>254</v>
      </c>
      <c r="M49" s="4" t="str">
        <f t="shared" si="0"/>
        <v>Outstanding</v>
      </c>
      <c r="N49" s="13" t="s">
        <v>21</v>
      </c>
    </row>
    <row r="50" spans="1:14" ht="60" customHeight="1" x14ac:dyDescent="0.35">
      <c r="A50" s="11" t="s">
        <v>255</v>
      </c>
      <c r="B50" s="1" t="s">
        <v>256</v>
      </c>
      <c r="C50" s="2" t="s">
        <v>16</v>
      </c>
      <c r="D50" s="3" t="s">
        <v>225</v>
      </c>
      <c r="E50" s="4" t="s">
        <v>18</v>
      </c>
      <c r="F50" s="4" t="s">
        <v>19</v>
      </c>
      <c r="G50" s="4" t="s">
        <v>20</v>
      </c>
      <c r="H50" s="4" t="s">
        <v>21</v>
      </c>
      <c r="I50" s="5" t="s">
        <v>21</v>
      </c>
      <c r="J50" s="1" t="s">
        <v>257</v>
      </c>
      <c r="K50" s="1" t="s">
        <v>258</v>
      </c>
      <c r="L50" s="1" t="s">
        <v>259</v>
      </c>
      <c r="M50" s="4" t="str">
        <f t="shared" si="0"/>
        <v>Outstanding</v>
      </c>
      <c r="N50" s="13" t="s">
        <v>21</v>
      </c>
    </row>
    <row r="51" spans="1:14" ht="60" customHeight="1" x14ac:dyDescent="0.35">
      <c r="A51" s="11" t="s">
        <v>260</v>
      </c>
      <c r="B51" s="1" t="s">
        <v>261</v>
      </c>
      <c r="C51" s="2" t="s">
        <v>16</v>
      </c>
      <c r="D51" s="3" t="s">
        <v>225</v>
      </c>
      <c r="E51" s="4" t="s">
        <v>18</v>
      </c>
      <c r="F51" s="4" t="s">
        <v>19</v>
      </c>
      <c r="G51" s="4" t="s">
        <v>20</v>
      </c>
      <c r="H51" s="4" t="s">
        <v>21</v>
      </c>
      <c r="I51" s="5" t="s">
        <v>21</v>
      </c>
      <c r="J51" s="1" t="s">
        <v>262</v>
      </c>
      <c r="K51" s="1" t="s">
        <v>263</v>
      </c>
      <c r="L51" s="1" t="s">
        <v>264</v>
      </c>
      <c r="M51" s="4" t="str">
        <f t="shared" si="0"/>
        <v>Outstanding</v>
      </c>
      <c r="N51" s="13" t="s">
        <v>21</v>
      </c>
    </row>
    <row r="52" spans="1:14" ht="60" customHeight="1" x14ac:dyDescent="0.35">
      <c r="A52" s="11" t="s">
        <v>265</v>
      </c>
      <c r="B52" s="1" t="s">
        <v>266</v>
      </c>
      <c r="C52" s="2" t="s">
        <v>16</v>
      </c>
      <c r="D52" s="3" t="s">
        <v>225</v>
      </c>
      <c r="E52" s="4" t="s">
        <v>18</v>
      </c>
      <c r="F52" s="4" t="s">
        <v>19</v>
      </c>
      <c r="G52" s="4" t="s">
        <v>20</v>
      </c>
      <c r="H52" s="4" t="s">
        <v>21</v>
      </c>
      <c r="I52" s="5" t="s">
        <v>21</v>
      </c>
      <c r="J52" s="1" t="s">
        <v>267</v>
      </c>
      <c r="K52" s="1" t="s">
        <v>268</v>
      </c>
      <c r="L52" s="1" t="s">
        <v>269</v>
      </c>
      <c r="M52" s="4" t="str">
        <f t="shared" si="0"/>
        <v>Outstanding</v>
      </c>
      <c r="N52" s="13" t="s">
        <v>21</v>
      </c>
    </row>
    <row r="53" spans="1:14" ht="60" customHeight="1" x14ac:dyDescent="0.35">
      <c r="A53" s="11" t="s">
        <v>270</v>
      </c>
      <c r="B53" s="1" t="s">
        <v>271</v>
      </c>
      <c r="C53" s="2" t="s">
        <v>16</v>
      </c>
      <c r="D53" s="3" t="s">
        <v>225</v>
      </c>
      <c r="E53" s="4" t="s">
        <v>18</v>
      </c>
      <c r="F53" s="4" t="s">
        <v>19</v>
      </c>
      <c r="G53" s="4" t="s">
        <v>20</v>
      </c>
      <c r="H53" s="4" t="s">
        <v>21</v>
      </c>
      <c r="I53" s="5" t="s">
        <v>21</v>
      </c>
      <c r="J53" s="1" t="s">
        <v>272</v>
      </c>
      <c r="K53" s="1" t="s">
        <v>273</v>
      </c>
      <c r="L53" s="1" t="s">
        <v>274</v>
      </c>
      <c r="M53" s="4" t="str">
        <f t="shared" si="0"/>
        <v>Outstanding</v>
      </c>
      <c r="N53" s="13" t="s">
        <v>21</v>
      </c>
    </row>
    <row r="54" spans="1:14" ht="60" customHeight="1" x14ac:dyDescent="0.35">
      <c r="A54" s="11" t="s">
        <v>275</v>
      </c>
      <c r="B54" s="1" t="s">
        <v>276</v>
      </c>
      <c r="C54" s="2" t="s">
        <v>241</v>
      </c>
      <c r="D54" s="3" t="s">
        <v>225</v>
      </c>
      <c r="E54" s="4" t="s">
        <v>18</v>
      </c>
      <c r="F54" s="4" t="s">
        <v>19</v>
      </c>
      <c r="G54" s="4" t="s">
        <v>20</v>
      </c>
      <c r="H54" s="4" t="s">
        <v>21</v>
      </c>
      <c r="I54" s="5" t="s">
        <v>21</v>
      </c>
      <c r="J54" s="1" t="s">
        <v>277</v>
      </c>
      <c r="K54" s="1" t="s">
        <v>278</v>
      </c>
      <c r="L54" s="1" t="s">
        <v>279</v>
      </c>
      <c r="M54" s="4" t="str">
        <f t="shared" si="0"/>
        <v>Outstanding</v>
      </c>
      <c r="N54" s="13" t="s">
        <v>21</v>
      </c>
    </row>
    <row r="55" spans="1:14" ht="60" customHeight="1" x14ac:dyDescent="0.35">
      <c r="A55" s="11" t="s">
        <v>280</v>
      </c>
      <c r="B55" s="1" t="s">
        <v>281</v>
      </c>
      <c r="C55" s="2" t="s">
        <v>241</v>
      </c>
      <c r="D55" s="3" t="s">
        <v>225</v>
      </c>
      <c r="E55" s="4" t="s">
        <v>18</v>
      </c>
      <c r="F55" s="4" t="s">
        <v>19</v>
      </c>
      <c r="G55" s="4" t="s">
        <v>20</v>
      </c>
      <c r="H55" s="4" t="s">
        <v>21</v>
      </c>
      <c r="I55" s="5" t="s">
        <v>21</v>
      </c>
      <c r="J55" s="1" t="s">
        <v>282</v>
      </c>
      <c r="K55" s="1" t="s">
        <v>283</v>
      </c>
      <c r="L55" s="1" t="s">
        <v>284</v>
      </c>
      <c r="M55" s="4" t="str">
        <f t="shared" si="0"/>
        <v>Outstanding</v>
      </c>
      <c r="N55" s="13" t="s">
        <v>21</v>
      </c>
    </row>
    <row r="56" spans="1:14" ht="60" customHeight="1" x14ac:dyDescent="0.35">
      <c r="A56" s="11" t="s">
        <v>285</v>
      </c>
      <c r="B56" s="1" t="s">
        <v>286</v>
      </c>
      <c r="C56" s="2" t="s">
        <v>16</v>
      </c>
      <c r="D56" s="3" t="s">
        <v>225</v>
      </c>
      <c r="E56" s="4" t="s">
        <v>18</v>
      </c>
      <c r="F56" s="4" t="s">
        <v>19</v>
      </c>
      <c r="G56" s="4" t="s">
        <v>20</v>
      </c>
      <c r="H56" s="4" t="s">
        <v>21</v>
      </c>
      <c r="I56" s="5" t="s">
        <v>21</v>
      </c>
      <c r="J56" s="1" t="s">
        <v>287</v>
      </c>
      <c r="K56" s="1" t="s">
        <v>288</v>
      </c>
      <c r="L56" s="1" t="s">
        <v>289</v>
      </c>
      <c r="M56" s="4" t="str">
        <f t="shared" si="0"/>
        <v>Outstanding</v>
      </c>
      <c r="N56" s="13" t="s">
        <v>21</v>
      </c>
    </row>
    <row r="57" spans="1:14" ht="60" customHeight="1" x14ac:dyDescent="0.35">
      <c r="A57" s="11" t="s">
        <v>290</v>
      </c>
      <c r="B57" s="1" t="s">
        <v>291</v>
      </c>
      <c r="C57" s="2" t="s">
        <v>16</v>
      </c>
      <c r="D57" s="3" t="s">
        <v>225</v>
      </c>
      <c r="E57" s="4" t="s">
        <v>18</v>
      </c>
      <c r="F57" s="4" t="s">
        <v>19</v>
      </c>
      <c r="G57" s="4" t="s">
        <v>20</v>
      </c>
      <c r="H57" s="4" t="s">
        <v>21</v>
      </c>
      <c r="I57" s="5" t="s">
        <v>21</v>
      </c>
      <c r="J57" s="1" t="s">
        <v>292</v>
      </c>
      <c r="K57" s="1" t="s">
        <v>293</v>
      </c>
      <c r="L57" s="1" t="s">
        <v>294</v>
      </c>
      <c r="M57" s="4" t="str">
        <f t="shared" si="0"/>
        <v>Outstanding</v>
      </c>
      <c r="N57" s="13" t="s">
        <v>21</v>
      </c>
    </row>
    <row r="58" spans="1:14" ht="60" customHeight="1" x14ac:dyDescent="0.35">
      <c r="A58" s="11" t="s">
        <v>295</v>
      </c>
      <c r="B58" s="1" t="s">
        <v>296</v>
      </c>
      <c r="C58" s="2" t="s">
        <v>16</v>
      </c>
      <c r="D58" s="3" t="s">
        <v>225</v>
      </c>
      <c r="E58" s="4" t="s">
        <v>18</v>
      </c>
      <c r="F58" s="4" t="s">
        <v>19</v>
      </c>
      <c r="G58" s="4" t="s">
        <v>20</v>
      </c>
      <c r="H58" s="4" t="s">
        <v>21</v>
      </c>
      <c r="I58" s="5" t="s">
        <v>21</v>
      </c>
      <c r="J58" s="1" t="s">
        <v>297</v>
      </c>
      <c r="K58" s="1" t="s">
        <v>298</v>
      </c>
      <c r="L58" s="1" t="s">
        <v>299</v>
      </c>
      <c r="M58" s="4" t="str">
        <f t="shared" si="0"/>
        <v>Outstanding</v>
      </c>
      <c r="N58" s="13" t="s">
        <v>21</v>
      </c>
    </row>
    <row r="59" spans="1:14" ht="60" customHeight="1" x14ac:dyDescent="0.35">
      <c r="A59" s="11" t="s">
        <v>300</v>
      </c>
      <c r="B59" s="1" t="s">
        <v>301</v>
      </c>
      <c r="C59" s="2" t="s">
        <v>16</v>
      </c>
      <c r="D59" s="3" t="s">
        <v>225</v>
      </c>
      <c r="E59" s="4" t="s">
        <v>18</v>
      </c>
      <c r="F59" s="4" t="s">
        <v>19</v>
      </c>
      <c r="G59" s="4" t="s">
        <v>20</v>
      </c>
      <c r="H59" s="4" t="s">
        <v>21</v>
      </c>
      <c r="I59" s="5" t="s">
        <v>21</v>
      </c>
      <c r="J59" s="1" t="s">
        <v>302</v>
      </c>
      <c r="K59" s="1" t="s">
        <v>303</v>
      </c>
      <c r="L59" s="1" t="s">
        <v>304</v>
      </c>
      <c r="M59" s="4" t="str">
        <f t="shared" si="0"/>
        <v>Outstanding</v>
      </c>
      <c r="N59" s="13" t="s">
        <v>21</v>
      </c>
    </row>
    <row r="60" spans="1:14" ht="60" customHeight="1" x14ac:dyDescent="0.35">
      <c r="A60" s="11" t="s">
        <v>305</v>
      </c>
      <c r="B60" s="1" t="s">
        <v>306</v>
      </c>
      <c r="C60" s="2" t="s">
        <v>16</v>
      </c>
      <c r="D60" s="3" t="s">
        <v>225</v>
      </c>
      <c r="E60" s="4" t="s">
        <v>18</v>
      </c>
      <c r="F60" s="4" t="s">
        <v>19</v>
      </c>
      <c r="G60" s="4" t="s">
        <v>20</v>
      </c>
      <c r="H60" s="4" t="s">
        <v>21</v>
      </c>
      <c r="I60" s="5" t="s">
        <v>21</v>
      </c>
      <c r="J60" s="1" t="s">
        <v>307</v>
      </c>
      <c r="K60" s="1" t="s">
        <v>308</v>
      </c>
      <c r="L60" s="1" t="s">
        <v>309</v>
      </c>
      <c r="M60" s="4" t="str">
        <f t="shared" si="0"/>
        <v>Outstanding</v>
      </c>
      <c r="N60" s="13" t="s">
        <v>21</v>
      </c>
    </row>
    <row r="61" spans="1:14" ht="60" customHeight="1" x14ac:dyDescent="0.35">
      <c r="A61" s="11" t="s">
        <v>310</v>
      </c>
      <c r="B61" s="1" t="s">
        <v>311</v>
      </c>
      <c r="C61" s="2" t="s">
        <v>16</v>
      </c>
      <c r="D61" s="3" t="s">
        <v>225</v>
      </c>
      <c r="E61" s="4" t="s">
        <v>18</v>
      </c>
      <c r="F61" s="4" t="s">
        <v>19</v>
      </c>
      <c r="G61" s="4" t="s">
        <v>20</v>
      </c>
      <c r="H61" s="4" t="s">
        <v>21</v>
      </c>
      <c r="I61" s="5" t="s">
        <v>21</v>
      </c>
      <c r="J61" s="1" t="s">
        <v>312</v>
      </c>
      <c r="K61" s="1" t="s">
        <v>313</v>
      </c>
      <c r="L61" s="1" t="s">
        <v>314</v>
      </c>
      <c r="M61" s="4" t="str">
        <f t="shared" si="0"/>
        <v>Outstanding</v>
      </c>
      <c r="N61" s="13" t="s">
        <v>21</v>
      </c>
    </row>
    <row r="62" spans="1:14" ht="60" customHeight="1" x14ac:dyDescent="0.35">
      <c r="A62" s="11" t="s">
        <v>315</v>
      </c>
      <c r="B62" s="1" t="s">
        <v>316</v>
      </c>
      <c r="C62" s="2" t="s">
        <v>16</v>
      </c>
      <c r="D62" s="3" t="s">
        <v>225</v>
      </c>
      <c r="E62" s="4" t="s">
        <v>18</v>
      </c>
      <c r="F62" s="4" t="s">
        <v>19</v>
      </c>
      <c r="G62" s="4" t="s">
        <v>20</v>
      </c>
      <c r="H62" s="4" t="s">
        <v>21</v>
      </c>
      <c r="I62" s="5" t="s">
        <v>21</v>
      </c>
      <c r="J62" s="1" t="s">
        <v>317</v>
      </c>
      <c r="K62" s="1" t="s">
        <v>318</v>
      </c>
      <c r="L62" s="1" t="s">
        <v>319</v>
      </c>
      <c r="M62" s="4" t="str">
        <f t="shared" si="0"/>
        <v>Outstanding</v>
      </c>
      <c r="N62" s="13" t="s">
        <v>21</v>
      </c>
    </row>
    <row r="63" spans="1:14" ht="60" customHeight="1" x14ac:dyDescent="0.35">
      <c r="A63" s="11" t="s">
        <v>320</v>
      </c>
      <c r="B63" s="1" t="s">
        <v>321</v>
      </c>
      <c r="C63" s="2" t="s">
        <v>16</v>
      </c>
      <c r="D63" s="3" t="s">
        <v>225</v>
      </c>
      <c r="E63" s="4" t="s">
        <v>18</v>
      </c>
      <c r="F63" s="4" t="s">
        <v>19</v>
      </c>
      <c r="G63" s="4" t="s">
        <v>20</v>
      </c>
      <c r="H63" s="4" t="s">
        <v>21</v>
      </c>
      <c r="I63" s="5" t="s">
        <v>21</v>
      </c>
      <c r="J63" s="1" t="s">
        <v>322</v>
      </c>
      <c r="K63" s="1" t="s">
        <v>323</v>
      </c>
      <c r="L63" s="1" t="s">
        <v>324</v>
      </c>
      <c r="M63" s="4" t="str">
        <f t="shared" si="0"/>
        <v>Outstanding</v>
      </c>
      <c r="N63" s="13" t="s">
        <v>21</v>
      </c>
    </row>
    <row r="64" spans="1:14" ht="60" customHeight="1" x14ac:dyDescent="0.35">
      <c r="A64" s="11" t="s">
        <v>325</v>
      </c>
      <c r="B64" s="1" t="s">
        <v>326</v>
      </c>
      <c r="C64" s="2" t="s">
        <v>16</v>
      </c>
      <c r="D64" s="3" t="s">
        <v>225</v>
      </c>
      <c r="E64" s="4" t="s">
        <v>18</v>
      </c>
      <c r="F64" s="4" t="s">
        <v>19</v>
      </c>
      <c r="G64" s="4" t="s">
        <v>20</v>
      </c>
      <c r="H64" s="4" t="s">
        <v>21</v>
      </c>
      <c r="I64" s="5" t="s">
        <v>21</v>
      </c>
      <c r="J64" s="1" t="s">
        <v>327</v>
      </c>
      <c r="K64" s="1" t="s">
        <v>328</v>
      </c>
      <c r="L64" s="1" t="s">
        <v>329</v>
      </c>
      <c r="M64" s="4" t="str">
        <f t="shared" si="0"/>
        <v>Outstanding</v>
      </c>
      <c r="N64" s="13" t="s">
        <v>21</v>
      </c>
    </row>
    <row r="65" spans="1:14" ht="60" customHeight="1" x14ac:dyDescent="0.35">
      <c r="A65" s="11" t="s">
        <v>330</v>
      </c>
      <c r="B65" s="1" t="s">
        <v>331</v>
      </c>
      <c r="C65" s="2" t="s">
        <v>241</v>
      </c>
      <c r="D65" s="3" t="s">
        <v>225</v>
      </c>
      <c r="E65" s="4" t="s">
        <v>18</v>
      </c>
      <c r="F65" s="4" t="s">
        <v>19</v>
      </c>
      <c r="G65" s="4" t="s">
        <v>20</v>
      </c>
      <c r="H65" s="4" t="s">
        <v>21</v>
      </c>
      <c r="I65" s="5" t="s">
        <v>21</v>
      </c>
      <c r="J65" s="1" t="s">
        <v>332</v>
      </c>
      <c r="K65" s="1" t="s">
        <v>333</v>
      </c>
      <c r="L65" s="1" t="s">
        <v>334</v>
      </c>
      <c r="M65" s="4" t="str">
        <f t="shared" si="0"/>
        <v>Outstanding</v>
      </c>
      <c r="N65" s="13" t="s">
        <v>21</v>
      </c>
    </row>
    <row r="66" spans="1:14" ht="60" customHeight="1" x14ac:dyDescent="0.35">
      <c r="A66" s="11" t="s">
        <v>335</v>
      </c>
      <c r="B66" s="1" t="s">
        <v>336</v>
      </c>
      <c r="C66" s="2" t="s">
        <v>16</v>
      </c>
      <c r="D66" s="3" t="s">
        <v>337</v>
      </c>
      <c r="E66" s="4" t="s">
        <v>18</v>
      </c>
      <c r="F66" s="4" t="s">
        <v>19</v>
      </c>
      <c r="G66" s="4" t="s">
        <v>20</v>
      </c>
      <c r="H66" s="4" t="s">
        <v>21</v>
      </c>
      <c r="I66" s="5" t="s">
        <v>21</v>
      </c>
      <c r="J66" s="1" t="s">
        <v>338</v>
      </c>
      <c r="K66" s="1" t="s">
        <v>339</v>
      </c>
      <c r="L66" s="1" t="s">
        <v>340</v>
      </c>
      <c r="M66" s="4" t="str">
        <f t="shared" si="0"/>
        <v>Outstanding</v>
      </c>
      <c r="N66" s="13" t="s">
        <v>21</v>
      </c>
    </row>
    <row r="67" spans="1:14" ht="60" customHeight="1" x14ac:dyDescent="0.35">
      <c r="A67" s="11" t="s">
        <v>341</v>
      </c>
      <c r="B67" s="1" t="s">
        <v>342</v>
      </c>
      <c r="C67" s="2" t="s">
        <v>16</v>
      </c>
      <c r="D67" s="3" t="s">
        <v>337</v>
      </c>
      <c r="E67" s="4" t="s">
        <v>18</v>
      </c>
      <c r="F67" s="4" t="s">
        <v>19</v>
      </c>
      <c r="G67" s="4" t="s">
        <v>20</v>
      </c>
      <c r="H67" s="4" t="s">
        <v>21</v>
      </c>
      <c r="I67" s="5" t="s">
        <v>21</v>
      </c>
      <c r="J67" s="1" t="s">
        <v>343</v>
      </c>
      <c r="K67" s="1" t="s">
        <v>344</v>
      </c>
      <c r="L67" s="1" t="s">
        <v>345</v>
      </c>
      <c r="M67" s="4" t="str">
        <f t="shared" si="0"/>
        <v>Outstanding</v>
      </c>
      <c r="N67" s="13" t="s">
        <v>21</v>
      </c>
    </row>
    <row r="68" spans="1:14" ht="60" customHeight="1" x14ac:dyDescent="0.35">
      <c r="A68" s="11" t="s">
        <v>346</v>
      </c>
      <c r="B68" s="1" t="s">
        <v>347</v>
      </c>
      <c r="C68" s="2" t="s">
        <v>241</v>
      </c>
      <c r="D68" s="3" t="s">
        <v>337</v>
      </c>
      <c r="E68" s="4" t="s">
        <v>18</v>
      </c>
      <c r="F68" s="4" t="s">
        <v>19</v>
      </c>
      <c r="G68" s="4" t="s">
        <v>20</v>
      </c>
      <c r="H68" s="4" t="s">
        <v>21</v>
      </c>
      <c r="I68" s="5" t="s">
        <v>21</v>
      </c>
      <c r="J68" s="1" t="s">
        <v>348</v>
      </c>
      <c r="K68" s="1" t="s">
        <v>349</v>
      </c>
      <c r="L68" s="1" t="s">
        <v>350</v>
      </c>
      <c r="M68" s="4" t="str">
        <f t="shared" si="0"/>
        <v>Outstanding</v>
      </c>
      <c r="N68" s="13" t="s">
        <v>21</v>
      </c>
    </row>
    <row r="69" spans="1:14" ht="60" customHeight="1" x14ac:dyDescent="0.35">
      <c r="A69" s="11" t="s">
        <v>351</v>
      </c>
      <c r="B69" s="1" t="s">
        <v>352</v>
      </c>
      <c r="C69" s="2" t="s">
        <v>16</v>
      </c>
      <c r="D69" s="3" t="s">
        <v>337</v>
      </c>
      <c r="E69" s="4" t="s">
        <v>18</v>
      </c>
      <c r="F69" s="4" t="s">
        <v>19</v>
      </c>
      <c r="G69" s="4" t="s">
        <v>20</v>
      </c>
      <c r="H69" s="4" t="s">
        <v>21</v>
      </c>
      <c r="I69" s="5" t="s">
        <v>21</v>
      </c>
      <c r="J69" s="1" t="s">
        <v>353</v>
      </c>
      <c r="K69" s="1" t="s">
        <v>354</v>
      </c>
      <c r="L69" s="1" t="s">
        <v>355</v>
      </c>
      <c r="M69" s="4" t="str">
        <f t="shared" si="0"/>
        <v>Outstanding</v>
      </c>
      <c r="N69" s="13" t="s">
        <v>21</v>
      </c>
    </row>
    <row r="70" spans="1:14" ht="60" customHeight="1" x14ac:dyDescent="0.35">
      <c r="A70" s="11" t="s">
        <v>356</v>
      </c>
      <c r="B70" s="1" t="s">
        <v>357</v>
      </c>
      <c r="C70" s="2" t="s">
        <v>93</v>
      </c>
      <c r="D70" s="3" t="s">
        <v>337</v>
      </c>
      <c r="E70" s="4" t="s">
        <v>18</v>
      </c>
      <c r="F70" s="4" t="s">
        <v>19</v>
      </c>
      <c r="G70" s="4" t="s">
        <v>20</v>
      </c>
      <c r="H70" s="4" t="s">
        <v>21</v>
      </c>
      <c r="I70" s="5" t="s">
        <v>21</v>
      </c>
      <c r="J70" s="1" t="s">
        <v>358</v>
      </c>
      <c r="K70" s="1" t="s">
        <v>359</v>
      </c>
      <c r="L70" s="1" t="s">
        <v>360</v>
      </c>
      <c r="M70" s="4" t="str">
        <f t="shared" si="0"/>
        <v>Outstanding</v>
      </c>
      <c r="N70" s="13" t="s">
        <v>21</v>
      </c>
    </row>
    <row r="71" spans="1:14" ht="60" customHeight="1" x14ac:dyDescent="0.35">
      <c r="A71" s="11" t="s">
        <v>361</v>
      </c>
      <c r="B71" s="1" t="s">
        <v>362</v>
      </c>
      <c r="C71" s="2" t="s">
        <v>16</v>
      </c>
      <c r="D71" s="3" t="s">
        <v>337</v>
      </c>
      <c r="E71" s="4" t="s">
        <v>18</v>
      </c>
      <c r="F71" s="4" t="s">
        <v>19</v>
      </c>
      <c r="G71" s="4" t="s">
        <v>20</v>
      </c>
      <c r="H71" s="4" t="s">
        <v>21</v>
      </c>
      <c r="I71" s="5" t="s">
        <v>21</v>
      </c>
      <c r="J71" s="1" t="s">
        <v>363</v>
      </c>
      <c r="K71" s="1" t="s">
        <v>364</v>
      </c>
      <c r="L71" s="1" t="s">
        <v>365</v>
      </c>
      <c r="M71" s="4" t="str">
        <f t="shared" si="0"/>
        <v>Outstanding</v>
      </c>
      <c r="N71" s="13" t="s">
        <v>21</v>
      </c>
    </row>
    <row r="72" spans="1:14" ht="60" customHeight="1" x14ac:dyDescent="0.35">
      <c r="A72" s="11" t="s">
        <v>366</v>
      </c>
      <c r="B72" s="1" t="s">
        <v>367</v>
      </c>
      <c r="C72" s="2" t="s">
        <v>241</v>
      </c>
      <c r="D72" s="3" t="s">
        <v>337</v>
      </c>
      <c r="E72" s="4" t="s">
        <v>18</v>
      </c>
      <c r="F72" s="4" t="s">
        <v>19</v>
      </c>
      <c r="G72" s="4" t="s">
        <v>20</v>
      </c>
      <c r="H72" s="4" t="s">
        <v>21</v>
      </c>
      <c r="I72" s="5" t="s">
        <v>21</v>
      </c>
      <c r="J72" s="1" t="s">
        <v>368</v>
      </c>
      <c r="K72" s="1" t="s">
        <v>369</v>
      </c>
      <c r="L72" s="1" t="s">
        <v>370</v>
      </c>
      <c r="M72" s="4" t="str">
        <f t="shared" si="0"/>
        <v>Outstanding</v>
      </c>
      <c r="N72" s="13" t="s">
        <v>21</v>
      </c>
    </row>
    <row r="73" spans="1:14" ht="60" customHeight="1" x14ac:dyDescent="0.35">
      <c r="A73" s="11" t="s">
        <v>371</v>
      </c>
      <c r="B73" s="1" t="s">
        <v>372</v>
      </c>
      <c r="C73" s="2" t="s">
        <v>16</v>
      </c>
      <c r="D73" s="3" t="s">
        <v>337</v>
      </c>
      <c r="E73" s="4" t="s">
        <v>18</v>
      </c>
      <c r="F73" s="4" t="s">
        <v>19</v>
      </c>
      <c r="G73" s="4" t="s">
        <v>20</v>
      </c>
      <c r="H73" s="4" t="s">
        <v>21</v>
      </c>
      <c r="I73" s="5" t="s">
        <v>21</v>
      </c>
      <c r="J73" s="1" t="s">
        <v>373</v>
      </c>
      <c r="K73" s="1" t="s">
        <v>374</v>
      </c>
      <c r="L73" s="1" t="s">
        <v>375</v>
      </c>
      <c r="M73" s="4" t="str">
        <f t="shared" si="0"/>
        <v>Outstanding</v>
      </c>
      <c r="N73" s="13" t="s">
        <v>21</v>
      </c>
    </row>
    <row r="74" spans="1:14" ht="60" customHeight="1" x14ac:dyDescent="0.35">
      <c r="A74" s="11" t="s">
        <v>376</v>
      </c>
      <c r="B74" s="1" t="s">
        <v>377</v>
      </c>
      <c r="C74" s="2" t="s">
        <v>16</v>
      </c>
      <c r="D74" s="3" t="s">
        <v>337</v>
      </c>
      <c r="E74" s="4" t="s">
        <v>18</v>
      </c>
      <c r="F74" s="4" t="s">
        <v>19</v>
      </c>
      <c r="G74" s="4" t="s">
        <v>20</v>
      </c>
      <c r="H74" s="4" t="s">
        <v>21</v>
      </c>
      <c r="I74" s="5" t="s">
        <v>21</v>
      </c>
      <c r="J74" s="1" t="s">
        <v>378</v>
      </c>
      <c r="K74" s="1" t="s">
        <v>379</v>
      </c>
      <c r="L74" s="1" t="s">
        <v>380</v>
      </c>
      <c r="M74" s="4" t="str">
        <f t="shared" si="0"/>
        <v>Outstanding</v>
      </c>
      <c r="N74" s="13" t="s">
        <v>21</v>
      </c>
    </row>
    <row r="75" spans="1:14" ht="60" customHeight="1" x14ac:dyDescent="0.35">
      <c r="A75" s="11" t="s">
        <v>381</v>
      </c>
      <c r="B75" s="1" t="s">
        <v>382</v>
      </c>
      <c r="C75" s="2" t="s">
        <v>16</v>
      </c>
      <c r="D75" s="3" t="s">
        <v>337</v>
      </c>
      <c r="E75" s="4" t="s">
        <v>18</v>
      </c>
      <c r="F75" s="4" t="s">
        <v>19</v>
      </c>
      <c r="G75" s="4" t="s">
        <v>20</v>
      </c>
      <c r="H75" s="4" t="s">
        <v>21</v>
      </c>
      <c r="I75" s="5" t="s">
        <v>21</v>
      </c>
      <c r="J75" s="1" t="s">
        <v>383</v>
      </c>
      <c r="K75" s="1" t="s">
        <v>384</v>
      </c>
      <c r="L75" s="1" t="s">
        <v>385</v>
      </c>
      <c r="M75" s="4" t="str">
        <f t="shared" si="0"/>
        <v>Outstanding</v>
      </c>
      <c r="N75" s="13" t="s">
        <v>21</v>
      </c>
    </row>
    <row r="76" spans="1:14" ht="60" customHeight="1" x14ac:dyDescent="0.35">
      <c r="A76" s="11" t="s">
        <v>386</v>
      </c>
      <c r="B76" s="1" t="s">
        <v>387</v>
      </c>
      <c r="C76" s="2" t="s">
        <v>241</v>
      </c>
      <c r="D76" s="3" t="s">
        <v>337</v>
      </c>
      <c r="E76" s="4" t="s">
        <v>18</v>
      </c>
      <c r="F76" s="4" t="s">
        <v>19</v>
      </c>
      <c r="G76" s="4" t="s">
        <v>20</v>
      </c>
      <c r="H76" s="4" t="s">
        <v>21</v>
      </c>
      <c r="I76" s="5" t="s">
        <v>21</v>
      </c>
      <c r="J76" s="1" t="s">
        <v>388</v>
      </c>
      <c r="K76" s="1" t="s">
        <v>389</v>
      </c>
      <c r="L76" s="1" t="s">
        <v>390</v>
      </c>
      <c r="M76" s="4" t="str">
        <f t="shared" si="0"/>
        <v>Outstanding</v>
      </c>
      <c r="N76" s="13" t="s">
        <v>21</v>
      </c>
    </row>
    <row r="77" spans="1:14" ht="60" customHeight="1" x14ac:dyDescent="0.35">
      <c r="A77" s="11" t="s">
        <v>391</v>
      </c>
      <c r="B77" s="1" t="s">
        <v>392</v>
      </c>
      <c r="C77" s="2" t="s">
        <v>16</v>
      </c>
      <c r="D77" s="3" t="s">
        <v>337</v>
      </c>
      <c r="E77" s="4" t="s">
        <v>18</v>
      </c>
      <c r="F77" s="4" t="s">
        <v>19</v>
      </c>
      <c r="G77" s="4" t="s">
        <v>20</v>
      </c>
      <c r="H77" s="4" t="s">
        <v>21</v>
      </c>
      <c r="I77" s="5" t="s">
        <v>21</v>
      </c>
      <c r="J77" s="1" t="s">
        <v>393</v>
      </c>
      <c r="K77" s="1" t="s">
        <v>394</v>
      </c>
      <c r="L77" s="1" t="s">
        <v>395</v>
      </c>
      <c r="M77" s="4" t="str">
        <f t="shared" si="0"/>
        <v>Outstanding</v>
      </c>
      <c r="N77" s="13" t="s">
        <v>21</v>
      </c>
    </row>
    <row r="78" spans="1:14" ht="60" customHeight="1" x14ac:dyDescent="0.35">
      <c r="A78" s="11" t="s">
        <v>396</v>
      </c>
      <c r="B78" s="1" t="s">
        <v>397</v>
      </c>
      <c r="C78" s="2" t="s">
        <v>16</v>
      </c>
      <c r="D78" s="3" t="s">
        <v>337</v>
      </c>
      <c r="E78" s="4" t="s">
        <v>18</v>
      </c>
      <c r="F78" s="4" t="s">
        <v>19</v>
      </c>
      <c r="G78" s="4" t="s">
        <v>20</v>
      </c>
      <c r="H78" s="4" t="s">
        <v>21</v>
      </c>
      <c r="I78" s="5" t="s">
        <v>21</v>
      </c>
      <c r="J78" s="1" t="s">
        <v>393</v>
      </c>
      <c r="K78" s="1" t="s">
        <v>398</v>
      </c>
      <c r="L78" s="1" t="s">
        <v>399</v>
      </c>
      <c r="M78" s="4" t="str">
        <f t="shared" si="0"/>
        <v>Outstanding</v>
      </c>
      <c r="N78" s="13" t="s">
        <v>21</v>
      </c>
    </row>
    <row r="79" spans="1:14" ht="60" customHeight="1" x14ac:dyDescent="0.35">
      <c r="A79" s="11" t="s">
        <v>400</v>
      </c>
      <c r="B79" s="1" t="s">
        <v>401</v>
      </c>
      <c r="C79" s="2" t="s">
        <v>241</v>
      </c>
      <c r="D79" s="3" t="s">
        <v>337</v>
      </c>
      <c r="E79" s="4" t="s">
        <v>18</v>
      </c>
      <c r="F79" s="4" t="s">
        <v>19</v>
      </c>
      <c r="G79" s="4" t="s">
        <v>20</v>
      </c>
      <c r="H79" s="4" t="s">
        <v>21</v>
      </c>
      <c r="I79" s="5" t="s">
        <v>21</v>
      </c>
      <c r="J79" s="1" t="s">
        <v>402</v>
      </c>
      <c r="K79" s="1" t="s">
        <v>403</v>
      </c>
      <c r="L79" s="1" t="s">
        <v>404</v>
      </c>
      <c r="M79" s="4" t="str">
        <f t="shared" si="0"/>
        <v>Outstanding</v>
      </c>
      <c r="N79" s="13" t="s">
        <v>21</v>
      </c>
    </row>
    <row r="80" spans="1:14" ht="60" customHeight="1" x14ac:dyDescent="0.35">
      <c r="A80" s="11" t="s">
        <v>405</v>
      </c>
      <c r="B80" s="1" t="s">
        <v>406</v>
      </c>
      <c r="C80" s="2" t="s">
        <v>93</v>
      </c>
      <c r="D80" s="3" t="s">
        <v>337</v>
      </c>
      <c r="E80" s="4" t="s">
        <v>18</v>
      </c>
      <c r="F80" s="4" t="s">
        <v>19</v>
      </c>
      <c r="G80" s="4" t="s">
        <v>20</v>
      </c>
      <c r="H80" s="4" t="s">
        <v>21</v>
      </c>
      <c r="I80" s="5" t="s">
        <v>21</v>
      </c>
      <c r="J80" s="1" t="s">
        <v>407</v>
      </c>
      <c r="K80" s="1" t="s">
        <v>408</v>
      </c>
      <c r="L80" s="1" t="s">
        <v>409</v>
      </c>
      <c r="M80" s="4" t="str">
        <f t="shared" si="0"/>
        <v>Outstanding</v>
      </c>
      <c r="N80" s="13" t="s">
        <v>21</v>
      </c>
    </row>
    <row r="81" spans="1:14" ht="60" customHeight="1" x14ac:dyDescent="0.35">
      <c r="A81" s="11" t="s">
        <v>410</v>
      </c>
      <c r="B81" s="1" t="s">
        <v>411</v>
      </c>
      <c r="C81" s="2" t="s">
        <v>16</v>
      </c>
      <c r="D81" s="3" t="s">
        <v>337</v>
      </c>
      <c r="E81" s="4" t="s">
        <v>18</v>
      </c>
      <c r="F81" s="4" t="s">
        <v>19</v>
      </c>
      <c r="G81" s="4" t="s">
        <v>20</v>
      </c>
      <c r="H81" s="4" t="s">
        <v>21</v>
      </c>
      <c r="I81" s="5" t="s">
        <v>21</v>
      </c>
      <c r="J81" s="1" t="s">
        <v>412</v>
      </c>
      <c r="K81" s="1" t="s">
        <v>413</v>
      </c>
      <c r="L81" s="1" t="s">
        <v>414</v>
      </c>
      <c r="M81" s="4" t="str">
        <f t="shared" si="0"/>
        <v>Outstanding</v>
      </c>
      <c r="N81" s="13" t="s">
        <v>21</v>
      </c>
    </row>
    <row r="82" spans="1:14" ht="60" customHeight="1" x14ac:dyDescent="0.35">
      <c r="A82" s="11" t="s">
        <v>415</v>
      </c>
      <c r="B82" s="1" t="s">
        <v>416</v>
      </c>
      <c r="C82" s="2" t="s">
        <v>16</v>
      </c>
      <c r="D82" s="3" t="s">
        <v>337</v>
      </c>
      <c r="E82" s="4" t="s">
        <v>18</v>
      </c>
      <c r="F82" s="4" t="s">
        <v>19</v>
      </c>
      <c r="G82" s="4" t="s">
        <v>20</v>
      </c>
      <c r="H82" s="4" t="s">
        <v>21</v>
      </c>
      <c r="I82" s="5" t="s">
        <v>21</v>
      </c>
      <c r="J82" s="1" t="s">
        <v>417</v>
      </c>
      <c r="K82" s="1" t="s">
        <v>418</v>
      </c>
      <c r="L82" s="1" t="s">
        <v>419</v>
      </c>
      <c r="M82" s="4" t="str">
        <f t="shared" si="0"/>
        <v>Outstanding</v>
      </c>
      <c r="N82" s="13" t="s">
        <v>21</v>
      </c>
    </row>
    <row r="83" spans="1:14" ht="60" customHeight="1" x14ac:dyDescent="0.35">
      <c r="A83" s="11" t="s">
        <v>420</v>
      </c>
      <c r="B83" s="1" t="s">
        <v>421</v>
      </c>
      <c r="C83" s="2" t="s">
        <v>16</v>
      </c>
      <c r="D83" s="3" t="s">
        <v>337</v>
      </c>
      <c r="E83" s="4" t="s">
        <v>18</v>
      </c>
      <c r="F83" s="4" t="s">
        <v>19</v>
      </c>
      <c r="G83" s="4" t="s">
        <v>20</v>
      </c>
      <c r="H83" s="4" t="s">
        <v>21</v>
      </c>
      <c r="I83" s="5" t="s">
        <v>21</v>
      </c>
      <c r="J83" s="1" t="s">
        <v>422</v>
      </c>
      <c r="K83" s="1" t="s">
        <v>423</v>
      </c>
      <c r="L83" s="1" t="s">
        <v>424</v>
      </c>
      <c r="M83" s="4" t="str">
        <f t="shared" si="0"/>
        <v>Outstanding</v>
      </c>
      <c r="N83" s="13" t="s">
        <v>21</v>
      </c>
    </row>
    <row r="84" spans="1:14" ht="60" customHeight="1" x14ac:dyDescent="0.35">
      <c r="A84" s="11" t="s">
        <v>425</v>
      </c>
      <c r="B84" s="1" t="s">
        <v>426</v>
      </c>
      <c r="C84" s="2" t="s">
        <v>93</v>
      </c>
      <c r="D84" s="3" t="s">
        <v>337</v>
      </c>
      <c r="E84" s="4" t="s">
        <v>18</v>
      </c>
      <c r="F84" s="4" t="s">
        <v>19</v>
      </c>
      <c r="G84" s="4" t="s">
        <v>20</v>
      </c>
      <c r="H84" s="4" t="s">
        <v>21</v>
      </c>
      <c r="I84" s="5" t="s">
        <v>21</v>
      </c>
      <c r="J84" s="1" t="s">
        <v>427</v>
      </c>
      <c r="K84" s="1" t="s">
        <v>428</v>
      </c>
      <c r="L84" s="1" t="s">
        <v>429</v>
      </c>
      <c r="M84" s="4" t="str">
        <f t="shared" si="0"/>
        <v>Outstanding</v>
      </c>
      <c r="N84" s="13" t="s">
        <v>21</v>
      </c>
    </row>
    <row r="85" spans="1:14" ht="60" customHeight="1" x14ac:dyDescent="0.35">
      <c r="A85" s="11" t="s">
        <v>430</v>
      </c>
      <c r="B85" s="1" t="s">
        <v>431</v>
      </c>
      <c r="C85" s="2" t="s">
        <v>16</v>
      </c>
      <c r="D85" s="3" t="s">
        <v>337</v>
      </c>
      <c r="E85" s="4" t="s">
        <v>18</v>
      </c>
      <c r="F85" s="4" t="s">
        <v>19</v>
      </c>
      <c r="G85" s="4" t="s">
        <v>20</v>
      </c>
      <c r="H85" s="4" t="s">
        <v>21</v>
      </c>
      <c r="I85" s="5" t="s">
        <v>21</v>
      </c>
      <c r="J85" s="1" t="s">
        <v>432</v>
      </c>
      <c r="K85" s="1" t="s">
        <v>433</v>
      </c>
      <c r="L85" s="1" t="s">
        <v>434</v>
      </c>
      <c r="M85" s="4" t="str">
        <f t="shared" si="0"/>
        <v>Outstanding</v>
      </c>
      <c r="N85" s="13" t="s">
        <v>21</v>
      </c>
    </row>
    <row r="86" spans="1:14" ht="60" customHeight="1" x14ac:dyDescent="0.35">
      <c r="A86" s="11" t="s">
        <v>435</v>
      </c>
      <c r="B86" s="1" t="s">
        <v>436</v>
      </c>
      <c r="C86" s="2" t="s">
        <v>16</v>
      </c>
      <c r="D86" s="3" t="s">
        <v>337</v>
      </c>
      <c r="E86" s="4" t="s">
        <v>18</v>
      </c>
      <c r="F86" s="4" t="s">
        <v>19</v>
      </c>
      <c r="G86" s="4" t="s">
        <v>20</v>
      </c>
      <c r="H86" s="4" t="s">
        <v>21</v>
      </c>
      <c r="I86" s="5" t="s">
        <v>21</v>
      </c>
      <c r="J86" s="1" t="s">
        <v>437</v>
      </c>
      <c r="K86" s="1" t="s">
        <v>438</v>
      </c>
      <c r="L86" s="1" t="s">
        <v>439</v>
      </c>
      <c r="M86" s="4" t="str">
        <f t="shared" si="0"/>
        <v>Outstanding</v>
      </c>
      <c r="N86" s="13" t="s">
        <v>21</v>
      </c>
    </row>
    <row r="87" spans="1:14" ht="60" customHeight="1" x14ac:dyDescent="0.35">
      <c r="A87" s="11" t="s">
        <v>440</v>
      </c>
      <c r="B87" s="1" t="s">
        <v>441</v>
      </c>
      <c r="C87" s="2" t="s">
        <v>16</v>
      </c>
      <c r="D87" s="3" t="s">
        <v>337</v>
      </c>
      <c r="E87" s="4" t="s">
        <v>18</v>
      </c>
      <c r="F87" s="4" t="s">
        <v>19</v>
      </c>
      <c r="G87" s="4" t="s">
        <v>20</v>
      </c>
      <c r="H87" s="4" t="s">
        <v>21</v>
      </c>
      <c r="I87" s="5" t="s">
        <v>21</v>
      </c>
      <c r="J87" s="1" t="s">
        <v>442</v>
      </c>
      <c r="K87" s="1" t="s">
        <v>438</v>
      </c>
      <c r="L87" s="1" t="s">
        <v>443</v>
      </c>
      <c r="M87" s="4" t="str">
        <f t="shared" si="0"/>
        <v>Outstanding</v>
      </c>
      <c r="N87" s="13" t="s">
        <v>21</v>
      </c>
    </row>
    <row r="88" spans="1:14" ht="60" customHeight="1" x14ac:dyDescent="0.35">
      <c r="A88" s="11" t="s">
        <v>444</v>
      </c>
      <c r="B88" s="1" t="s">
        <v>445</v>
      </c>
      <c r="C88" s="2" t="s">
        <v>16</v>
      </c>
      <c r="D88" s="3" t="s">
        <v>337</v>
      </c>
      <c r="E88" s="4" t="s">
        <v>18</v>
      </c>
      <c r="F88" s="4" t="s">
        <v>19</v>
      </c>
      <c r="G88" s="4" t="s">
        <v>20</v>
      </c>
      <c r="H88" s="4" t="s">
        <v>21</v>
      </c>
      <c r="I88" s="5" t="s">
        <v>21</v>
      </c>
      <c r="J88" s="1" t="s">
        <v>446</v>
      </c>
      <c r="K88" s="1" t="s">
        <v>447</v>
      </c>
      <c r="L88" s="1" t="s">
        <v>448</v>
      </c>
      <c r="M88" s="4" t="str">
        <f t="shared" si="0"/>
        <v>Outstanding</v>
      </c>
      <c r="N88" s="13" t="s">
        <v>21</v>
      </c>
    </row>
    <row r="89" spans="1:14" ht="60" customHeight="1" x14ac:dyDescent="0.35">
      <c r="A89" s="11" t="s">
        <v>449</v>
      </c>
      <c r="B89" s="1" t="s">
        <v>450</v>
      </c>
      <c r="C89" s="2" t="s">
        <v>241</v>
      </c>
      <c r="D89" s="3" t="s">
        <v>337</v>
      </c>
      <c r="E89" s="4" t="s">
        <v>18</v>
      </c>
      <c r="F89" s="4" t="s">
        <v>19</v>
      </c>
      <c r="G89" s="4" t="s">
        <v>20</v>
      </c>
      <c r="H89" s="4" t="s">
        <v>21</v>
      </c>
      <c r="I89" s="5" t="s">
        <v>21</v>
      </c>
      <c r="J89" s="1" t="s">
        <v>451</v>
      </c>
      <c r="K89" s="1" t="s">
        <v>452</v>
      </c>
      <c r="L89" s="1" t="s">
        <v>453</v>
      </c>
      <c r="M89" s="4" t="str">
        <f t="shared" si="0"/>
        <v>Outstanding</v>
      </c>
      <c r="N89" s="13" t="s">
        <v>21</v>
      </c>
    </row>
    <row r="90" spans="1:14" ht="60" customHeight="1" x14ac:dyDescent="0.35">
      <c r="A90" s="11" t="s">
        <v>454</v>
      </c>
      <c r="B90" s="1" t="s">
        <v>455</v>
      </c>
      <c r="C90" s="2" t="s">
        <v>241</v>
      </c>
      <c r="D90" s="3" t="s">
        <v>337</v>
      </c>
      <c r="E90" s="4" t="s">
        <v>18</v>
      </c>
      <c r="F90" s="4" t="s">
        <v>19</v>
      </c>
      <c r="G90" s="4" t="s">
        <v>20</v>
      </c>
      <c r="H90" s="4" t="s">
        <v>21</v>
      </c>
      <c r="I90" s="5" t="s">
        <v>21</v>
      </c>
      <c r="J90" s="1" t="s">
        <v>456</v>
      </c>
      <c r="K90" s="1" t="s">
        <v>457</v>
      </c>
      <c r="L90" s="1" t="s">
        <v>458</v>
      </c>
      <c r="M90" s="4" t="str">
        <f t="shared" si="0"/>
        <v>Outstanding</v>
      </c>
      <c r="N90" s="13" t="s">
        <v>21</v>
      </c>
    </row>
    <row r="91" spans="1:14" ht="60" customHeight="1" x14ac:dyDescent="0.35">
      <c r="A91" s="11" t="s">
        <v>459</v>
      </c>
      <c r="B91" s="1" t="s">
        <v>460</v>
      </c>
      <c r="C91" s="2" t="s">
        <v>16</v>
      </c>
      <c r="D91" s="3" t="s">
        <v>337</v>
      </c>
      <c r="E91" s="4" t="s">
        <v>18</v>
      </c>
      <c r="F91" s="4" t="s">
        <v>19</v>
      </c>
      <c r="G91" s="4" t="s">
        <v>20</v>
      </c>
      <c r="H91" s="4" t="s">
        <v>21</v>
      </c>
      <c r="I91" s="5" t="s">
        <v>21</v>
      </c>
      <c r="J91" s="1" t="s">
        <v>461</v>
      </c>
      <c r="K91" s="1" t="s">
        <v>462</v>
      </c>
      <c r="L91" s="1" t="s">
        <v>463</v>
      </c>
      <c r="M91" s="4" t="str">
        <f t="shared" si="0"/>
        <v>Outstanding</v>
      </c>
      <c r="N91" s="13" t="s">
        <v>21</v>
      </c>
    </row>
    <row r="92" spans="1:14" ht="60" customHeight="1" x14ac:dyDescent="0.35">
      <c r="A92" s="11" t="s">
        <v>464</v>
      </c>
      <c r="B92" s="1" t="s">
        <v>465</v>
      </c>
      <c r="C92" s="2" t="s">
        <v>16</v>
      </c>
      <c r="D92" s="3" t="s">
        <v>337</v>
      </c>
      <c r="E92" s="4" t="s">
        <v>18</v>
      </c>
      <c r="F92" s="4" t="s">
        <v>19</v>
      </c>
      <c r="G92" s="4" t="s">
        <v>20</v>
      </c>
      <c r="H92" s="4" t="s">
        <v>21</v>
      </c>
      <c r="I92" s="5" t="s">
        <v>21</v>
      </c>
      <c r="J92" s="1" t="s">
        <v>466</v>
      </c>
      <c r="K92" s="1" t="s">
        <v>467</v>
      </c>
      <c r="L92" s="1" t="s">
        <v>468</v>
      </c>
      <c r="M92" s="4" t="str">
        <f t="shared" si="0"/>
        <v>Outstanding</v>
      </c>
      <c r="N92" s="13" t="s">
        <v>21</v>
      </c>
    </row>
    <row r="93" spans="1:14" ht="60" customHeight="1" x14ac:dyDescent="0.35">
      <c r="A93" s="11" t="s">
        <v>469</v>
      </c>
      <c r="B93" s="1" t="s">
        <v>470</v>
      </c>
      <c r="C93" s="2" t="s">
        <v>16</v>
      </c>
      <c r="D93" s="3" t="s">
        <v>337</v>
      </c>
      <c r="E93" s="4" t="s">
        <v>18</v>
      </c>
      <c r="F93" s="4" t="s">
        <v>19</v>
      </c>
      <c r="G93" s="4" t="s">
        <v>20</v>
      </c>
      <c r="H93" s="4" t="s">
        <v>21</v>
      </c>
      <c r="I93" s="5" t="s">
        <v>21</v>
      </c>
      <c r="J93" s="1" t="s">
        <v>471</v>
      </c>
      <c r="K93" s="1" t="s">
        <v>472</v>
      </c>
      <c r="L93" s="1" t="s">
        <v>473</v>
      </c>
      <c r="M93" s="4" t="str">
        <f t="shared" si="0"/>
        <v>Outstanding</v>
      </c>
      <c r="N93" s="13" t="s">
        <v>21</v>
      </c>
    </row>
    <row r="94" spans="1:14" ht="60" customHeight="1" x14ac:dyDescent="0.35">
      <c r="A94" s="11" t="s">
        <v>474</v>
      </c>
      <c r="B94" s="1" t="s">
        <v>475</v>
      </c>
      <c r="C94" s="2" t="s">
        <v>241</v>
      </c>
      <c r="D94" s="3" t="s">
        <v>337</v>
      </c>
      <c r="E94" s="4" t="s">
        <v>18</v>
      </c>
      <c r="F94" s="4" t="s">
        <v>19</v>
      </c>
      <c r="G94" s="4" t="s">
        <v>20</v>
      </c>
      <c r="H94" s="4" t="s">
        <v>21</v>
      </c>
      <c r="I94" s="5" t="s">
        <v>21</v>
      </c>
      <c r="J94" s="1" t="s">
        <v>476</v>
      </c>
      <c r="K94" s="1" t="s">
        <v>477</v>
      </c>
      <c r="L94" s="1" t="s">
        <v>478</v>
      </c>
      <c r="M94" s="4" t="str">
        <f t="shared" si="0"/>
        <v>Outstanding</v>
      </c>
      <c r="N94" s="13" t="s">
        <v>21</v>
      </c>
    </row>
    <row r="95" spans="1:14" ht="60" customHeight="1" x14ac:dyDescent="0.35">
      <c r="A95" s="11" t="s">
        <v>479</v>
      </c>
      <c r="B95" s="1" t="s">
        <v>480</v>
      </c>
      <c r="C95" s="2" t="s">
        <v>16</v>
      </c>
      <c r="D95" s="3" t="s">
        <v>337</v>
      </c>
      <c r="E95" s="4" t="s">
        <v>18</v>
      </c>
      <c r="F95" s="4" t="s">
        <v>19</v>
      </c>
      <c r="G95" s="4" t="s">
        <v>20</v>
      </c>
      <c r="H95" s="4" t="s">
        <v>21</v>
      </c>
      <c r="I95" s="5" t="s">
        <v>21</v>
      </c>
      <c r="J95" s="1" t="s">
        <v>481</v>
      </c>
      <c r="K95" s="1" t="s">
        <v>482</v>
      </c>
      <c r="L95" s="1" t="s">
        <v>483</v>
      </c>
      <c r="M95" s="4" t="str">
        <f t="shared" si="0"/>
        <v>Outstanding</v>
      </c>
      <c r="N95" s="13" t="s">
        <v>21</v>
      </c>
    </row>
    <row r="96" spans="1:14" ht="60" customHeight="1" x14ac:dyDescent="0.35">
      <c r="A96" s="11" t="s">
        <v>484</v>
      </c>
      <c r="B96" s="1" t="s">
        <v>485</v>
      </c>
      <c r="C96" s="2" t="s">
        <v>16</v>
      </c>
      <c r="D96" s="3" t="s">
        <v>337</v>
      </c>
      <c r="E96" s="4" t="s">
        <v>18</v>
      </c>
      <c r="F96" s="4" t="s">
        <v>19</v>
      </c>
      <c r="G96" s="4" t="s">
        <v>20</v>
      </c>
      <c r="H96" s="4" t="s">
        <v>21</v>
      </c>
      <c r="I96" s="5" t="s">
        <v>21</v>
      </c>
      <c r="J96" s="1" t="s">
        <v>486</v>
      </c>
      <c r="K96" s="1" t="s">
        <v>487</v>
      </c>
      <c r="L96" s="1" t="s">
        <v>488</v>
      </c>
      <c r="M96" s="4" t="str">
        <f t="shared" si="0"/>
        <v>Outstanding</v>
      </c>
      <c r="N96" s="13" t="s">
        <v>21</v>
      </c>
    </row>
    <row r="97" spans="1:14" ht="60" customHeight="1" x14ac:dyDescent="0.35">
      <c r="A97" s="11" t="s">
        <v>489</v>
      </c>
      <c r="B97" s="1" t="s">
        <v>490</v>
      </c>
      <c r="C97" s="2" t="s">
        <v>16</v>
      </c>
      <c r="D97" s="3" t="s">
        <v>337</v>
      </c>
      <c r="E97" s="4" t="s">
        <v>18</v>
      </c>
      <c r="F97" s="4" t="s">
        <v>19</v>
      </c>
      <c r="G97" s="4" t="s">
        <v>20</v>
      </c>
      <c r="H97" s="4" t="s">
        <v>21</v>
      </c>
      <c r="I97" s="5" t="s">
        <v>21</v>
      </c>
      <c r="J97" s="1" t="s">
        <v>491</v>
      </c>
      <c r="K97" s="1" t="s">
        <v>492</v>
      </c>
      <c r="L97" s="1" t="s">
        <v>493</v>
      </c>
      <c r="M97" s="4" t="str">
        <f t="shared" si="0"/>
        <v>Outstanding</v>
      </c>
      <c r="N97" s="13" t="s">
        <v>21</v>
      </c>
    </row>
    <row r="98" spans="1:14" ht="60" customHeight="1" x14ac:dyDescent="0.35">
      <c r="A98" s="11" t="s">
        <v>494</v>
      </c>
      <c r="B98" s="1" t="s">
        <v>495</v>
      </c>
      <c r="C98" s="2" t="s">
        <v>16</v>
      </c>
      <c r="D98" s="3" t="s">
        <v>337</v>
      </c>
      <c r="E98" s="4" t="s">
        <v>18</v>
      </c>
      <c r="F98" s="4" t="s">
        <v>19</v>
      </c>
      <c r="G98" s="4" t="s">
        <v>20</v>
      </c>
      <c r="H98" s="4" t="s">
        <v>21</v>
      </c>
      <c r="I98" s="5" t="s">
        <v>21</v>
      </c>
      <c r="J98" s="1" t="s">
        <v>496</v>
      </c>
      <c r="K98" s="1" t="s">
        <v>497</v>
      </c>
      <c r="L98" s="1" t="s">
        <v>498</v>
      </c>
      <c r="M98" s="4" t="str">
        <f t="shared" si="0"/>
        <v>Outstanding</v>
      </c>
      <c r="N98" s="13" t="s">
        <v>21</v>
      </c>
    </row>
    <row r="99" spans="1:14" ht="60" customHeight="1" x14ac:dyDescent="0.35">
      <c r="A99" s="11" t="s">
        <v>499</v>
      </c>
      <c r="B99" s="1" t="s">
        <v>500</v>
      </c>
      <c r="C99" s="2" t="s">
        <v>16</v>
      </c>
      <c r="D99" s="3" t="s">
        <v>337</v>
      </c>
      <c r="E99" s="4" t="s">
        <v>18</v>
      </c>
      <c r="F99" s="4" t="s">
        <v>19</v>
      </c>
      <c r="G99" s="4" t="s">
        <v>20</v>
      </c>
      <c r="H99" s="4" t="s">
        <v>21</v>
      </c>
      <c r="I99" s="5" t="s">
        <v>21</v>
      </c>
      <c r="J99" s="1" t="s">
        <v>501</v>
      </c>
      <c r="K99" s="1" t="s">
        <v>502</v>
      </c>
      <c r="L99" s="1" t="s">
        <v>503</v>
      </c>
      <c r="M99" s="4" t="str">
        <f t="shared" si="0"/>
        <v>Outstanding</v>
      </c>
      <c r="N99" s="13" t="s">
        <v>21</v>
      </c>
    </row>
    <row r="100" spans="1:14" ht="60" customHeight="1" x14ac:dyDescent="0.35">
      <c r="A100" s="11" t="s">
        <v>504</v>
      </c>
      <c r="B100" s="1" t="s">
        <v>505</v>
      </c>
      <c r="C100" s="2" t="s">
        <v>16</v>
      </c>
      <c r="D100" s="3" t="s">
        <v>337</v>
      </c>
      <c r="E100" s="4" t="s">
        <v>18</v>
      </c>
      <c r="F100" s="4" t="s">
        <v>19</v>
      </c>
      <c r="G100" s="4" t="s">
        <v>20</v>
      </c>
      <c r="H100" s="4" t="s">
        <v>21</v>
      </c>
      <c r="I100" s="5" t="s">
        <v>21</v>
      </c>
      <c r="J100" s="1" t="s">
        <v>506</v>
      </c>
      <c r="K100" s="1" t="s">
        <v>507</v>
      </c>
      <c r="L100" s="1" t="s">
        <v>508</v>
      </c>
      <c r="M100" s="4" t="str">
        <f t="shared" si="0"/>
        <v>Outstanding</v>
      </c>
      <c r="N100" s="13" t="s">
        <v>21</v>
      </c>
    </row>
    <row r="101" spans="1:14" ht="60" customHeight="1" x14ac:dyDescent="0.35">
      <c r="A101" s="11" t="s">
        <v>509</v>
      </c>
      <c r="B101" s="1" t="s">
        <v>510</v>
      </c>
      <c r="C101" s="2" t="s">
        <v>241</v>
      </c>
      <c r="D101" s="3" t="s">
        <v>337</v>
      </c>
      <c r="E101" s="4" t="s">
        <v>18</v>
      </c>
      <c r="F101" s="4" t="s">
        <v>19</v>
      </c>
      <c r="G101" s="4" t="s">
        <v>20</v>
      </c>
      <c r="H101" s="4" t="s">
        <v>21</v>
      </c>
      <c r="I101" s="5" t="s">
        <v>21</v>
      </c>
      <c r="J101" s="1" t="s">
        <v>511</v>
      </c>
      <c r="K101" s="1" t="s">
        <v>512</v>
      </c>
      <c r="L101" s="1" t="s">
        <v>513</v>
      </c>
      <c r="M101" s="4" t="str">
        <f t="shared" si="0"/>
        <v>Outstanding</v>
      </c>
      <c r="N101" s="13" t="s">
        <v>21</v>
      </c>
    </row>
    <row r="102" spans="1:14" ht="60" customHeight="1" x14ac:dyDescent="0.35">
      <c r="A102" s="11" t="s">
        <v>514</v>
      </c>
      <c r="B102" s="1" t="s">
        <v>515</v>
      </c>
      <c r="C102" s="2" t="s">
        <v>241</v>
      </c>
      <c r="D102" s="3" t="s">
        <v>337</v>
      </c>
      <c r="E102" s="4" t="s">
        <v>18</v>
      </c>
      <c r="F102" s="4" t="s">
        <v>19</v>
      </c>
      <c r="G102" s="4" t="s">
        <v>20</v>
      </c>
      <c r="H102" s="4" t="s">
        <v>21</v>
      </c>
      <c r="I102" s="5" t="s">
        <v>21</v>
      </c>
      <c r="J102" s="1" t="s">
        <v>516</v>
      </c>
      <c r="K102" s="1" t="s">
        <v>517</v>
      </c>
      <c r="L102" s="1" t="s">
        <v>518</v>
      </c>
      <c r="M102" s="4" t="str">
        <f t="shared" si="0"/>
        <v>Outstanding</v>
      </c>
      <c r="N102" s="13" t="s">
        <v>21</v>
      </c>
    </row>
    <row r="103" spans="1:14" ht="60" customHeight="1" x14ac:dyDescent="0.35">
      <c r="A103" s="11" t="s">
        <v>519</v>
      </c>
      <c r="B103" s="1" t="s">
        <v>520</v>
      </c>
      <c r="C103" s="2" t="s">
        <v>16</v>
      </c>
      <c r="D103" s="3" t="s">
        <v>337</v>
      </c>
      <c r="E103" s="4" t="s">
        <v>18</v>
      </c>
      <c r="F103" s="4" t="s">
        <v>19</v>
      </c>
      <c r="G103" s="4" t="s">
        <v>20</v>
      </c>
      <c r="H103" s="4" t="s">
        <v>21</v>
      </c>
      <c r="I103" s="5" t="s">
        <v>21</v>
      </c>
      <c r="J103" s="1" t="s">
        <v>521</v>
      </c>
      <c r="K103" s="1" t="s">
        <v>522</v>
      </c>
      <c r="L103" s="1" t="s">
        <v>523</v>
      </c>
      <c r="M103" s="4" t="str">
        <f t="shared" si="0"/>
        <v>Outstanding</v>
      </c>
      <c r="N103" s="13" t="s">
        <v>21</v>
      </c>
    </row>
    <row r="104" spans="1:14" ht="60" customHeight="1" x14ac:dyDescent="0.35">
      <c r="A104" s="11" t="s">
        <v>524</v>
      </c>
      <c r="B104" s="1" t="s">
        <v>525</v>
      </c>
      <c r="C104" s="2" t="s">
        <v>241</v>
      </c>
      <c r="D104" s="3" t="s">
        <v>337</v>
      </c>
      <c r="E104" s="4" t="s">
        <v>18</v>
      </c>
      <c r="F104" s="4" t="s">
        <v>19</v>
      </c>
      <c r="G104" s="4" t="s">
        <v>20</v>
      </c>
      <c r="H104" s="4" t="s">
        <v>21</v>
      </c>
      <c r="I104" s="5" t="s">
        <v>21</v>
      </c>
      <c r="J104" s="1" t="s">
        <v>526</v>
      </c>
      <c r="K104" s="1" t="s">
        <v>527</v>
      </c>
      <c r="L104" s="1" t="s">
        <v>528</v>
      </c>
      <c r="M104" s="4" t="str">
        <f t="shared" si="0"/>
        <v>Outstanding</v>
      </c>
      <c r="N104" s="13" t="s">
        <v>21</v>
      </c>
    </row>
    <row r="105" spans="1:14" ht="60" customHeight="1" x14ac:dyDescent="0.35">
      <c r="A105" s="11" t="s">
        <v>529</v>
      </c>
      <c r="B105" s="1" t="s">
        <v>530</v>
      </c>
      <c r="C105" s="2" t="s">
        <v>241</v>
      </c>
      <c r="D105" s="3" t="s">
        <v>337</v>
      </c>
      <c r="E105" s="4" t="s">
        <v>18</v>
      </c>
      <c r="F105" s="4" t="s">
        <v>19</v>
      </c>
      <c r="G105" s="4" t="s">
        <v>20</v>
      </c>
      <c r="H105" s="4" t="s">
        <v>21</v>
      </c>
      <c r="I105" s="5" t="s">
        <v>21</v>
      </c>
      <c r="J105" s="1" t="s">
        <v>531</v>
      </c>
      <c r="K105" s="1" t="s">
        <v>532</v>
      </c>
      <c r="L105" s="1" t="s">
        <v>533</v>
      </c>
      <c r="M105" s="4" t="str">
        <f t="shared" si="0"/>
        <v>Outstanding</v>
      </c>
      <c r="N105" s="13" t="s">
        <v>21</v>
      </c>
    </row>
    <row r="106" spans="1:14" ht="60" customHeight="1" x14ac:dyDescent="0.35">
      <c r="A106" s="11" t="s">
        <v>534</v>
      </c>
      <c r="B106" s="1" t="s">
        <v>535</v>
      </c>
      <c r="C106" s="2" t="s">
        <v>241</v>
      </c>
      <c r="D106" s="3" t="s">
        <v>337</v>
      </c>
      <c r="E106" s="4" t="s">
        <v>18</v>
      </c>
      <c r="F106" s="4" t="s">
        <v>19</v>
      </c>
      <c r="G106" s="4" t="s">
        <v>20</v>
      </c>
      <c r="H106" s="4" t="s">
        <v>21</v>
      </c>
      <c r="I106" s="5" t="s">
        <v>21</v>
      </c>
      <c r="J106" s="1" t="s">
        <v>536</v>
      </c>
      <c r="K106" s="1" t="s">
        <v>537</v>
      </c>
      <c r="L106" s="1" t="s">
        <v>538</v>
      </c>
      <c r="M106" s="4" t="str">
        <f t="shared" si="0"/>
        <v>Outstanding</v>
      </c>
      <c r="N106" s="13" t="s">
        <v>21</v>
      </c>
    </row>
    <row r="107" spans="1:14" ht="60" customHeight="1" x14ac:dyDescent="0.35">
      <c r="A107" s="11" t="s">
        <v>539</v>
      </c>
      <c r="B107" s="1" t="s">
        <v>540</v>
      </c>
      <c r="C107" s="2" t="s">
        <v>241</v>
      </c>
      <c r="D107" s="3" t="s">
        <v>337</v>
      </c>
      <c r="E107" s="4" t="s">
        <v>18</v>
      </c>
      <c r="F107" s="4" t="s">
        <v>19</v>
      </c>
      <c r="G107" s="4" t="s">
        <v>20</v>
      </c>
      <c r="H107" s="4" t="s">
        <v>21</v>
      </c>
      <c r="I107" s="5" t="s">
        <v>21</v>
      </c>
      <c r="J107" s="1" t="s">
        <v>541</v>
      </c>
      <c r="K107" s="1" t="s">
        <v>542</v>
      </c>
      <c r="L107" s="1" t="s">
        <v>543</v>
      </c>
      <c r="M107" s="4" t="str">
        <f t="shared" si="0"/>
        <v>Outstanding</v>
      </c>
      <c r="N107" s="13" t="s">
        <v>21</v>
      </c>
    </row>
    <row r="108" spans="1:14" ht="60" customHeight="1" x14ac:dyDescent="0.35">
      <c r="A108" s="11" t="s">
        <v>544</v>
      </c>
      <c r="B108" s="1" t="s">
        <v>545</v>
      </c>
      <c r="C108" s="2" t="s">
        <v>241</v>
      </c>
      <c r="D108" s="3" t="s">
        <v>337</v>
      </c>
      <c r="E108" s="4" t="s">
        <v>18</v>
      </c>
      <c r="F108" s="4" t="s">
        <v>19</v>
      </c>
      <c r="G108" s="4" t="s">
        <v>20</v>
      </c>
      <c r="H108" s="4" t="s">
        <v>21</v>
      </c>
      <c r="I108" s="5" t="s">
        <v>21</v>
      </c>
      <c r="J108" s="1" t="s">
        <v>546</v>
      </c>
      <c r="K108" s="1" t="s">
        <v>547</v>
      </c>
      <c r="L108" s="1" t="s">
        <v>548</v>
      </c>
      <c r="M108" s="4" t="str">
        <f t="shared" si="0"/>
        <v>Outstanding</v>
      </c>
      <c r="N108" s="13" t="s">
        <v>21</v>
      </c>
    </row>
    <row r="109" spans="1:14" ht="60" customHeight="1" x14ac:dyDescent="0.35">
      <c r="A109" s="11" t="s">
        <v>549</v>
      </c>
      <c r="B109" s="1" t="s">
        <v>550</v>
      </c>
      <c r="C109" s="2" t="s">
        <v>16</v>
      </c>
      <c r="D109" s="3" t="s">
        <v>337</v>
      </c>
      <c r="E109" s="4" t="s">
        <v>18</v>
      </c>
      <c r="F109" s="4" t="s">
        <v>19</v>
      </c>
      <c r="G109" s="4" t="s">
        <v>20</v>
      </c>
      <c r="H109" s="4" t="s">
        <v>21</v>
      </c>
      <c r="I109" s="5" t="s">
        <v>21</v>
      </c>
      <c r="J109" s="1" t="s">
        <v>551</v>
      </c>
      <c r="K109" s="1" t="s">
        <v>552</v>
      </c>
      <c r="L109" s="1" t="s">
        <v>553</v>
      </c>
      <c r="M109" s="4" t="str">
        <f t="shared" si="0"/>
        <v>Outstanding</v>
      </c>
      <c r="N109" s="13" t="s">
        <v>21</v>
      </c>
    </row>
    <row r="110" spans="1:14" ht="60" customHeight="1" x14ac:dyDescent="0.35">
      <c r="A110" s="11" t="s">
        <v>554</v>
      </c>
      <c r="B110" s="1" t="s">
        <v>555</v>
      </c>
      <c r="C110" s="2" t="s">
        <v>93</v>
      </c>
      <c r="D110" s="3" t="s">
        <v>337</v>
      </c>
      <c r="E110" s="4" t="s">
        <v>18</v>
      </c>
      <c r="F110" s="4" t="s">
        <v>19</v>
      </c>
      <c r="G110" s="4" t="s">
        <v>20</v>
      </c>
      <c r="H110" s="4" t="s">
        <v>21</v>
      </c>
      <c r="I110" s="5" t="s">
        <v>21</v>
      </c>
      <c r="J110" s="1" t="s">
        <v>556</v>
      </c>
      <c r="K110" s="1" t="s">
        <v>557</v>
      </c>
      <c r="L110" s="1" t="s">
        <v>558</v>
      </c>
      <c r="M110" s="4" t="str">
        <f t="shared" si="0"/>
        <v>Outstanding</v>
      </c>
      <c r="N110" s="13" t="s">
        <v>21</v>
      </c>
    </row>
    <row r="111" spans="1:14" ht="60" customHeight="1" x14ac:dyDescent="0.35">
      <c r="A111" s="11" t="s">
        <v>559</v>
      </c>
      <c r="B111" s="1" t="s">
        <v>560</v>
      </c>
      <c r="C111" s="2" t="s">
        <v>93</v>
      </c>
      <c r="D111" s="3" t="s">
        <v>337</v>
      </c>
      <c r="E111" s="4" t="s">
        <v>18</v>
      </c>
      <c r="F111" s="4" t="s">
        <v>19</v>
      </c>
      <c r="G111" s="4" t="s">
        <v>20</v>
      </c>
      <c r="H111" s="4" t="s">
        <v>21</v>
      </c>
      <c r="I111" s="5" t="s">
        <v>21</v>
      </c>
      <c r="J111" s="1" t="s">
        <v>561</v>
      </c>
      <c r="K111" s="1" t="s">
        <v>562</v>
      </c>
      <c r="L111" s="1" t="s">
        <v>563</v>
      </c>
      <c r="M111" s="4" t="str">
        <f t="shared" si="0"/>
        <v>Outstanding</v>
      </c>
      <c r="N111" s="13" t="s">
        <v>21</v>
      </c>
    </row>
    <row r="112" spans="1:14" ht="60" customHeight="1" x14ac:dyDescent="0.35">
      <c r="A112" s="11" t="s">
        <v>564</v>
      </c>
      <c r="B112" s="1" t="s">
        <v>565</v>
      </c>
      <c r="C112" s="2" t="s">
        <v>16</v>
      </c>
      <c r="D112" s="3" t="s">
        <v>337</v>
      </c>
      <c r="E112" s="4" t="s">
        <v>18</v>
      </c>
      <c r="F112" s="4" t="s">
        <v>19</v>
      </c>
      <c r="G112" s="4" t="s">
        <v>20</v>
      </c>
      <c r="H112" s="4" t="s">
        <v>21</v>
      </c>
      <c r="I112" s="5" t="s">
        <v>21</v>
      </c>
      <c r="J112" s="1" t="s">
        <v>566</v>
      </c>
      <c r="K112" s="1" t="s">
        <v>567</v>
      </c>
      <c r="L112" s="1" t="s">
        <v>568</v>
      </c>
      <c r="M112" s="4" t="str">
        <f t="shared" si="0"/>
        <v>Outstanding</v>
      </c>
      <c r="N112" s="13" t="s">
        <v>21</v>
      </c>
    </row>
    <row r="113" spans="1:14" ht="60" customHeight="1" x14ac:dyDescent="0.35">
      <c r="A113" s="11" t="s">
        <v>569</v>
      </c>
      <c r="B113" s="1" t="s">
        <v>570</v>
      </c>
      <c r="C113" s="2" t="s">
        <v>16</v>
      </c>
      <c r="D113" s="3" t="s">
        <v>337</v>
      </c>
      <c r="E113" s="4" t="s">
        <v>18</v>
      </c>
      <c r="F113" s="4" t="s">
        <v>19</v>
      </c>
      <c r="G113" s="4" t="s">
        <v>20</v>
      </c>
      <c r="H113" s="4" t="s">
        <v>21</v>
      </c>
      <c r="I113" s="5" t="s">
        <v>21</v>
      </c>
      <c r="J113" s="1" t="s">
        <v>571</v>
      </c>
      <c r="K113" s="1" t="s">
        <v>572</v>
      </c>
      <c r="L113" s="1" t="s">
        <v>573</v>
      </c>
      <c r="M113" s="4" t="str">
        <f t="shared" si="0"/>
        <v>Outstanding</v>
      </c>
      <c r="N113" s="13" t="s">
        <v>21</v>
      </c>
    </row>
    <row r="114" spans="1:14" ht="60" customHeight="1" x14ac:dyDescent="0.35">
      <c r="A114" s="11" t="s">
        <v>574</v>
      </c>
      <c r="B114" s="1" t="s">
        <v>575</v>
      </c>
      <c r="C114" s="2" t="s">
        <v>93</v>
      </c>
      <c r="D114" s="3" t="s">
        <v>337</v>
      </c>
      <c r="E114" s="4" t="s">
        <v>18</v>
      </c>
      <c r="F114" s="4" t="s">
        <v>19</v>
      </c>
      <c r="G114" s="4" t="s">
        <v>20</v>
      </c>
      <c r="H114" s="4" t="s">
        <v>21</v>
      </c>
      <c r="I114" s="5" t="s">
        <v>21</v>
      </c>
      <c r="J114" s="1" t="s">
        <v>576</v>
      </c>
      <c r="K114" s="1" t="s">
        <v>577</v>
      </c>
      <c r="L114" s="1" t="s">
        <v>578</v>
      </c>
      <c r="M114" s="4" t="str">
        <f t="shared" si="0"/>
        <v>Outstanding</v>
      </c>
      <c r="N114" s="13" t="s">
        <v>21</v>
      </c>
    </row>
    <row r="115" spans="1:14" ht="60" customHeight="1" x14ac:dyDescent="0.35">
      <c r="A115" s="11" t="s">
        <v>579</v>
      </c>
      <c r="B115" s="1" t="s">
        <v>580</v>
      </c>
      <c r="C115" s="2" t="s">
        <v>93</v>
      </c>
      <c r="D115" s="3" t="s">
        <v>337</v>
      </c>
      <c r="E115" s="4" t="s">
        <v>18</v>
      </c>
      <c r="F115" s="4" t="s">
        <v>19</v>
      </c>
      <c r="G115" s="4" t="s">
        <v>20</v>
      </c>
      <c r="H115" s="4" t="s">
        <v>21</v>
      </c>
      <c r="I115" s="5" t="s">
        <v>21</v>
      </c>
      <c r="J115" s="1" t="s">
        <v>581</v>
      </c>
      <c r="K115" s="1" t="s">
        <v>582</v>
      </c>
      <c r="L115" s="1" t="s">
        <v>583</v>
      </c>
      <c r="M115" s="4" t="str">
        <f t="shared" si="0"/>
        <v>Outstanding</v>
      </c>
      <c r="N115" s="13" t="s">
        <v>21</v>
      </c>
    </row>
    <row r="116" spans="1:14" ht="60" customHeight="1" x14ac:dyDescent="0.35">
      <c r="A116" s="11" t="s">
        <v>584</v>
      </c>
      <c r="B116" s="1" t="s">
        <v>585</v>
      </c>
      <c r="C116" s="2" t="s">
        <v>241</v>
      </c>
      <c r="D116" s="3" t="s">
        <v>337</v>
      </c>
      <c r="E116" s="4" t="s">
        <v>18</v>
      </c>
      <c r="F116" s="4" t="s">
        <v>19</v>
      </c>
      <c r="G116" s="4" t="s">
        <v>20</v>
      </c>
      <c r="H116" s="4" t="s">
        <v>21</v>
      </c>
      <c r="I116" s="5" t="s">
        <v>21</v>
      </c>
      <c r="J116" s="1" t="s">
        <v>586</v>
      </c>
      <c r="K116" s="1" t="s">
        <v>587</v>
      </c>
      <c r="L116" s="1" t="s">
        <v>588</v>
      </c>
      <c r="M116" s="4" t="str">
        <f t="shared" si="0"/>
        <v>Outstanding</v>
      </c>
      <c r="N116" s="13" t="s">
        <v>21</v>
      </c>
    </row>
    <row r="117" spans="1:14" ht="60" customHeight="1" x14ac:dyDescent="0.35">
      <c r="A117" s="11" t="s">
        <v>589</v>
      </c>
      <c r="B117" s="1" t="s">
        <v>590</v>
      </c>
      <c r="C117" s="2" t="s">
        <v>16</v>
      </c>
      <c r="D117" s="3" t="s">
        <v>337</v>
      </c>
      <c r="E117" s="4" t="s">
        <v>18</v>
      </c>
      <c r="F117" s="4" t="s">
        <v>19</v>
      </c>
      <c r="G117" s="4" t="s">
        <v>20</v>
      </c>
      <c r="H117" s="4" t="s">
        <v>21</v>
      </c>
      <c r="I117" s="5" t="s">
        <v>21</v>
      </c>
      <c r="J117" s="1" t="s">
        <v>591</v>
      </c>
      <c r="K117" s="1" t="s">
        <v>592</v>
      </c>
      <c r="L117" s="1" t="s">
        <v>593</v>
      </c>
      <c r="M117" s="4" t="str">
        <f t="shared" si="0"/>
        <v>Outstanding</v>
      </c>
      <c r="N117" s="13" t="s">
        <v>21</v>
      </c>
    </row>
    <row r="118" spans="1:14" ht="60" customHeight="1" x14ac:dyDescent="0.35">
      <c r="A118" s="11" t="s">
        <v>594</v>
      </c>
      <c r="B118" s="1" t="s">
        <v>595</v>
      </c>
      <c r="C118" s="2" t="s">
        <v>241</v>
      </c>
      <c r="D118" s="3" t="s">
        <v>337</v>
      </c>
      <c r="E118" s="4" t="s">
        <v>18</v>
      </c>
      <c r="F118" s="4" t="s">
        <v>19</v>
      </c>
      <c r="G118" s="4" t="s">
        <v>20</v>
      </c>
      <c r="H118" s="4" t="s">
        <v>21</v>
      </c>
      <c r="I118" s="5" t="s">
        <v>21</v>
      </c>
      <c r="J118" s="1" t="s">
        <v>596</v>
      </c>
      <c r="K118" s="1" t="s">
        <v>597</v>
      </c>
      <c r="L118" s="1" t="s">
        <v>598</v>
      </c>
      <c r="M118" s="4" t="str">
        <f t="shared" si="0"/>
        <v>Outstanding</v>
      </c>
      <c r="N118" s="13" t="s">
        <v>21</v>
      </c>
    </row>
    <row r="119" spans="1:14" ht="60" customHeight="1" x14ac:dyDescent="0.35">
      <c r="A119" s="11" t="s">
        <v>599</v>
      </c>
      <c r="B119" s="1" t="s">
        <v>600</v>
      </c>
      <c r="C119" s="2" t="s">
        <v>16</v>
      </c>
      <c r="D119" s="3" t="s">
        <v>337</v>
      </c>
      <c r="E119" s="4" t="s">
        <v>18</v>
      </c>
      <c r="F119" s="4" t="s">
        <v>19</v>
      </c>
      <c r="G119" s="4" t="s">
        <v>20</v>
      </c>
      <c r="H119" s="4" t="s">
        <v>21</v>
      </c>
      <c r="I119" s="5" t="s">
        <v>21</v>
      </c>
      <c r="J119" s="1" t="s">
        <v>601</v>
      </c>
      <c r="K119" s="1" t="s">
        <v>602</v>
      </c>
      <c r="L119" s="1" t="s">
        <v>603</v>
      </c>
      <c r="M119" s="4" t="str">
        <f t="shared" si="0"/>
        <v>Outstanding</v>
      </c>
      <c r="N119" s="13" t="s">
        <v>21</v>
      </c>
    </row>
    <row r="120" spans="1:14" ht="60" customHeight="1" x14ac:dyDescent="0.35">
      <c r="A120" s="11" t="s">
        <v>604</v>
      </c>
      <c r="B120" s="1" t="s">
        <v>605</v>
      </c>
      <c r="C120" s="2" t="s">
        <v>93</v>
      </c>
      <c r="D120" s="3" t="s">
        <v>337</v>
      </c>
      <c r="E120" s="4" t="s">
        <v>18</v>
      </c>
      <c r="F120" s="4" t="s">
        <v>19</v>
      </c>
      <c r="G120" s="4" t="s">
        <v>20</v>
      </c>
      <c r="H120" s="4" t="s">
        <v>21</v>
      </c>
      <c r="I120" s="5" t="s">
        <v>21</v>
      </c>
      <c r="J120" s="1" t="s">
        <v>606</v>
      </c>
      <c r="K120" s="1" t="s">
        <v>607</v>
      </c>
      <c r="L120" s="1" t="s">
        <v>608</v>
      </c>
      <c r="M120" s="4" t="str">
        <f t="shared" si="0"/>
        <v>Outstanding</v>
      </c>
      <c r="N120" s="13" t="s">
        <v>21</v>
      </c>
    </row>
    <row r="121" spans="1:14" ht="60" customHeight="1" x14ac:dyDescent="0.35">
      <c r="A121" s="11" t="s">
        <v>609</v>
      </c>
      <c r="B121" s="1" t="s">
        <v>610</v>
      </c>
      <c r="C121" s="2" t="s">
        <v>16</v>
      </c>
      <c r="D121" s="3" t="s">
        <v>337</v>
      </c>
      <c r="E121" s="4" t="s">
        <v>18</v>
      </c>
      <c r="F121" s="4" t="s">
        <v>19</v>
      </c>
      <c r="G121" s="4" t="s">
        <v>20</v>
      </c>
      <c r="H121" s="4" t="s">
        <v>21</v>
      </c>
      <c r="I121" s="5" t="s">
        <v>21</v>
      </c>
      <c r="J121" s="1" t="s">
        <v>611</v>
      </c>
      <c r="K121" s="1" t="s">
        <v>612</v>
      </c>
      <c r="L121" s="1" t="s">
        <v>613</v>
      </c>
      <c r="M121" s="4" t="str">
        <f t="shared" si="0"/>
        <v>Outstanding</v>
      </c>
      <c r="N121" s="13" t="s">
        <v>21</v>
      </c>
    </row>
    <row r="122" spans="1:14" ht="60" customHeight="1" x14ac:dyDescent="0.35">
      <c r="A122" s="11" t="s">
        <v>614</v>
      </c>
      <c r="B122" s="1" t="s">
        <v>615</v>
      </c>
      <c r="C122" s="2" t="s">
        <v>16</v>
      </c>
      <c r="D122" s="3" t="s">
        <v>337</v>
      </c>
      <c r="E122" s="4" t="s">
        <v>18</v>
      </c>
      <c r="F122" s="4" t="s">
        <v>19</v>
      </c>
      <c r="G122" s="4" t="s">
        <v>20</v>
      </c>
      <c r="H122" s="4" t="s">
        <v>21</v>
      </c>
      <c r="I122" s="5" t="s">
        <v>21</v>
      </c>
      <c r="J122" s="1" t="s">
        <v>616</v>
      </c>
      <c r="K122" s="1" t="s">
        <v>617</v>
      </c>
      <c r="L122" s="1" t="s">
        <v>618</v>
      </c>
      <c r="M122" s="4" t="str">
        <f t="shared" si="0"/>
        <v>Outstanding</v>
      </c>
      <c r="N122" s="13" t="s">
        <v>21</v>
      </c>
    </row>
    <row r="123" spans="1:14" ht="60" customHeight="1" x14ac:dyDescent="0.35">
      <c r="A123" s="11" t="s">
        <v>619</v>
      </c>
      <c r="B123" s="1" t="s">
        <v>620</v>
      </c>
      <c r="C123" s="2" t="s">
        <v>241</v>
      </c>
      <c r="D123" s="3" t="s">
        <v>337</v>
      </c>
      <c r="E123" s="4" t="s">
        <v>18</v>
      </c>
      <c r="F123" s="4" t="s">
        <v>19</v>
      </c>
      <c r="G123" s="4" t="s">
        <v>20</v>
      </c>
      <c r="H123" s="4" t="s">
        <v>21</v>
      </c>
      <c r="I123" s="5" t="s">
        <v>21</v>
      </c>
      <c r="J123" s="1" t="s">
        <v>621</v>
      </c>
      <c r="K123" s="1" t="s">
        <v>622</v>
      </c>
      <c r="L123" s="1" t="s">
        <v>623</v>
      </c>
      <c r="M123" s="4" t="str">
        <f t="shared" si="0"/>
        <v>Outstanding</v>
      </c>
      <c r="N123" s="13" t="s">
        <v>21</v>
      </c>
    </row>
    <row r="124" spans="1:14" ht="60" customHeight="1" x14ac:dyDescent="0.35">
      <c r="A124" s="11" t="s">
        <v>624</v>
      </c>
      <c r="B124" s="1" t="s">
        <v>625</v>
      </c>
      <c r="C124" s="2" t="s">
        <v>241</v>
      </c>
      <c r="D124" s="3" t="s">
        <v>337</v>
      </c>
      <c r="E124" s="4" t="s">
        <v>18</v>
      </c>
      <c r="F124" s="4" t="s">
        <v>19</v>
      </c>
      <c r="G124" s="4" t="s">
        <v>20</v>
      </c>
      <c r="H124" s="4" t="s">
        <v>21</v>
      </c>
      <c r="I124" s="5" t="s">
        <v>21</v>
      </c>
      <c r="J124" s="1" t="s">
        <v>621</v>
      </c>
      <c r="K124" s="1" t="s">
        <v>622</v>
      </c>
      <c r="L124" s="1" t="s">
        <v>626</v>
      </c>
      <c r="M124" s="4" t="str">
        <f t="shared" si="0"/>
        <v>Outstanding</v>
      </c>
      <c r="N124" s="13" t="s">
        <v>21</v>
      </c>
    </row>
    <row r="125" spans="1:14" ht="60" customHeight="1" x14ac:dyDescent="0.35">
      <c r="A125" s="11" t="s">
        <v>627</v>
      </c>
      <c r="B125" s="1" t="s">
        <v>628</v>
      </c>
      <c r="C125" s="2" t="s">
        <v>16</v>
      </c>
      <c r="D125" s="3" t="s">
        <v>337</v>
      </c>
      <c r="E125" s="4" t="s">
        <v>18</v>
      </c>
      <c r="F125" s="4" t="s">
        <v>19</v>
      </c>
      <c r="G125" s="4" t="s">
        <v>20</v>
      </c>
      <c r="H125" s="4" t="s">
        <v>21</v>
      </c>
      <c r="I125" s="5" t="s">
        <v>21</v>
      </c>
      <c r="J125" s="1" t="s">
        <v>629</v>
      </c>
      <c r="K125" s="1" t="s">
        <v>630</v>
      </c>
      <c r="L125" s="1" t="s">
        <v>631</v>
      </c>
      <c r="M125" s="4" t="str">
        <f t="shared" si="0"/>
        <v>Outstanding</v>
      </c>
      <c r="N125" s="13" t="s">
        <v>21</v>
      </c>
    </row>
    <row r="126" spans="1:14" ht="60" customHeight="1" x14ac:dyDescent="0.35">
      <c r="A126" s="11" t="s">
        <v>632</v>
      </c>
      <c r="B126" s="1" t="s">
        <v>633</v>
      </c>
      <c r="C126" s="2" t="s">
        <v>16</v>
      </c>
      <c r="D126" s="3" t="s">
        <v>337</v>
      </c>
      <c r="E126" s="4" t="s">
        <v>18</v>
      </c>
      <c r="F126" s="4" t="s">
        <v>19</v>
      </c>
      <c r="G126" s="4" t="s">
        <v>20</v>
      </c>
      <c r="H126" s="4" t="s">
        <v>21</v>
      </c>
      <c r="I126" s="5" t="s">
        <v>21</v>
      </c>
      <c r="J126" s="1" t="s">
        <v>634</v>
      </c>
      <c r="K126" s="1" t="s">
        <v>635</v>
      </c>
      <c r="L126" s="1" t="s">
        <v>636</v>
      </c>
      <c r="M126" s="4" t="str">
        <f t="shared" si="0"/>
        <v>Outstanding</v>
      </c>
      <c r="N126" s="13" t="s">
        <v>21</v>
      </c>
    </row>
    <row r="127" spans="1:14" ht="60" customHeight="1" x14ac:dyDescent="0.35">
      <c r="A127" s="11" t="s">
        <v>637</v>
      </c>
      <c r="B127" s="1" t="s">
        <v>638</v>
      </c>
      <c r="C127" s="2" t="s">
        <v>16</v>
      </c>
      <c r="D127" s="3" t="s">
        <v>337</v>
      </c>
      <c r="E127" s="4" t="s">
        <v>18</v>
      </c>
      <c r="F127" s="4" t="s">
        <v>19</v>
      </c>
      <c r="G127" s="4" t="s">
        <v>20</v>
      </c>
      <c r="H127" s="4" t="s">
        <v>21</v>
      </c>
      <c r="I127" s="5" t="s">
        <v>21</v>
      </c>
      <c r="J127" s="1" t="s">
        <v>639</v>
      </c>
      <c r="K127" s="1" t="s">
        <v>640</v>
      </c>
      <c r="L127" s="1" t="s">
        <v>641</v>
      </c>
      <c r="M127" s="4" t="str">
        <f t="shared" si="0"/>
        <v>Outstanding</v>
      </c>
      <c r="N127" s="13" t="s">
        <v>21</v>
      </c>
    </row>
    <row r="128" spans="1:14" ht="60" customHeight="1" x14ac:dyDescent="0.35">
      <c r="A128" s="11" t="s">
        <v>642</v>
      </c>
      <c r="B128" s="1" t="s">
        <v>643</v>
      </c>
      <c r="C128" s="2" t="s">
        <v>241</v>
      </c>
      <c r="D128" s="3" t="s">
        <v>337</v>
      </c>
      <c r="E128" s="4" t="s">
        <v>18</v>
      </c>
      <c r="F128" s="4" t="s">
        <v>19</v>
      </c>
      <c r="G128" s="4" t="s">
        <v>20</v>
      </c>
      <c r="H128" s="4" t="s">
        <v>21</v>
      </c>
      <c r="I128" s="5" t="s">
        <v>21</v>
      </c>
      <c r="J128" s="1" t="s">
        <v>644</v>
      </c>
      <c r="K128" s="1" t="s">
        <v>645</v>
      </c>
      <c r="L128" s="1" t="s">
        <v>646</v>
      </c>
      <c r="M128" s="4" t="str">
        <f t="shared" si="0"/>
        <v>Outstanding</v>
      </c>
      <c r="N128" s="13" t="s">
        <v>21</v>
      </c>
    </row>
    <row r="129" spans="1:14" ht="60" customHeight="1" x14ac:dyDescent="0.35">
      <c r="A129" s="11" t="s">
        <v>647</v>
      </c>
      <c r="B129" s="1" t="s">
        <v>648</v>
      </c>
      <c r="C129" s="2" t="s">
        <v>241</v>
      </c>
      <c r="D129" s="3" t="s">
        <v>337</v>
      </c>
      <c r="E129" s="4" t="s">
        <v>18</v>
      </c>
      <c r="F129" s="4" t="s">
        <v>19</v>
      </c>
      <c r="G129" s="4" t="s">
        <v>20</v>
      </c>
      <c r="H129" s="4" t="s">
        <v>21</v>
      </c>
      <c r="I129" s="5" t="s">
        <v>21</v>
      </c>
      <c r="J129" s="1" t="s">
        <v>649</v>
      </c>
      <c r="K129" s="1" t="s">
        <v>650</v>
      </c>
      <c r="L129" s="1" t="s">
        <v>651</v>
      </c>
      <c r="M129" s="4" t="str">
        <f t="shared" si="0"/>
        <v>Outstanding</v>
      </c>
      <c r="N129" s="13" t="s">
        <v>21</v>
      </c>
    </row>
    <row r="130" spans="1:14" ht="60" customHeight="1" x14ac:dyDescent="0.35">
      <c r="A130" s="11" t="s">
        <v>652</v>
      </c>
      <c r="B130" s="1" t="s">
        <v>653</v>
      </c>
      <c r="C130" s="2" t="s">
        <v>241</v>
      </c>
      <c r="D130" s="3" t="s">
        <v>337</v>
      </c>
      <c r="E130" s="4" t="s">
        <v>18</v>
      </c>
      <c r="F130" s="4" t="s">
        <v>19</v>
      </c>
      <c r="G130" s="4" t="s">
        <v>20</v>
      </c>
      <c r="H130" s="4" t="s">
        <v>21</v>
      </c>
      <c r="I130" s="5" t="s">
        <v>21</v>
      </c>
      <c r="J130" s="1" t="s">
        <v>654</v>
      </c>
      <c r="K130" s="1" t="s">
        <v>655</v>
      </c>
      <c r="L130" s="1" t="s">
        <v>656</v>
      </c>
      <c r="M130" s="4" t="str">
        <f t="shared" si="0"/>
        <v>Outstanding</v>
      </c>
      <c r="N130" s="13" t="s">
        <v>21</v>
      </c>
    </row>
    <row r="131" spans="1:14" ht="60" customHeight="1" x14ac:dyDescent="0.35">
      <c r="A131" s="11" t="s">
        <v>657</v>
      </c>
      <c r="B131" s="1" t="s">
        <v>658</v>
      </c>
      <c r="C131" s="2" t="s">
        <v>241</v>
      </c>
      <c r="D131" s="3" t="s">
        <v>337</v>
      </c>
      <c r="E131" s="4" t="s">
        <v>18</v>
      </c>
      <c r="F131" s="4" t="s">
        <v>19</v>
      </c>
      <c r="G131" s="4" t="s">
        <v>20</v>
      </c>
      <c r="H131" s="4" t="s">
        <v>21</v>
      </c>
      <c r="I131" s="5" t="s">
        <v>21</v>
      </c>
      <c r="J131" s="1" t="s">
        <v>659</v>
      </c>
      <c r="K131" s="1" t="s">
        <v>660</v>
      </c>
      <c r="L131" s="1" t="s">
        <v>661</v>
      </c>
      <c r="M131" s="4" t="str">
        <f t="shared" si="0"/>
        <v>Outstanding</v>
      </c>
      <c r="N131" s="13" t="s">
        <v>21</v>
      </c>
    </row>
    <row r="132" spans="1:14" ht="60" customHeight="1" x14ac:dyDescent="0.35">
      <c r="A132" s="11" t="s">
        <v>662</v>
      </c>
      <c r="B132" s="1" t="s">
        <v>663</v>
      </c>
      <c r="C132" s="2" t="s">
        <v>16</v>
      </c>
      <c r="D132" s="3" t="s">
        <v>337</v>
      </c>
      <c r="E132" s="4" t="s">
        <v>18</v>
      </c>
      <c r="F132" s="4" t="s">
        <v>19</v>
      </c>
      <c r="G132" s="4" t="s">
        <v>20</v>
      </c>
      <c r="H132" s="4" t="s">
        <v>21</v>
      </c>
      <c r="I132" s="5" t="s">
        <v>21</v>
      </c>
      <c r="J132" s="1" t="s">
        <v>664</v>
      </c>
      <c r="K132" s="1" t="s">
        <v>665</v>
      </c>
      <c r="L132" s="1" t="s">
        <v>666</v>
      </c>
      <c r="M132" s="4" t="str">
        <f t="shared" si="0"/>
        <v>Outstanding</v>
      </c>
      <c r="N132" s="13" t="s">
        <v>21</v>
      </c>
    </row>
    <row r="133" spans="1:14" ht="60" customHeight="1" x14ac:dyDescent="0.35">
      <c r="A133" s="11" t="s">
        <v>667</v>
      </c>
      <c r="B133" s="1" t="s">
        <v>668</v>
      </c>
      <c r="C133" s="2" t="s">
        <v>241</v>
      </c>
      <c r="D133" s="3" t="s">
        <v>337</v>
      </c>
      <c r="E133" s="4" t="s">
        <v>18</v>
      </c>
      <c r="F133" s="4" t="s">
        <v>19</v>
      </c>
      <c r="G133" s="4" t="s">
        <v>20</v>
      </c>
      <c r="H133" s="4" t="s">
        <v>21</v>
      </c>
      <c r="I133" s="5" t="s">
        <v>21</v>
      </c>
      <c r="J133" s="1" t="s">
        <v>669</v>
      </c>
      <c r="K133" s="1" t="s">
        <v>670</v>
      </c>
      <c r="L133" s="1" t="s">
        <v>671</v>
      </c>
      <c r="M133" s="4" t="str">
        <f t="shared" si="0"/>
        <v>Outstanding</v>
      </c>
      <c r="N133" s="13" t="s">
        <v>21</v>
      </c>
    </row>
    <row r="134" spans="1:14" ht="60" customHeight="1" x14ac:dyDescent="0.35">
      <c r="A134" s="11" t="s">
        <v>672</v>
      </c>
      <c r="B134" s="1" t="s">
        <v>673</v>
      </c>
      <c r="C134" s="2" t="s">
        <v>16</v>
      </c>
      <c r="D134" s="3" t="s">
        <v>337</v>
      </c>
      <c r="E134" s="4" t="s">
        <v>18</v>
      </c>
      <c r="F134" s="4" t="s">
        <v>19</v>
      </c>
      <c r="G134" s="4" t="s">
        <v>20</v>
      </c>
      <c r="H134" s="4" t="s">
        <v>21</v>
      </c>
      <c r="I134" s="5" t="s">
        <v>21</v>
      </c>
      <c r="J134" s="1" t="s">
        <v>674</v>
      </c>
      <c r="K134" s="1" t="s">
        <v>670</v>
      </c>
      <c r="L134" s="1" t="s">
        <v>675</v>
      </c>
      <c r="M134" s="4" t="str">
        <f t="shared" si="0"/>
        <v>Outstanding</v>
      </c>
      <c r="N134" s="13" t="s">
        <v>21</v>
      </c>
    </row>
    <row r="135" spans="1:14" ht="60" customHeight="1" x14ac:dyDescent="0.35">
      <c r="A135" s="11" t="s">
        <v>676</v>
      </c>
      <c r="B135" s="1" t="s">
        <v>677</v>
      </c>
      <c r="C135" s="2" t="s">
        <v>16</v>
      </c>
      <c r="D135" s="3" t="s">
        <v>337</v>
      </c>
      <c r="E135" s="4" t="s">
        <v>18</v>
      </c>
      <c r="F135" s="4" t="s">
        <v>19</v>
      </c>
      <c r="G135" s="4" t="s">
        <v>20</v>
      </c>
      <c r="H135" s="4" t="s">
        <v>21</v>
      </c>
      <c r="I135" s="5" t="s">
        <v>21</v>
      </c>
      <c r="J135" s="1" t="s">
        <v>678</v>
      </c>
      <c r="K135" s="1" t="s">
        <v>679</v>
      </c>
      <c r="L135" s="1" t="s">
        <v>680</v>
      </c>
      <c r="M135" s="4" t="str">
        <f t="shared" si="0"/>
        <v>Outstanding</v>
      </c>
      <c r="N135" s="13" t="s">
        <v>21</v>
      </c>
    </row>
    <row r="136" spans="1:14" ht="60" customHeight="1" x14ac:dyDescent="0.35">
      <c r="A136" s="11" t="s">
        <v>681</v>
      </c>
      <c r="B136" s="1" t="s">
        <v>682</v>
      </c>
      <c r="C136" s="2" t="s">
        <v>16</v>
      </c>
      <c r="D136" s="3" t="s">
        <v>337</v>
      </c>
      <c r="E136" s="4" t="s">
        <v>18</v>
      </c>
      <c r="F136" s="4" t="s">
        <v>19</v>
      </c>
      <c r="G136" s="4" t="s">
        <v>20</v>
      </c>
      <c r="H136" s="4" t="s">
        <v>21</v>
      </c>
      <c r="I136" s="5" t="s">
        <v>21</v>
      </c>
      <c r="J136" s="1" t="s">
        <v>683</v>
      </c>
      <c r="K136" s="1" t="s">
        <v>684</v>
      </c>
      <c r="L136" s="1" t="s">
        <v>685</v>
      </c>
      <c r="M136" s="4" t="str">
        <f t="shared" si="0"/>
        <v>Outstanding</v>
      </c>
      <c r="N136" s="13" t="s">
        <v>21</v>
      </c>
    </row>
    <row r="137" spans="1:14" ht="60" customHeight="1" x14ac:dyDescent="0.35">
      <c r="A137" s="11" t="s">
        <v>686</v>
      </c>
      <c r="B137" s="1" t="s">
        <v>687</v>
      </c>
      <c r="C137" s="2" t="s">
        <v>16</v>
      </c>
      <c r="D137" s="3" t="s">
        <v>337</v>
      </c>
      <c r="E137" s="4" t="s">
        <v>18</v>
      </c>
      <c r="F137" s="4" t="s">
        <v>19</v>
      </c>
      <c r="G137" s="4" t="s">
        <v>20</v>
      </c>
      <c r="H137" s="4" t="s">
        <v>21</v>
      </c>
      <c r="I137" s="5" t="s">
        <v>21</v>
      </c>
      <c r="J137" s="1" t="s">
        <v>688</v>
      </c>
      <c r="K137" s="1" t="s">
        <v>689</v>
      </c>
      <c r="L137" s="1" t="s">
        <v>690</v>
      </c>
      <c r="M137" s="4" t="str">
        <f t="shared" si="0"/>
        <v>Outstanding</v>
      </c>
      <c r="N137" s="13" t="s">
        <v>21</v>
      </c>
    </row>
    <row r="138" spans="1:14" ht="60" customHeight="1" x14ac:dyDescent="0.35">
      <c r="A138" s="11" t="s">
        <v>691</v>
      </c>
      <c r="B138" s="1" t="s">
        <v>692</v>
      </c>
      <c r="C138" s="2" t="s">
        <v>16</v>
      </c>
      <c r="D138" s="3" t="s">
        <v>337</v>
      </c>
      <c r="E138" s="4" t="s">
        <v>18</v>
      </c>
      <c r="F138" s="4" t="s">
        <v>19</v>
      </c>
      <c r="G138" s="4" t="s">
        <v>20</v>
      </c>
      <c r="H138" s="4" t="s">
        <v>21</v>
      </c>
      <c r="I138" s="5" t="s">
        <v>21</v>
      </c>
      <c r="J138" s="1" t="s">
        <v>693</v>
      </c>
      <c r="K138" s="1" t="s">
        <v>694</v>
      </c>
      <c r="L138" s="1" t="s">
        <v>695</v>
      </c>
      <c r="M138" s="4" t="str">
        <f t="shared" si="0"/>
        <v>Outstanding</v>
      </c>
      <c r="N138" s="13" t="s">
        <v>21</v>
      </c>
    </row>
    <row r="139" spans="1:14" ht="60" customHeight="1" x14ac:dyDescent="0.35">
      <c r="A139" s="11" t="s">
        <v>696</v>
      </c>
      <c r="B139" s="1" t="s">
        <v>697</v>
      </c>
      <c r="C139" s="2" t="s">
        <v>241</v>
      </c>
      <c r="D139" s="3" t="s">
        <v>337</v>
      </c>
      <c r="E139" s="4" t="s">
        <v>18</v>
      </c>
      <c r="F139" s="4" t="s">
        <v>19</v>
      </c>
      <c r="G139" s="4" t="s">
        <v>20</v>
      </c>
      <c r="H139" s="4" t="s">
        <v>21</v>
      </c>
      <c r="I139" s="5" t="s">
        <v>21</v>
      </c>
      <c r="J139" s="1" t="s">
        <v>698</v>
      </c>
      <c r="K139" s="1" t="s">
        <v>699</v>
      </c>
      <c r="L139" s="1" t="s">
        <v>700</v>
      </c>
      <c r="M139" s="4" t="str">
        <f t="shared" si="0"/>
        <v>Outstanding</v>
      </c>
      <c r="N139" s="13" t="s">
        <v>21</v>
      </c>
    </row>
    <row r="140" spans="1:14" ht="60" customHeight="1" x14ac:dyDescent="0.35">
      <c r="A140" s="11" t="s">
        <v>701</v>
      </c>
      <c r="B140" s="1" t="s">
        <v>702</v>
      </c>
      <c r="C140" s="2" t="s">
        <v>241</v>
      </c>
      <c r="D140" s="3" t="s">
        <v>337</v>
      </c>
      <c r="E140" s="4" t="s">
        <v>18</v>
      </c>
      <c r="F140" s="4" t="s">
        <v>19</v>
      </c>
      <c r="G140" s="4" t="s">
        <v>20</v>
      </c>
      <c r="H140" s="4" t="s">
        <v>21</v>
      </c>
      <c r="I140" s="5" t="s">
        <v>21</v>
      </c>
      <c r="J140" s="1" t="s">
        <v>703</v>
      </c>
      <c r="K140" s="1" t="s">
        <v>704</v>
      </c>
      <c r="L140" s="1" t="s">
        <v>705</v>
      </c>
      <c r="M140" s="4" t="str">
        <f t="shared" si="0"/>
        <v>Outstanding</v>
      </c>
      <c r="N140" s="13" t="s">
        <v>21</v>
      </c>
    </row>
    <row r="141" spans="1:14" ht="60" customHeight="1" x14ac:dyDescent="0.35">
      <c r="A141" s="11" t="s">
        <v>706</v>
      </c>
      <c r="B141" s="1" t="s">
        <v>707</v>
      </c>
      <c r="C141" s="2" t="s">
        <v>241</v>
      </c>
      <c r="D141" s="3" t="s">
        <v>337</v>
      </c>
      <c r="E141" s="4" t="s">
        <v>18</v>
      </c>
      <c r="F141" s="4" t="s">
        <v>19</v>
      </c>
      <c r="G141" s="4" t="s">
        <v>20</v>
      </c>
      <c r="H141" s="4" t="s">
        <v>21</v>
      </c>
      <c r="I141" s="5" t="s">
        <v>21</v>
      </c>
      <c r="J141" s="1" t="s">
        <v>708</v>
      </c>
      <c r="K141" s="1" t="s">
        <v>709</v>
      </c>
      <c r="L141" s="1" t="s">
        <v>710</v>
      </c>
      <c r="M141" s="4" t="str">
        <f t="shared" si="0"/>
        <v>Outstanding</v>
      </c>
      <c r="N141" s="13" t="s">
        <v>21</v>
      </c>
    </row>
    <row r="142" spans="1:14" ht="60" customHeight="1" x14ac:dyDescent="0.35">
      <c r="A142" s="11" t="s">
        <v>711</v>
      </c>
      <c r="B142" s="1" t="s">
        <v>712</v>
      </c>
      <c r="C142" s="2" t="s">
        <v>241</v>
      </c>
      <c r="D142" s="3" t="s">
        <v>337</v>
      </c>
      <c r="E142" s="4" t="s">
        <v>18</v>
      </c>
      <c r="F142" s="4" t="s">
        <v>19</v>
      </c>
      <c r="G142" s="4" t="s">
        <v>20</v>
      </c>
      <c r="H142" s="4" t="s">
        <v>21</v>
      </c>
      <c r="I142" s="5" t="s">
        <v>21</v>
      </c>
      <c r="J142" s="1" t="s">
        <v>713</v>
      </c>
      <c r="K142" s="1" t="s">
        <v>714</v>
      </c>
      <c r="L142" s="1" t="s">
        <v>715</v>
      </c>
      <c r="M142" s="4" t="str">
        <f t="shared" si="0"/>
        <v>Outstanding</v>
      </c>
      <c r="N142" s="13" t="s">
        <v>21</v>
      </c>
    </row>
    <row r="143" spans="1:14" ht="60" customHeight="1" x14ac:dyDescent="0.35">
      <c r="A143" s="11" t="s">
        <v>716</v>
      </c>
      <c r="B143" s="1" t="s">
        <v>717</v>
      </c>
      <c r="C143" s="2" t="s">
        <v>16</v>
      </c>
      <c r="D143" s="3" t="s">
        <v>337</v>
      </c>
      <c r="E143" s="4" t="s">
        <v>18</v>
      </c>
      <c r="F143" s="4" t="s">
        <v>19</v>
      </c>
      <c r="G143" s="4" t="s">
        <v>20</v>
      </c>
      <c r="H143" s="4" t="s">
        <v>21</v>
      </c>
      <c r="I143" s="5" t="s">
        <v>21</v>
      </c>
      <c r="J143" s="1" t="s">
        <v>718</v>
      </c>
      <c r="K143" s="1" t="s">
        <v>719</v>
      </c>
      <c r="L143" s="1" t="s">
        <v>720</v>
      </c>
      <c r="M143" s="4" t="str">
        <f t="shared" si="0"/>
        <v>Outstanding</v>
      </c>
      <c r="N143" s="13" t="s">
        <v>21</v>
      </c>
    </row>
    <row r="144" spans="1:14" ht="60" customHeight="1" x14ac:dyDescent="0.35">
      <c r="A144" s="11" t="s">
        <v>721</v>
      </c>
      <c r="B144" s="1" t="s">
        <v>722</v>
      </c>
      <c r="C144" s="2" t="s">
        <v>241</v>
      </c>
      <c r="D144" s="3" t="s">
        <v>337</v>
      </c>
      <c r="E144" s="4" t="s">
        <v>18</v>
      </c>
      <c r="F144" s="4" t="s">
        <v>19</v>
      </c>
      <c r="G144" s="4" t="s">
        <v>20</v>
      </c>
      <c r="H144" s="4" t="s">
        <v>21</v>
      </c>
      <c r="I144" s="5" t="s">
        <v>21</v>
      </c>
      <c r="J144" s="1" t="s">
        <v>723</v>
      </c>
      <c r="K144" s="1" t="s">
        <v>724</v>
      </c>
      <c r="L144" s="1" t="s">
        <v>725</v>
      </c>
      <c r="M144" s="4" t="str">
        <f t="shared" si="0"/>
        <v>Outstanding</v>
      </c>
      <c r="N144" s="13" t="s">
        <v>21</v>
      </c>
    </row>
    <row r="145" spans="1:14" ht="60" customHeight="1" x14ac:dyDescent="0.35">
      <c r="A145" s="11" t="s">
        <v>726</v>
      </c>
      <c r="B145" s="1" t="s">
        <v>727</v>
      </c>
      <c r="C145" s="2" t="s">
        <v>16</v>
      </c>
      <c r="D145" s="3" t="s">
        <v>337</v>
      </c>
      <c r="E145" s="4" t="s">
        <v>18</v>
      </c>
      <c r="F145" s="4" t="s">
        <v>19</v>
      </c>
      <c r="G145" s="4" t="s">
        <v>20</v>
      </c>
      <c r="H145" s="4" t="s">
        <v>21</v>
      </c>
      <c r="I145" s="5" t="s">
        <v>21</v>
      </c>
      <c r="J145" s="1" t="s">
        <v>728</v>
      </c>
      <c r="K145" s="1" t="s">
        <v>729</v>
      </c>
      <c r="L145" s="1" t="s">
        <v>730</v>
      </c>
      <c r="M145" s="4" t="str">
        <f t="shared" si="0"/>
        <v>Outstanding</v>
      </c>
      <c r="N145" s="13" t="s">
        <v>21</v>
      </c>
    </row>
    <row r="146" spans="1:14" ht="60" customHeight="1" x14ac:dyDescent="0.35">
      <c r="A146" s="11" t="s">
        <v>731</v>
      </c>
      <c r="B146" s="1" t="s">
        <v>732</v>
      </c>
      <c r="C146" s="2" t="s">
        <v>16</v>
      </c>
      <c r="D146" s="3" t="s">
        <v>337</v>
      </c>
      <c r="E146" s="4" t="s">
        <v>18</v>
      </c>
      <c r="F146" s="4" t="s">
        <v>19</v>
      </c>
      <c r="G146" s="4" t="s">
        <v>20</v>
      </c>
      <c r="H146" s="4" t="s">
        <v>21</v>
      </c>
      <c r="I146" s="5" t="s">
        <v>21</v>
      </c>
      <c r="J146" s="1" t="s">
        <v>733</v>
      </c>
      <c r="K146" s="1" t="s">
        <v>734</v>
      </c>
      <c r="L146" s="1" t="s">
        <v>735</v>
      </c>
      <c r="M146" s="4" t="str">
        <f t="shared" si="0"/>
        <v>Outstanding</v>
      </c>
      <c r="N146" s="13" t="s">
        <v>21</v>
      </c>
    </row>
    <row r="147" spans="1:14" ht="60" customHeight="1" x14ac:dyDescent="0.35">
      <c r="A147" s="11" t="s">
        <v>736</v>
      </c>
      <c r="B147" s="1" t="s">
        <v>737</v>
      </c>
      <c r="C147" s="2" t="s">
        <v>16</v>
      </c>
      <c r="D147" s="3" t="s">
        <v>337</v>
      </c>
      <c r="E147" s="4" t="s">
        <v>18</v>
      </c>
      <c r="F147" s="4" t="s">
        <v>19</v>
      </c>
      <c r="G147" s="4" t="s">
        <v>20</v>
      </c>
      <c r="H147" s="4" t="s">
        <v>21</v>
      </c>
      <c r="I147" s="5" t="s">
        <v>21</v>
      </c>
      <c r="J147" s="1" t="s">
        <v>738</v>
      </c>
      <c r="K147" s="1" t="s">
        <v>739</v>
      </c>
      <c r="L147" s="1" t="s">
        <v>740</v>
      </c>
      <c r="M147" s="4" t="str">
        <f t="shared" si="0"/>
        <v>Outstanding</v>
      </c>
      <c r="N147" s="13" t="s">
        <v>21</v>
      </c>
    </row>
    <row r="148" spans="1:14" ht="60" customHeight="1" x14ac:dyDescent="0.35">
      <c r="A148" s="11" t="s">
        <v>741</v>
      </c>
      <c r="B148" s="1" t="s">
        <v>742</v>
      </c>
      <c r="C148" s="2" t="s">
        <v>16</v>
      </c>
      <c r="D148" s="3" t="s">
        <v>337</v>
      </c>
      <c r="E148" s="4" t="s">
        <v>18</v>
      </c>
      <c r="F148" s="4" t="s">
        <v>19</v>
      </c>
      <c r="G148" s="4" t="s">
        <v>20</v>
      </c>
      <c r="H148" s="4" t="s">
        <v>21</v>
      </c>
      <c r="I148" s="5" t="s">
        <v>21</v>
      </c>
      <c r="J148" s="1" t="s">
        <v>743</v>
      </c>
      <c r="K148" s="1" t="s">
        <v>744</v>
      </c>
      <c r="L148" s="1" t="s">
        <v>745</v>
      </c>
      <c r="M148" s="4" t="str">
        <f t="shared" si="0"/>
        <v>Outstanding</v>
      </c>
      <c r="N148" s="13" t="s">
        <v>21</v>
      </c>
    </row>
    <row r="149" spans="1:14" ht="60" customHeight="1" x14ac:dyDescent="0.35">
      <c r="A149" s="11" t="s">
        <v>746</v>
      </c>
      <c r="B149" s="1" t="s">
        <v>747</v>
      </c>
      <c r="C149" s="2" t="s">
        <v>16</v>
      </c>
      <c r="D149" s="3" t="s">
        <v>337</v>
      </c>
      <c r="E149" s="4" t="s">
        <v>18</v>
      </c>
      <c r="F149" s="4" t="s">
        <v>19</v>
      </c>
      <c r="G149" s="4" t="s">
        <v>20</v>
      </c>
      <c r="H149" s="4" t="s">
        <v>21</v>
      </c>
      <c r="I149" s="5" t="s">
        <v>21</v>
      </c>
      <c r="J149" s="1" t="s">
        <v>748</v>
      </c>
      <c r="K149" s="1" t="s">
        <v>749</v>
      </c>
      <c r="L149" s="1" t="s">
        <v>750</v>
      </c>
      <c r="M149" s="4" t="str">
        <f t="shared" si="0"/>
        <v>Outstanding</v>
      </c>
      <c r="N149" s="13" t="s">
        <v>21</v>
      </c>
    </row>
    <row r="150" spans="1:14" ht="60" customHeight="1" x14ac:dyDescent="0.35">
      <c r="A150" s="11" t="s">
        <v>751</v>
      </c>
      <c r="B150" s="1" t="s">
        <v>752</v>
      </c>
      <c r="C150" s="2" t="s">
        <v>16</v>
      </c>
      <c r="D150" s="3" t="s">
        <v>337</v>
      </c>
      <c r="E150" s="4" t="s">
        <v>18</v>
      </c>
      <c r="F150" s="4" t="s">
        <v>19</v>
      </c>
      <c r="G150" s="4" t="s">
        <v>20</v>
      </c>
      <c r="H150" s="4" t="s">
        <v>21</v>
      </c>
      <c r="I150" s="5" t="s">
        <v>21</v>
      </c>
      <c r="J150" s="1" t="s">
        <v>753</v>
      </c>
      <c r="K150" s="1" t="s">
        <v>754</v>
      </c>
      <c r="L150" s="1" t="s">
        <v>755</v>
      </c>
      <c r="M150" s="4" t="str">
        <f t="shared" si="0"/>
        <v>Outstanding</v>
      </c>
      <c r="N150" s="13" t="s">
        <v>21</v>
      </c>
    </row>
    <row r="151" spans="1:14" ht="60" customHeight="1" x14ac:dyDescent="0.35">
      <c r="A151" s="11" t="s">
        <v>756</v>
      </c>
      <c r="B151" s="1" t="s">
        <v>757</v>
      </c>
      <c r="C151" s="2" t="s">
        <v>16</v>
      </c>
      <c r="D151" s="3" t="s">
        <v>337</v>
      </c>
      <c r="E151" s="4" t="s">
        <v>18</v>
      </c>
      <c r="F151" s="4" t="s">
        <v>19</v>
      </c>
      <c r="G151" s="4" t="s">
        <v>20</v>
      </c>
      <c r="H151" s="4" t="s">
        <v>21</v>
      </c>
      <c r="I151" s="5" t="s">
        <v>21</v>
      </c>
      <c r="J151" s="1" t="s">
        <v>758</v>
      </c>
      <c r="K151" s="1" t="s">
        <v>759</v>
      </c>
      <c r="L151" s="1" t="s">
        <v>760</v>
      </c>
      <c r="M151" s="4" t="str">
        <f t="shared" si="0"/>
        <v>Outstanding</v>
      </c>
      <c r="N151" s="13" t="s">
        <v>21</v>
      </c>
    </row>
    <row r="152" spans="1:14" ht="60" customHeight="1" x14ac:dyDescent="0.35">
      <c r="A152" s="11" t="s">
        <v>761</v>
      </c>
      <c r="B152" s="1" t="s">
        <v>762</v>
      </c>
      <c r="C152" s="2" t="s">
        <v>16</v>
      </c>
      <c r="D152" s="3" t="s">
        <v>337</v>
      </c>
      <c r="E152" s="4" t="s">
        <v>18</v>
      </c>
      <c r="F152" s="4" t="s">
        <v>19</v>
      </c>
      <c r="G152" s="4" t="s">
        <v>20</v>
      </c>
      <c r="H152" s="4" t="s">
        <v>21</v>
      </c>
      <c r="I152" s="5" t="s">
        <v>21</v>
      </c>
      <c r="J152" s="1" t="s">
        <v>753</v>
      </c>
      <c r="K152" s="1" t="s">
        <v>763</v>
      </c>
      <c r="L152" s="1" t="s">
        <v>764</v>
      </c>
      <c r="M152" s="4" t="str">
        <f t="shared" si="0"/>
        <v>Outstanding</v>
      </c>
      <c r="N152" s="13" t="s">
        <v>21</v>
      </c>
    </row>
    <row r="153" spans="1:14" ht="60" customHeight="1" x14ac:dyDescent="0.35">
      <c r="A153" s="12" t="s">
        <v>765</v>
      </c>
      <c r="B153" s="6" t="s">
        <v>766</v>
      </c>
      <c r="C153" s="7" t="s">
        <v>16</v>
      </c>
      <c r="D153" s="8" t="s">
        <v>337</v>
      </c>
      <c r="E153" s="9" t="s">
        <v>18</v>
      </c>
      <c r="F153" s="9" t="s">
        <v>19</v>
      </c>
      <c r="G153" s="9" t="s">
        <v>20</v>
      </c>
      <c r="H153" s="9" t="s">
        <v>21</v>
      </c>
      <c r="I153" s="10" t="s">
        <v>21</v>
      </c>
      <c r="J153" s="6" t="s">
        <v>767</v>
      </c>
      <c r="K153" s="6" t="s">
        <v>768</v>
      </c>
      <c r="L153" s="6" t="s">
        <v>769</v>
      </c>
      <c r="M153" s="9" t="str">
        <f t="shared" si="0"/>
        <v>Outstanding</v>
      </c>
      <c r="N153" s="14" t="s">
        <v>21</v>
      </c>
    </row>
    <row r="157" spans="1:14" ht="32" customHeight="1" x14ac:dyDescent="0.35">
      <c r="A157" s="291" t="s">
        <v>770</v>
      </c>
      <c r="B157" s="291"/>
      <c r="C157" s="291"/>
      <c r="D157" s="291"/>
    </row>
  </sheetData>
  <mergeCells count="1">
    <mergeCell ref="A157:D157"/>
  </mergeCells>
  <conditionalFormatting sqref="C2:C153">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5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5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5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53" xr:uid="{00000000-0002-0000-0200-000000000000}">
      <formula1>"Must,Should,Could,Won't,Unassigned"</formula1>
    </dataValidation>
    <dataValidation type="list" showErrorMessage="1" errorTitle="Invalid Value" error="Please select a value from the list: Low, Medium, High, Unassessed." sqref="F2:F153" xr:uid="{00000000-0002-0000-0200-000001000000}">
      <formula1>"Low,Medium,High,Unassessed"</formula1>
    </dataValidation>
    <dataValidation type="list" showErrorMessage="1" errorTitle="Invalid Value" error="Please select a value from the list: Phase1, Phase2, Phase3, Phase4, Phase5, Pending." sqref="G2:G15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53" xr:uid="{00000000-0002-0000-0200-000003000000}">
      <formula1>"Implemented,Testing,Failed,Compensated,Risk Accepted,N/A"</formula1>
    </dataValidation>
  </dataValidations>
  <hyperlinks>
    <hyperlink ref="A15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924</v>
      </c>
      <c r="C2" s="308" t="s">
        <v>924</v>
      </c>
      <c r="D2" s="308" t="s">
        <v>924</v>
      </c>
      <c r="E2" s="308" t="s">
        <v>924</v>
      </c>
      <c r="F2" s="308" t="s">
        <v>924</v>
      </c>
      <c r="G2" s="308" t="s">
        <v>924</v>
      </c>
      <c r="H2" s="312" t="s">
        <v>925</v>
      </c>
      <c r="I2" s="312" t="s">
        <v>925</v>
      </c>
      <c r="J2" s="312" t="s">
        <v>925</v>
      </c>
      <c r="K2" s="312" t="s">
        <v>925</v>
      </c>
      <c r="L2" s="312" t="s">
        <v>925</v>
      </c>
      <c r="M2" s="311" t="s">
        <v>926</v>
      </c>
      <c r="N2" s="311" t="s">
        <v>926</v>
      </c>
      <c r="O2" s="313" t="s">
        <v>927</v>
      </c>
      <c r="P2" s="313" t="s">
        <v>927</v>
      </c>
      <c r="Q2" s="309" t="s">
        <v>12</v>
      </c>
      <c r="R2" s="309" t="s">
        <v>12</v>
      </c>
      <c r="S2" s="309" t="s">
        <v>12</v>
      </c>
      <c r="T2" s="310" t="s">
        <v>928</v>
      </c>
    </row>
    <row r="3" spans="2:20" ht="35" customHeight="1" x14ac:dyDescent="0.35">
      <c r="B3" s="73" t="s">
        <v>929</v>
      </c>
      <c r="C3" s="73" t="s">
        <v>930</v>
      </c>
      <c r="D3" s="73" t="s">
        <v>931</v>
      </c>
      <c r="E3" s="73" t="s">
        <v>932</v>
      </c>
      <c r="F3" s="73" t="s">
        <v>933</v>
      </c>
      <c r="G3" s="73" t="s">
        <v>10</v>
      </c>
      <c r="H3" s="74" t="s">
        <v>934</v>
      </c>
      <c r="I3" s="74" t="s">
        <v>935</v>
      </c>
      <c r="J3" s="74" t="s">
        <v>936</v>
      </c>
      <c r="K3" s="74" t="s">
        <v>937</v>
      </c>
      <c r="L3" s="74" t="s">
        <v>868</v>
      </c>
      <c r="M3" s="75" t="s">
        <v>938</v>
      </c>
      <c r="N3" s="75" t="s">
        <v>939</v>
      </c>
      <c r="O3" s="76" t="s">
        <v>940</v>
      </c>
      <c r="P3" s="76" t="s">
        <v>941</v>
      </c>
      <c r="Q3" s="77" t="s">
        <v>12</v>
      </c>
      <c r="R3" s="77" t="s">
        <v>942</v>
      </c>
      <c r="S3" s="77" t="s">
        <v>943</v>
      </c>
      <c r="T3" s="78" t="s">
        <v>944</v>
      </c>
    </row>
    <row r="4" spans="2:20" ht="60" customHeight="1" x14ac:dyDescent="0.35">
      <c r="B4" s="79" t="s">
        <v>945</v>
      </c>
      <c r="C4" s="79" t="s">
        <v>946</v>
      </c>
      <c r="D4" s="79" t="s">
        <v>947</v>
      </c>
      <c r="E4" s="79" t="s">
        <v>948</v>
      </c>
      <c r="F4" s="79" t="s">
        <v>949</v>
      </c>
      <c r="G4" s="79" t="s">
        <v>950</v>
      </c>
      <c r="H4" s="79" t="s">
        <v>951</v>
      </c>
      <c r="I4" s="79" t="s">
        <v>952</v>
      </c>
      <c r="J4" s="79" t="s">
        <v>953</v>
      </c>
      <c r="K4" s="79" t="s">
        <v>954</v>
      </c>
      <c r="L4" s="79" t="s">
        <v>955</v>
      </c>
      <c r="M4" s="79" t="s">
        <v>956</v>
      </c>
      <c r="N4" s="79" t="s">
        <v>957</v>
      </c>
      <c r="O4" s="79" t="s">
        <v>958</v>
      </c>
      <c r="P4" s="79" t="s">
        <v>959</v>
      </c>
      <c r="Q4" s="79" t="s">
        <v>960</v>
      </c>
      <c r="R4" s="79" t="s">
        <v>961</v>
      </c>
      <c r="S4" s="79" t="s">
        <v>962</v>
      </c>
      <c r="T4" s="79" t="s">
        <v>963</v>
      </c>
    </row>
    <row r="5" spans="2:20" ht="60" customHeight="1" x14ac:dyDescent="0.35">
      <c r="B5" s="41" t="s">
        <v>964</v>
      </c>
      <c r="C5" s="80"/>
      <c r="D5" s="81"/>
      <c r="E5" s="81" t="s">
        <v>21</v>
      </c>
      <c r="F5" s="81" t="str">
        <f>IF(E5&lt;&gt;"", IFERROR(VLOOKUP(E5, Dashboard!$B46:$F51, 5, FALSE), ""), "")</f>
        <v/>
      </c>
      <c r="G5" s="82"/>
      <c r="H5" s="69"/>
      <c r="I5" s="69"/>
      <c r="J5" s="82"/>
      <c r="K5" s="82"/>
      <c r="L5" s="43"/>
      <c r="M5" s="43"/>
      <c r="N5" s="82"/>
      <c r="O5" s="82"/>
      <c r="P5" s="43"/>
      <c r="Q5" s="43" t="s">
        <v>21</v>
      </c>
      <c r="R5" s="82"/>
      <c r="S5" s="69"/>
      <c r="T5" s="82"/>
    </row>
    <row r="6" spans="2:20" ht="60" customHeight="1" x14ac:dyDescent="0.35">
      <c r="B6" s="41" t="s">
        <v>965</v>
      </c>
      <c r="C6" s="80"/>
      <c r="D6" s="81"/>
      <c r="E6" s="81" t="s">
        <v>21</v>
      </c>
      <c r="F6" s="81" t="str">
        <f>IF(E6&lt;&gt;"", IFERROR(VLOOKUP(E6, Dashboard!$B46:$F51, 5, FALSE), ""), "")</f>
        <v/>
      </c>
      <c r="G6" s="82"/>
      <c r="H6" s="69"/>
      <c r="I6" s="69"/>
      <c r="J6" s="82"/>
      <c r="K6" s="82"/>
      <c r="L6" s="43"/>
      <c r="M6" s="43"/>
      <c r="N6" s="82"/>
      <c r="O6" s="82"/>
      <c r="P6" s="43"/>
      <c r="Q6" s="43" t="s">
        <v>21</v>
      </c>
      <c r="R6" s="82"/>
      <c r="S6" s="69"/>
      <c r="T6" s="82"/>
    </row>
    <row r="7" spans="2:20" ht="60" customHeight="1" x14ac:dyDescent="0.35">
      <c r="B7" s="41" t="s">
        <v>966</v>
      </c>
      <c r="C7" s="80"/>
      <c r="D7" s="81"/>
      <c r="E7" s="81" t="s">
        <v>21</v>
      </c>
      <c r="F7" s="81" t="str">
        <f>IF(E7&lt;&gt;"", IFERROR(VLOOKUP(E7, Dashboard!$B46:$F51, 5, FALSE), ""), "")</f>
        <v/>
      </c>
      <c r="G7" s="82"/>
      <c r="H7" s="69"/>
      <c r="I7" s="69"/>
      <c r="J7" s="82"/>
      <c r="K7" s="82"/>
      <c r="L7" s="43"/>
      <c r="M7" s="43"/>
      <c r="N7" s="82"/>
      <c r="O7" s="82"/>
      <c r="P7" s="43"/>
      <c r="Q7" s="43" t="s">
        <v>21</v>
      </c>
      <c r="R7" s="82"/>
      <c r="S7" s="69"/>
      <c r="T7" s="82"/>
    </row>
    <row r="8" spans="2:20" ht="60" customHeight="1" x14ac:dyDescent="0.35">
      <c r="B8" s="41" t="s">
        <v>967</v>
      </c>
      <c r="C8" s="80"/>
      <c r="D8" s="81"/>
      <c r="E8" s="81" t="s">
        <v>21</v>
      </c>
      <c r="F8" s="81" t="str">
        <f>IF(E8&lt;&gt;"", IFERROR(VLOOKUP(E8, Dashboard!$B46:$F51, 5, FALSE), ""), "")</f>
        <v/>
      </c>
      <c r="G8" s="82"/>
      <c r="H8" s="69"/>
      <c r="I8" s="69"/>
      <c r="J8" s="82"/>
      <c r="K8" s="82"/>
      <c r="L8" s="43"/>
      <c r="M8" s="43"/>
      <c r="N8" s="82"/>
      <c r="O8" s="82"/>
      <c r="P8" s="43"/>
      <c r="Q8" s="43" t="s">
        <v>21</v>
      </c>
      <c r="R8" s="82"/>
      <c r="S8" s="69"/>
      <c r="T8" s="82"/>
    </row>
    <row r="9" spans="2:20" ht="60" customHeight="1" x14ac:dyDescent="0.35">
      <c r="B9" s="41" t="s">
        <v>968</v>
      </c>
      <c r="C9" s="80"/>
      <c r="D9" s="81"/>
      <c r="E9" s="81" t="s">
        <v>21</v>
      </c>
      <c r="F9" s="81" t="str">
        <f>IF(E9&lt;&gt;"", IFERROR(VLOOKUP(E9, Dashboard!$B46:$F51, 5, FALSE), ""), "")</f>
        <v/>
      </c>
      <c r="G9" s="82"/>
      <c r="H9" s="69"/>
      <c r="I9" s="69"/>
      <c r="J9" s="82"/>
      <c r="K9" s="82"/>
      <c r="L9" s="43"/>
      <c r="M9" s="43"/>
      <c r="N9" s="82"/>
      <c r="O9" s="82"/>
      <c r="P9" s="43"/>
      <c r="Q9" s="43" t="s">
        <v>21</v>
      </c>
      <c r="R9" s="82"/>
      <c r="S9" s="69"/>
      <c r="T9" s="82"/>
    </row>
    <row r="10" spans="2:20" ht="60" customHeight="1" x14ac:dyDescent="0.35">
      <c r="B10" s="41" t="s">
        <v>969</v>
      </c>
      <c r="C10" s="80"/>
      <c r="D10" s="81"/>
      <c r="E10" s="81" t="s">
        <v>21</v>
      </c>
      <c r="F10" s="81" t="str">
        <f>IF(E10&lt;&gt;"", IFERROR(VLOOKUP(E10, Dashboard!$B46:$F51, 5, FALSE), ""), "")</f>
        <v/>
      </c>
      <c r="G10" s="82"/>
      <c r="H10" s="69"/>
      <c r="I10" s="69"/>
      <c r="J10" s="82"/>
      <c r="K10" s="82"/>
      <c r="L10" s="43"/>
      <c r="M10" s="43"/>
      <c r="N10" s="82"/>
      <c r="O10" s="82"/>
      <c r="P10" s="43"/>
      <c r="Q10" s="43" t="s">
        <v>21</v>
      </c>
      <c r="R10" s="82"/>
      <c r="S10" s="69"/>
      <c r="T10" s="82"/>
    </row>
    <row r="11" spans="2:20" ht="60" customHeight="1" x14ac:dyDescent="0.35">
      <c r="B11" s="41" t="s">
        <v>970</v>
      </c>
      <c r="C11" s="80"/>
      <c r="D11" s="81"/>
      <c r="E11" s="81" t="s">
        <v>21</v>
      </c>
      <c r="F11" s="81" t="str">
        <f>IF(E11&lt;&gt;"", IFERROR(VLOOKUP(E11, Dashboard!$B46:$F51, 5, FALSE), ""), "")</f>
        <v/>
      </c>
      <c r="G11" s="82"/>
      <c r="H11" s="69"/>
      <c r="I11" s="69"/>
      <c r="J11" s="82"/>
      <c r="K11" s="82"/>
      <c r="L11" s="43"/>
      <c r="M11" s="43"/>
      <c r="N11" s="82"/>
      <c r="O11" s="82"/>
      <c r="P11" s="43"/>
      <c r="Q11" s="43" t="s">
        <v>21</v>
      </c>
      <c r="R11" s="82"/>
      <c r="S11" s="69"/>
      <c r="T11" s="82"/>
    </row>
    <row r="12" spans="2:20" ht="60" customHeight="1" x14ac:dyDescent="0.35">
      <c r="B12" s="41" t="s">
        <v>971</v>
      </c>
      <c r="C12" s="80"/>
      <c r="D12" s="81"/>
      <c r="E12" s="81" t="s">
        <v>21</v>
      </c>
      <c r="F12" s="81" t="str">
        <f>IF(E12&lt;&gt;"", IFERROR(VLOOKUP(E12, Dashboard!$B46:$F51, 5, FALSE), ""), "")</f>
        <v/>
      </c>
      <c r="G12" s="82"/>
      <c r="H12" s="69"/>
      <c r="I12" s="69"/>
      <c r="J12" s="82"/>
      <c r="K12" s="82"/>
      <c r="L12" s="43"/>
      <c r="M12" s="43"/>
      <c r="N12" s="82"/>
      <c r="O12" s="82"/>
      <c r="P12" s="43"/>
      <c r="Q12" s="43" t="s">
        <v>21</v>
      </c>
      <c r="R12" s="82"/>
      <c r="S12" s="69"/>
      <c r="T12" s="82"/>
    </row>
    <row r="13" spans="2:20" ht="60" customHeight="1" x14ac:dyDescent="0.35">
      <c r="B13" s="41" t="s">
        <v>972</v>
      </c>
      <c r="C13" s="80"/>
      <c r="D13" s="81"/>
      <c r="E13" s="81" t="s">
        <v>21</v>
      </c>
      <c r="F13" s="81" t="str">
        <f>IF(E13&lt;&gt;"", IFERROR(VLOOKUP(E13, Dashboard!$B46:$F51, 5, FALSE), ""), "")</f>
        <v/>
      </c>
      <c r="G13" s="82"/>
      <c r="H13" s="69"/>
      <c r="I13" s="69"/>
      <c r="J13" s="82"/>
      <c r="K13" s="82"/>
      <c r="L13" s="43"/>
      <c r="M13" s="43"/>
      <c r="N13" s="82"/>
      <c r="O13" s="82"/>
      <c r="P13" s="43"/>
      <c r="Q13" s="43" t="s">
        <v>21</v>
      </c>
      <c r="R13" s="82"/>
      <c r="S13" s="69"/>
      <c r="T13" s="82"/>
    </row>
    <row r="14" spans="2:20" ht="60" customHeight="1" x14ac:dyDescent="0.35">
      <c r="B14" s="41" t="s">
        <v>973</v>
      </c>
      <c r="C14" s="80"/>
      <c r="D14" s="81"/>
      <c r="E14" s="81" t="s">
        <v>21</v>
      </c>
      <c r="F14" s="81" t="str">
        <f>IF(E14&lt;&gt;"", IFERROR(VLOOKUP(E14, Dashboard!$B46:$F51, 5, FALSE), ""), "")</f>
        <v/>
      </c>
      <c r="G14" s="82"/>
      <c r="H14" s="69"/>
      <c r="I14" s="69"/>
      <c r="J14" s="82"/>
      <c r="K14" s="82"/>
      <c r="L14" s="43"/>
      <c r="M14" s="43"/>
      <c r="N14" s="82"/>
      <c r="O14" s="82"/>
      <c r="P14" s="43"/>
      <c r="Q14" s="43" t="s">
        <v>21</v>
      </c>
      <c r="R14" s="82"/>
      <c r="S14" s="69"/>
      <c r="T14" s="82"/>
    </row>
    <row r="15" spans="2:20" ht="60" customHeight="1" x14ac:dyDescent="0.35">
      <c r="B15" s="41" t="s">
        <v>974</v>
      </c>
      <c r="C15" s="80"/>
      <c r="D15" s="81"/>
      <c r="E15" s="81" t="s">
        <v>21</v>
      </c>
      <c r="F15" s="81" t="str">
        <f>IF(E15&lt;&gt;"", IFERROR(VLOOKUP(E15, Dashboard!$B46:$F51, 5, FALSE), ""), "")</f>
        <v/>
      </c>
      <c r="G15" s="82"/>
      <c r="H15" s="69"/>
      <c r="I15" s="69"/>
      <c r="J15" s="82"/>
      <c r="K15" s="82"/>
      <c r="L15" s="43"/>
      <c r="M15" s="43"/>
      <c r="N15" s="82"/>
      <c r="O15" s="82"/>
      <c r="P15" s="43"/>
      <c r="Q15" s="43" t="s">
        <v>21</v>
      </c>
      <c r="R15" s="82"/>
      <c r="S15" s="69"/>
      <c r="T15" s="82"/>
    </row>
    <row r="16" spans="2:20" ht="60" customHeight="1" x14ac:dyDescent="0.35">
      <c r="B16" s="41" t="s">
        <v>975</v>
      </c>
      <c r="C16" s="80"/>
      <c r="D16" s="81"/>
      <c r="E16" s="81" t="s">
        <v>21</v>
      </c>
      <c r="F16" s="81" t="str">
        <f>IF(E16&lt;&gt;"", IFERROR(VLOOKUP(E16, Dashboard!$B46:$F51, 5, FALSE), ""), "")</f>
        <v/>
      </c>
      <c r="G16" s="82"/>
      <c r="H16" s="69"/>
      <c r="I16" s="69"/>
      <c r="J16" s="82"/>
      <c r="K16" s="82"/>
      <c r="L16" s="43"/>
      <c r="M16" s="43"/>
      <c r="N16" s="82"/>
      <c r="O16" s="82"/>
      <c r="P16" s="43"/>
      <c r="Q16" s="43" t="s">
        <v>21</v>
      </c>
      <c r="R16" s="82"/>
      <c r="S16" s="69"/>
      <c r="T16" s="82"/>
    </row>
    <row r="17" spans="2:20" ht="60" customHeight="1" x14ac:dyDescent="0.35">
      <c r="B17" s="41" t="s">
        <v>976</v>
      </c>
      <c r="C17" s="80"/>
      <c r="D17" s="81"/>
      <c r="E17" s="81" t="s">
        <v>21</v>
      </c>
      <c r="F17" s="81" t="str">
        <f>IF(E17&lt;&gt;"", IFERROR(VLOOKUP(E17, Dashboard!$B46:$F51, 5, FALSE), ""), "")</f>
        <v/>
      </c>
      <c r="G17" s="82"/>
      <c r="H17" s="69"/>
      <c r="I17" s="69"/>
      <c r="J17" s="82"/>
      <c r="K17" s="82"/>
      <c r="L17" s="43"/>
      <c r="M17" s="43"/>
      <c r="N17" s="82"/>
      <c r="O17" s="82"/>
      <c r="P17" s="43"/>
      <c r="Q17" s="43" t="s">
        <v>21</v>
      </c>
      <c r="R17" s="82"/>
      <c r="S17" s="69"/>
      <c r="T17" s="82"/>
    </row>
    <row r="18" spans="2:20" ht="60" customHeight="1" x14ac:dyDescent="0.35">
      <c r="B18" s="41" t="s">
        <v>977</v>
      </c>
      <c r="C18" s="80"/>
      <c r="D18" s="81"/>
      <c r="E18" s="81" t="s">
        <v>21</v>
      </c>
      <c r="F18" s="81" t="str">
        <f>IF(E18&lt;&gt;"", IFERROR(VLOOKUP(E18, Dashboard!$B46:$F51, 5, FALSE), ""), "")</f>
        <v/>
      </c>
      <c r="G18" s="82"/>
      <c r="H18" s="69"/>
      <c r="I18" s="69"/>
      <c r="J18" s="82"/>
      <c r="K18" s="82"/>
      <c r="L18" s="43"/>
      <c r="M18" s="43"/>
      <c r="N18" s="82"/>
      <c r="O18" s="82"/>
      <c r="P18" s="43"/>
      <c r="Q18" s="43" t="s">
        <v>21</v>
      </c>
      <c r="R18" s="82"/>
      <c r="S18" s="69"/>
      <c r="T18" s="82"/>
    </row>
    <row r="19" spans="2:20" ht="60" customHeight="1" x14ac:dyDescent="0.35">
      <c r="B19" s="41" t="s">
        <v>978</v>
      </c>
      <c r="C19" s="80"/>
      <c r="D19" s="81"/>
      <c r="E19" s="81" t="s">
        <v>21</v>
      </c>
      <c r="F19" s="81" t="str">
        <f>IF(E19&lt;&gt;"", IFERROR(VLOOKUP(E19, Dashboard!$B46:$F51, 5, FALSE), ""), "")</f>
        <v/>
      </c>
      <c r="G19" s="82"/>
      <c r="H19" s="69"/>
      <c r="I19" s="69"/>
      <c r="J19" s="82"/>
      <c r="K19" s="82"/>
      <c r="L19" s="43"/>
      <c r="M19" s="43"/>
      <c r="N19" s="82"/>
      <c r="O19" s="82"/>
      <c r="P19" s="43"/>
      <c r="Q19" s="43" t="s">
        <v>21</v>
      </c>
      <c r="R19" s="82"/>
      <c r="S19" s="69"/>
      <c r="T19" s="82"/>
    </row>
    <row r="20" spans="2:20" ht="60" customHeight="1" x14ac:dyDescent="0.35">
      <c r="B20" s="41" t="s">
        <v>979</v>
      </c>
      <c r="C20" s="80"/>
      <c r="D20" s="81"/>
      <c r="E20" s="81" t="s">
        <v>21</v>
      </c>
      <c r="F20" s="81" t="str">
        <f>IF(E20&lt;&gt;"", IFERROR(VLOOKUP(E20, Dashboard!$B46:$F51, 5, FALSE), ""), "")</f>
        <v/>
      </c>
      <c r="G20" s="82"/>
      <c r="H20" s="69"/>
      <c r="I20" s="69"/>
      <c r="J20" s="82"/>
      <c r="K20" s="82"/>
      <c r="L20" s="43"/>
      <c r="M20" s="43"/>
      <c r="N20" s="82"/>
      <c r="O20" s="82"/>
      <c r="P20" s="43"/>
      <c r="Q20" s="43" t="s">
        <v>21</v>
      </c>
      <c r="R20" s="82"/>
      <c r="S20" s="69"/>
      <c r="T20" s="82"/>
    </row>
    <row r="21" spans="2:20" ht="60" customHeight="1" x14ac:dyDescent="0.35">
      <c r="B21" s="41" t="s">
        <v>980</v>
      </c>
      <c r="C21" s="80"/>
      <c r="D21" s="81"/>
      <c r="E21" s="81" t="s">
        <v>21</v>
      </c>
      <c r="F21" s="81" t="str">
        <f>IF(E21&lt;&gt;"", IFERROR(VLOOKUP(E21, Dashboard!$B46:$F51, 5, FALSE), ""), "")</f>
        <v/>
      </c>
      <c r="G21" s="82"/>
      <c r="H21" s="69"/>
      <c r="I21" s="69"/>
      <c r="J21" s="82"/>
      <c r="K21" s="82"/>
      <c r="L21" s="43"/>
      <c r="M21" s="43"/>
      <c r="N21" s="82"/>
      <c r="O21" s="82"/>
      <c r="P21" s="43"/>
      <c r="Q21" s="43" t="s">
        <v>21</v>
      </c>
      <c r="R21" s="82"/>
      <c r="S21" s="69"/>
      <c r="T21" s="82"/>
    </row>
    <row r="22" spans="2:20" ht="60" customHeight="1" x14ac:dyDescent="0.35">
      <c r="B22" s="41" t="s">
        <v>981</v>
      </c>
      <c r="C22" s="80"/>
      <c r="D22" s="81"/>
      <c r="E22" s="81" t="s">
        <v>21</v>
      </c>
      <c r="F22" s="81" t="str">
        <f>IF(E22&lt;&gt;"", IFERROR(VLOOKUP(E22, Dashboard!$B46:$F51, 5, FALSE), ""), "")</f>
        <v/>
      </c>
      <c r="G22" s="82"/>
      <c r="H22" s="69"/>
      <c r="I22" s="69"/>
      <c r="J22" s="82"/>
      <c r="K22" s="82"/>
      <c r="L22" s="43"/>
      <c r="M22" s="43"/>
      <c r="N22" s="82"/>
      <c r="O22" s="82"/>
      <c r="P22" s="43"/>
      <c r="Q22" s="43" t="s">
        <v>21</v>
      </c>
      <c r="R22" s="82"/>
      <c r="S22" s="69"/>
      <c r="T22" s="82"/>
    </row>
    <row r="23" spans="2:20" ht="60" customHeight="1" x14ac:dyDescent="0.35">
      <c r="B23" s="41" t="s">
        <v>982</v>
      </c>
      <c r="C23" s="80"/>
      <c r="D23" s="81"/>
      <c r="E23" s="81" t="s">
        <v>21</v>
      </c>
      <c r="F23" s="81" t="str">
        <f>IF(E23&lt;&gt;"", IFERROR(VLOOKUP(E23, Dashboard!$B46:$F51, 5, FALSE), ""), "")</f>
        <v/>
      </c>
      <c r="G23" s="82"/>
      <c r="H23" s="69"/>
      <c r="I23" s="69"/>
      <c r="J23" s="82"/>
      <c r="K23" s="82"/>
      <c r="L23" s="43"/>
      <c r="M23" s="43"/>
      <c r="N23" s="82"/>
      <c r="O23" s="82"/>
      <c r="P23" s="43"/>
      <c r="Q23" s="43" t="s">
        <v>21</v>
      </c>
      <c r="R23" s="82"/>
      <c r="S23" s="69"/>
      <c r="T23" s="82"/>
    </row>
    <row r="24" spans="2:20" ht="60" customHeight="1" x14ac:dyDescent="0.35">
      <c r="B24" s="41" t="s">
        <v>983</v>
      </c>
      <c r="C24" s="80"/>
      <c r="D24" s="81"/>
      <c r="E24" s="81" t="s">
        <v>21</v>
      </c>
      <c r="F24" s="81" t="str">
        <f>IF(E24&lt;&gt;"", IFERROR(VLOOKUP(E24, Dashboard!$B46:$F51, 5, FALSE), ""), "")</f>
        <v/>
      </c>
      <c r="G24" s="82"/>
      <c r="H24" s="69"/>
      <c r="I24" s="69"/>
      <c r="J24" s="82"/>
      <c r="K24" s="82"/>
      <c r="L24" s="43"/>
      <c r="M24" s="43"/>
      <c r="N24" s="82"/>
      <c r="O24" s="82"/>
      <c r="P24" s="43"/>
      <c r="Q24" s="43" t="s">
        <v>21</v>
      </c>
      <c r="R24" s="82"/>
      <c r="S24" s="69"/>
      <c r="T24" s="82"/>
    </row>
    <row r="25" spans="2:20" ht="60" customHeight="1" x14ac:dyDescent="0.35">
      <c r="B25" s="41" t="s">
        <v>984</v>
      </c>
      <c r="C25" s="80"/>
      <c r="D25" s="81"/>
      <c r="E25" s="81" t="s">
        <v>21</v>
      </c>
      <c r="F25" s="81" t="str">
        <f>IF(E25&lt;&gt;"", IFERROR(VLOOKUP(E25, Dashboard!$B46:$F51, 5, FALSE), ""), "")</f>
        <v/>
      </c>
      <c r="G25" s="82"/>
      <c r="H25" s="69"/>
      <c r="I25" s="69"/>
      <c r="J25" s="82"/>
      <c r="K25" s="82"/>
      <c r="L25" s="43"/>
      <c r="M25" s="43"/>
      <c r="N25" s="82"/>
      <c r="O25" s="82"/>
      <c r="P25" s="43"/>
      <c r="Q25" s="43" t="s">
        <v>21</v>
      </c>
      <c r="R25" s="82"/>
      <c r="S25" s="69"/>
      <c r="T25" s="82"/>
    </row>
    <row r="26" spans="2:20" ht="60" customHeight="1" x14ac:dyDescent="0.35">
      <c r="B26" s="41" t="s">
        <v>985</v>
      </c>
      <c r="C26" s="80"/>
      <c r="D26" s="81"/>
      <c r="E26" s="81" t="s">
        <v>21</v>
      </c>
      <c r="F26" s="81" t="str">
        <f>IF(E26&lt;&gt;"", IFERROR(VLOOKUP(E26, Dashboard!$B46:$F51, 5, FALSE), ""), "")</f>
        <v/>
      </c>
      <c r="G26" s="82"/>
      <c r="H26" s="69"/>
      <c r="I26" s="69"/>
      <c r="J26" s="82"/>
      <c r="K26" s="82"/>
      <c r="L26" s="43"/>
      <c r="M26" s="43"/>
      <c r="N26" s="82"/>
      <c r="O26" s="82"/>
      <c r="P26" s="43"/>
      <c r="Q26" s="43" t="s">
        <v>21</v>
      </c>
      <c r="R26" s="82"/>
      <c r="S26" s="69"/>
      <c r="T26" s="82"/>
    </row>
    <row r="27" spans="2:20" ht="60" customHeight="1" x14ac:dyDescent="0.35">
      <c r="B27" s="41" t="s">
        <v>986</v>
      </c>
      <c r="C27" s="80"/>
      <c r="D27" s="81"/>
      <c r="E27" s="81" t="s">
        <v>21</v>
      </c>
      <c r="F27" s="81" t="str">
        <f>IF(E27&lt;&gt;"", IFERROR(VLOOKUP(E27, Dashboard!$B46:$F51, 5, FALSE), ""), "")</f>
        <v/>
      </c>
      <c r="G27" s="82"/>
      <c r="H27" s="69"/>
      <c r="I27" s="69"/>
      <c r="J27" s="82"/>
      <c r="K27" s="82"/>
      <c r="L27" s="43"/>
      <c r="M27" s="43"/>
      <c r="N27" s="82"/>
      <c r="O27" s="82"/>
      <c r="P27" s="43"/>
      <c r="Q27" s="43" t="s">
        <v>21</v>
      </c>
      <c r="R27" s="82"/>
      <c r="S27" s="69"/>
      <c r="T27" s="82"/>
    </row>
    <row r="28" spans="2:20" ht="60" customHeight="1" x14ac:dyDescent="0.35">
      <c r="B28" s="41" t="s">
        <v>987</v>
      </c>
      <c r="C28" s="80"/>
      <c r="D28" s="81"/>
      <c r="E28" s="81" t="s">
        <v>21</v>
      </c>
      <c r="F28" s="81" t="str">
        <f>IF(E28&lt;&gt;"", IFERROR(VLOOKUP(E28, Dashboard!$B46:$F51, 5, FALSE), ""), "")</f>
        <v/>
      </c>
      <c r="G28" s="82"/>
      <c r="H28" s="69"/>
      <c r="I28" s="69"/>
      <c r="J28" s="82"/>
      <c r="K28" s="82"/>
      <c r="L28" s="43"/>
      <c r="M28" s="43"/>
      <c r="N28" s="82"/>
      <c r="O28" s="82"/>
      <c r="P28" s="43"/>
      <c r="Q28" s="43" t="s">
        <v>21</v>
      </c>
      <c r="R28" s="82"/>
      <c r="S28" s="69"/>
      <c r="T28" s="82"/>
    </row>
    <row r="29" spans="2:20" ht="60" customHeight="1" x14ac:dyDescent="0.35">
      <c r="B29" s="41" t="s">
        <v>988</v>
      </c>
      <c r="C29" s="80"/>
      <c r="D29" s="81"/>
      <c r="E29" s="81" t="s">
        <v>21</v>
      </c>
      <c r="F29" s="81" t="str">
        <f>IF(E29&lt;&gt;"", IFERROR(VLOOKUP(E29, Dashboard!$B46:$F51, 5, FALSE), ""), "")</f>
        <v/>
      </c>
      <c r="G29" s="82"/>
      <c r="H29" s="69"/>
      <c r="I29" s="69"/>
      <c r="J29" s="82"/>
      <c r="K29" s="82"/>
      <c r="L29" s="43"/>
      <c r="M29" s="43"/>
      <c r="N29" s="82"/>
      <c r="O29" s="82"/>
      <c r="P29" s="43"/>
      <c r="Q29" s="43" t="s">
        <v>21</v>
      </c>
      <c r="R29" s="82"/>
      <c r="S29" s="69"/>
      <c r="T29" s="82"/>
    </row>
    <row r="30" spans="2:20" ht="60" customHeight="1" x14ac:dyDescent="0.35">
      <c r="B30" s="41" t="s">
        <v>989</v>
      </c>
      <c r="C30" s="80"/>
      <c r="D30" s="81"/>
      <c r="E30" s="81" t="s">
        <v>21</v>
      </c>
      <c r="F30" s="81" t="str">
        <f>IF(E30&lt;&gt;"", IFERROR(VLOOKUP(E30, Dashboard!$B46:$F51, 5, FALSE), ""), "")</f>
        <v/>
      </c>
      <c r="G30" s="82"/>
      <c r="H30" s="69"/>
      <c r="I30" s="69"/>
      <c r="J30" s="82"/>
      <c r="K30" s="82"/>
      <c r="L30" s="43"/>
      <c r="M30" s="43"/>
      <c r="N30" s="82"/>
      <c r="O30" s="82"/>
      <c r="P30" s="43"/>
      <c r="Q30" s="43" t="s">
        <v>21</v>
      </c>
      <c r="R30" s="82"/>
      <c r="S30" s="69"/>
      <c r="T30" s="82"/>
    </row>
    <row r="31" spans="2:20" ht="60" customHeight="1" x14ac:dyDescent="0.35">
      <c r="B31" s="41" t="s">
        <v>990</v>
      </c>
      <c r="C31" s="80"/>
      <c r="D31" s="81"/>
      <c r="E31" s="81" t="s">
        <v>21</v>
      </c>
      <c r="F31" s="81" t="str">
        <f>IF(E31&lt;&gt;"", IFERROR(VLOOKUP(E31, Dashboard!$B46:$F51, 5, FALSE), ""), "")</f>
        <v/>
      </c>
      <c r="G31" s="82"/>
      <c r="H31" s="69"/>
      <c r="I31" s="69"/>
      <c r="J31" s="82"/>
      <c r="K31" s="82"/>
      <c r="L31" s="43"/>
      <c r="M31" s="43"/>
      <c r="N31" s="82"/>
      <c r="O31" s="82"/>
      <c r="P31" s="43"/>
      <c r="Q31" s="43" t="s">
        <v>21</v>
      </c>
      <c r="R31" s="82"/>
      <c r="S31" s="69"/>
      <c r="T31" s="82"/>
    </row>
    <row r="32" spans="2:20" ht="60" customHeight="1" x14ac:dyDescent="0.35">
      <c r="B32" s="41" t="s">
        <v>991</v>
      </c>
      <c r="C32" s="80"/>
      <c r="D32" s="81"/>
      <c r="E32" s="81" t="s">
        <v>21</v>
      </c>
      <c r="F32" s="81" t="str">
        <f>IF(E32&lt;&gt;"", IFERROR(VLOOKUP(E32, Dashboard!$B46:$F51, 5, FALSE), ""), "")</f>
        <v/>
      </c>
      <c r="G32" s="82"/>
      <c r="H32" s="69"/>
      <c r="I32" s="69"/>
      <c r="J32" s="82"/>
      <c r="K32" s="82"/>
      <c r="L32" s="43"/>
      <c r="M32" s="43"/>
      <c r="N32" s="82"/>
      <c r="O32" s="82"/>
      <c r="P32" s="43"/>
      <c r="Q32" s="43" t="s">
        <v>21</v>
      </c>
      <c r="R32" s="82"/>
      <c r="S32" s="69"/>
      <c r="T32" s="82"/>
    </row>
    <row r="33" spans="2:20" ht="60" customHeight="1" x14ac:dyDescent="0.35">
      <c r="B33" s="41" t="s">
        <v>992</v>
      </c>
      <c r="C33" s="80"/>
      <c r="D33" s="81"/>
      <c r="E33" s="81" t="s">
        <v>21</v>
      </c>
      <c r="F33" s="81" t="str">
        <f>IF(E33&lt;&gt;"", IFERROR(VLOOKUP(E33, Dashboard!$B46:$F51, 5, FALSE), ""), "")</f>
        <v/>
      </c>
      <c r="G33" s="82"/>
      <c r="H33" s="69"/>
      <c r="I33" s="69"/>
      <c r="J33" s="82"/>
      <c r="K33" s="82"/>
      <c r="L33" s="43"/>
      <c r="M33" s="43"/>
      <c r="N33" s="82"/>
      <c r="O33" s="82"/>
      <c r="P33" s="43"/>
      <c r="Q33" s="43" t="s">
        <v>21</v>
      </c>
      <c r="R33" s="82"/>
      <c r="S33" s="69"/>
      <c r="T33" s="82"/>
    </row>
    <row r="34" spans="2:20" ht="60" customHeight="1" x14ac:dyDescent="0.35">
      <c r="B34" s="41" t="s">
        <v>993</v>
      </c>
      <c r="C34" s="80"/>
      <c r="D34" s="81"/>
      <c r="E34" s="81" t="s">
        <v>21</v>
      </c>
      <c r="F34" s="81" t="str">
        <f>IF(E34&lt;&gt;"", IFERROR(VLOOKUP(E34, Dashboard!$B46:$F51, 5, FALSE), ""), "")</f>
        <v/>
      </c>
      <c r="G34" s="82"/>
      <c r="H34" s="69"/>
      <c r="I34" s="69"/>
      <c r="J34" s="82"/>
      <c r="K34" s="82"/>
      <c r="L34" s="43"/>
      <c r="M34" s="43"/>
      <c r="N34" s="82"/>
      <c r="O34" s="82"/>
      <c r="P34" s="43"/>
      <c r="Q34" s="43" t="s">
        <v>21</v>
      </c>
      <c r="R34" s="82"/>
      <c r="S34" s="69"/>
      <c r="T34" s="82"/>
    </row>
    <row r="35" spans="2:20" ht="60" customHeight="1" x14ac:dyDescent="0.35">
      <c r="B35" s="41" t="s">
        <v>994</v>
      </c>
      <c r="C35" s="80"/>
      <c r="D35" s="81"/>
      <c r="E35" s="81" t="s">
        <v>21</v>
      </c>
      <c r="F35" s="81" t="str">
        <f>IF(E35&lt;&gt;"", IFERROR(VLOOKUP(E35, Dashboard!$B46:$F51, 5, FALSE), ""), "")</f>
        <v/>
      </c>
      <c r="G35" s="82"/>
      <c r="H35" s="69"/>
      <c r="I35" s="69"/>
      <c r="J35" s="82"/>
      <c r="K35" s="82"/>
      <c r="L35" s="43"/>
      <c r="M35" s="43"/>
      <c r="N35" s="82"/>
      <c r="O35" s="82"/>
      <c r="P35" s="43"/>
      <c r="Q35" s="43" t="s">
        <v>21</v>
      </c>
      <c r="R35" s="82"/>
      <c r="S35" s="69"/>
      <c r="T35" s="82"/>
    </row>
    <row r="36" spans="2:20" ht="60" customHeight="1" x14ac:dyDescent="0.35">
      <c r="B36" s="41" t="s">
        <v>995</v>
      </c>
      <c r="C36" s="80"/>
      <c r="D36" s="81"/>
      <c r="E36" s="81" t="s">
        <v>21</v>
      </c>
      <c r="F36" s="81" t="str">
        <f>IF(E36&lt;&gt;"", IFERROR(VLOOKUP(E36, Dashboard!$B46:$F51, 5, FALSE), ""), "")</f>
        <v/>
      </c>
      <c r="G36" s="82"/>
      <c r="H36" s="69"/>
      <c r="I36" s="69"/>
      <c r="J36" s="82"/>
      <c r="K36" s="82"/>
      <c r="L36" s="43"/>
      <c r="M36" s="43"/>
      <c r="N36" s="82"/>
      <c r="O36" s="82"/>
      <c r="P36" s="43"/>
      <c r="Q36" s="43" t="s">
        <v>21</v>
      </c>
      <c r="R36" s="82"/>
      <c r="S36" s="69"/>
      <c r="T36" s="82"/>
    </row>
    <row r="37" spans="2:20" ht="60" customHeight="1" x14ac:dyDescent="0.35">
      <c r="B37" s="41" t="s">
        <v>996</v>
      </c>
      <c r="C37" s="80"/>
      <c r="D37" s="81"/>
      <c r="E37" s="81" t="s">
        <v>21</v>
      </c>
      <c r="F37" s="81" t="str">
        <f>IF(E37&lt;&gt;"", IFERROR(VLOOKUP(E37, Dashboard!$B46:$F51, 5, FALSE), ""), "")</f>
        <v/>
      </c>
      <c r="G37" s="82"/>
      <c r="H37" s="69"/>
      <c r="I37" s="69"/>
      <c r="J37" s="82"/>
      <c r="K37" s="82"/>
      <c r="L37" s="43"/>
      <c r="M37" s="43"/>
      <c r="N37" s="82"/>
      <c r="O37" s="82"/>
      <c r="P37" s="43"/>
      <c r="Q37" s="43" t="s">
        <v>21</v>
      </c>
      <c r="R37" s="82"/>
      <c r="S37" s="69"/>
      <c r="T37" s="82"/>
    </row>
    <row r="38" spans="2:20" ht="60" customHeight="1" x14ac:dyDescent="0.35">
      <c r="B38" s="41" t="s">
        <v>997</v>
      </c>
      <c r="C38" s="80"/>
      <c r="D38" s="81"/>
      <c r="E38" s="81" t="s">
        <v>21</v>
      </c>
      <c r="F38" s="81" t="str">
        <f>IF(E38&lt;&gt;"", IFERROR(VLOOKUP(E38, Dashboard!$B46:$F51, 5, FALSE), ""), "")</f>
        <v/>
      </c>
      <c r="G38" s="82"/>
      <c r="H38" s="69"/>
      <c r="I38" s="69"/>
      <c r="J38" s="82"/>
      <c r="K38" s="82"/>
      <c r="L38" s="43"/>
      <c r="M38" s="43"/>
      <c r="N38" s="82"/>
      <c r="O38" s="82"/>
      <c r="P38" s="43"/>
      <c r="Q38" s="43" t="s">
        <v>21</v>
      </c>
      <c r="R38" s="82"/>
      <c r="S38" s="69"/>
      <c r="T38" s="82"/>
    </row>
    <row r="39" spans="2:20" ht="60" customHeight="1" x14ac:dyDescent="0.35">
      <c r="B39" s="41" t="s">
        <v>998</v>
      </c>
      <c r="C39" s="80"/>
      <c r="D39" s="81"/>
      <c r="E39" s="81" t="s">
        <v>21</v>
      </c>
      <c r="F39" s="81" t="str">
        <f>IF(E39&lt;&gt;"", IFERROR(VLOOKUP(E39, Dashboard!$B46:$F51, 5, FALSE), ""), "")</f>
        <v/>
      </c>
      <c r="G39" s="82"/>
      <c r="H39" s="69"/>
      <c r="I39" s="69"/>
      <c r="J39" s="82"/>
      <c r="K39" s="82"/>
      <c r="L39" s="43"/>
      <c r="M39" s="43"/>
      <c r="N39" s="82"/>
      <c r="O39" s="82"/>
      <c r="P39" s="43"/>
      <c r="Q39" s="43" t="s">
        <v>21</v>
      </c>
      <c r="R39" s="82"/>
      <c r="S39" s="69"/>
      <c r="T39" s="82"/>
    </row>
    <row r="40" spans="2:20" ht="60" customHeight="1" x14ac:dyDescent="0.35">
      <c r="B40" s="41" t="s">
        <v>999</v>
      </c>
      <c r="C40" s="80"/>
      <c r="D40" s="81"/>
      <c r="E40" s="81" t="s">
        <v>21</v>
      </c>
      <c r="F40" s="81" t="str">
        <f>IF(E40&lt;&gt;"", IFERROR(VLOOKUP(E40, Dashboard!$B46:$F51, 5, FALSE), ""), "")</f>
        <v/>
      </c>
      <c r="G40" s="82"/>
      <c r="H40" s="69"/>
      <c r="I40" s="69"/>
      <c r="J40" s="82"/>
      <c r="K40" s="82"/>
      <c r="L40" s="43"/>
      <c r="M40" s="43"/>
      <c r="N40" s="82"/>
      <c r="O40" s="82"/>
      <c r="P40" s="43"/>
      <c r="Q40" s="43" t="s">
        <v>21</v>
      </c>
      <c r="R40" s="82"/>
      <c r="S40" s="69"/>
      <c r="T40" s="82"/>
    </row>
    <row r="41" spans="2:20" ht="60" customHeight="1" x14ac:dyDescent="0.35">
      <c r="B41" s="41" t="s">
        <v>1000</v>
      </c>
      <c r="C41" s="80"/>
      <c r="D41" s="81"/>
      <c r="E41" s="81" t="s">
        <v>21</v>
      </c>
      <c r="F41" s="81" t="str">
        <f>IF(E41&lt;&gt;"", IFERROR(VLOOKUP(E41, Dashboard!$B46:$F51, 5, FALSE), ""), "")</f>
        <v/>
      </c>
      <c r="G41" s="82"/>
      <c r="H41" s="69"/>
      <c r="I41" s="69"/>
      <c r="J41" s="82"/>
      <c r="K41" s="82"/>
      <c r="L41" s="43"/>
      <c r="M41" s="43"/>
      <c r="N41" s="82"/>
      <c r="O41" s="82"/>
      <c r="P41" s="43"/>
      <c r="Q41" s="43" t="s">
        <v>21</v>
      </c>
      <c r="R41" s="82"/>
      <c r="S41" s="69"/>
      <c r="T41" s="82"/>
    </row>
    <row r="42" spans="2:20" ht="60" customHeight="1" x14ac:dyDescent="0.35">
      <c r="B42" s="41" t="s">
        <v>1001</v>
      </c>
      <c r="C42" s="80"/>
      <c r="D42" s="81"/>
      <c r="E42" s="81" t="s">
        <v>21</v>
      </c>
      <c r="F42" s="81" t="str">
        <f>IF(E42&lt;&gt;"", IFERROR(VLOOKUP(E42, Dashboard!$B46:$F51, 5, FALSE), ""), "")</f>
        <v/>
      </c>
      <c r="G42" s="82"/>
      <c r="H42" s="69"/>
      <c r="I42" s="69"/>
      <c r="J42" s="82"/>
      <c r="K42" s="82"/>
      <c r="L42" s="43"/>
      <c r="M42" s="43"/>
      <c r="N42" s="82"/>
      <c r="O42" s="82"/>
      <c r="P42" s="43"/>
      <c r="Q42" s="43" t="s">
        <v>21</v>
      </c>
      <c r="R42" s="82"/>
      <c r="S42" s="69"/>
      <c r="T42" s="82"/>
    </row>
    <row r="43" spans="2:20" ht="60" customHeight="1" x14ac:dyDescent="0.35">
      <c r="B43" s="41" t="s">
        <v>1002</v>
      </c>
      <c r="C43" s="80"/>
      <c r="D43" s="81"/>
      <c r="E43" s="81" t="s">
        <v>21</v>
      </c>
      <c r="F43" s="81" t="str">
        <f>IF(E43&lt;&gt;"", IFERROR(VLOOKUP(E43, Dashboard!$B46:$F51, 5, FALSE), ""), "")</f>
        <v/>
      </c>
      <c r="G43" s="82"/>
      <c r="H43" s="69"/>
      <c r="I43" s="69"/>
      <c r="J43" s="82"/>
      <c r="K43" s="82"/>
      <c r="L43" s="43"/>
      <c r="M43" s="43"/>
      <c r="N43" s="82"/>
      <c r="O43" s="82"/>
      <c r="P43" s="43"/>
      <c r="Q43" s="43" t="s">
        <v>21</v>
      </c>
      <c r="R43" s="82"/>
      <c r="S43" s="69"/>
      <c r="T43" s="82"/>
    </row>
    <row r="44" spans="2:20" ht="60" customHeight="1" x14ac:dyDescent="0.35">
      <c r="B44" s="41" t="s">
        <v>1003</v>
      </c>
      <c r="C44" s="80"/>
      <c r="D44" s="81"/>
      <c r="E44" s="81" t="s">
        <v>21</v>
      </c>
      <c r="F44" s="81" t="str">
        <f>IF(E44&lt;&gt;"", IFERROR(VLOOKUP(E44, Dashboard!$B46:$F51, 5, FALSE), ""), "")</f>
        <v/>
      </c>
      <c r="G44" s="82"/>
      <c r="H44" s="69"/>
      <c r="I44" s="69"/>
      <c r="J44" s="82"/>
      <c r="K44" s="82"/>
      <c r="L44" s="43"/>
      <c r="M44" s="43"/>
      <c r="N44" s="82"/>
      <c r="O44" s="82"/>
      <c r="P44" s="43"/>
      <c r="Q44" s="43" t="s">
        <v>21</v>
      </c>
      <c r="R44" s="82"/>
      <c r="S44" s="69"/>
      <c r="T44" s="82"/>
    </row>
    <row r="45" spans="2:20" ht="60" customHeight="1" x14ac:dyDescent="0.35">
      <c r="B45" s="41" t="s">
        <v>1004</v>
      </c>
      <c r="C45" s="80"/>
      <c r="D45" s="81"/>
      <c r="E45" s="81" t="s">
        <v>21</v>
      </c>
      <c r="F45" s="81" t="str">
        <f>IF(E45&lt;&gt;"", IFERROR(VLOOKUP(E45, Dashboard!$B46:$F51, 5, FALSE), ""), "")</f>
        <v/>
      </c>
      <c r="G45" s="82"/>
      <c r="H45" s="69"/>
      <c r="I45" s="69"/>
      <c r="J45" s="82"/>
      <c r="K45" s="82"/>
      <c r="L45" s="43"/>
      <c r="M45" s="43"/>
      <c r="N45" s="82"/>
      <c r="O45" s="82"/>
      <c r="P45" s="43"/>
      <c r="Q45" s="43" t="s">
        <v>21</v>
      </c>
      <c r="R45" s="82"/>
      <c r="S45" s="69"/>
      <c r="T45" s="82"/>
    </row>
    <row r="46" spans="2:20" ht="60" customHeight="1" x14ac:dyDescent="0.35">
      <c r="B46" s="41" t="s">
        <v>1005</v>
      </c>
      <c r="C46" s="80"/>
      <c r="D46" s="81"/>
      <c r="E46" s="81" t="s">
        <v>21</v>
      </c>
      <c r="F46" s="81" t="str">
        <f>IF(E46&lt;&gt;"", IFERROR(VLOOKUP(E46, Dashboard!$B46:$F51, 5, FALSE), ""), "")</f>
        <v/>
      </c>
      <c r="G46" s="82"/>
      <c r="H46" s="69"/>
      <c r="I46" s="69"/>
      <c r="J46" s="82"/>
      <c r="K46" s="82"/>
      <c r="L46" s="43"/>
      <c r="M46" s="43"/>
      <c r="N46" s="82"/>
      <c r="O46" s="82"/>
      <c r="P46" s="43"/>
      <c r="Q46" s="43" t="s">
        <v>21</v>
      </c>
      <c r="R46" s="82"/>
      <c r="S46" s="69"/>
      <c r="T46" s="82"/>
    </row>
    <row r="47" spans="2:20" ht="60" customHeight="1" x14ac:dyDescent="0.35">
      <c r="B47" s="41" t="s">
        <v>1006</v>
      </c>
      <c r="C47" s="80"/>
      <c r="D47" s="81"/>
      <c r="E47" s="81" t="s">
        <v>21</v>
      </c>
      <c r="F47" s="81" t="str">
        <f>IF(E47&lt;&gt;"", IFERROR(VLOOKUP(E47, Dashboard!$B46:$F51, 5, FALSE), ""), "")</f>
        <v/>
      </c>
      <c r="G47" s="82"/>
      <c r="H47" s="69"/>
      <c r="I47" s="69"/>
      <c r="J47" s="82"/>
      <c r="K47" s="82"/>
      <c r="L47" s="43"/>
      <c r="M47" s="43"/>
      <c r="N47" s="82"/>
      <c r="O47" s="82"/>
      <c r="P47" s="43"/>
      <c r="Q47" s="43" t="s">
        <v>21</v>
      </c>
      <c r="R47" s="82"/>
      <c r="S47" s="69"/>
      <c r="T47" s="82"/>
    </row>
    <row r="48" spans="2:20" ht="60" customHeight="1" x14ac:dyDescent="0.35">
      <c r="B48" s="41" t="s">
        <v>1007</v>
      </c>
      <c r="C48" s="80"/>
      <c r="D48" s="81"/>
      <c r="E48" s="81" t="s">
        <v>21</v>
      </c>
      <c r="F48" s="81" t="str">
        <f>IF(E48&lt;&gt;"", IFERROR(VLOOKUP(E48, Dashboard!$B46:$F51, 5, FALSE), ""), "")</f>
        <v/>
      </c>
      <c r="G48" s="82"/>
      <c r="H48" s="69"/>
      <c r="I48" s="69"/>
      <c r="J48" s="82"/>
      <c r="K48" s="82"/>
      <c r="L48" s="43"/>
      <c r="M48" s="43"/>
      <c r="N48" s="82"/>
      <c r="O48" s="82"/>
      <c r="P48" s="43"/>
      <c r="Q48" s="43" t="s">
        <v>21</v>
      </c>
      <c r="R48" s="82"/>
      <c r="S48" s="69"/>
      <c r="T48" s="82"/>
    </row>
    <row r="49" spans="2:20" ht="60" customHeight="1" x14ac:dyDescent="0.35">
      <c r="B49" s="41" t="s">
        <v>1008</v>
      </c>
      <c r="C49" s="80"/>
      <c r="D49" s="81"/>
      <c r="E49" s="81" t="s">
        <v>21</v>
      </c>
      <c r="F49" s="81" t="str">
        <f>IF(E49&lt;&gt;"", IFERROR(VLOOKUP(E49, Dashboard!$B46:$F51, 5, FALSE), ""), "")</f>
        <v/>
      </c>
      <c r="G49" s="82"/>
      <c r="H49" s="69"/>
      <c r="I49" s="69"/>
      <c r="J49" s="82"/>
      <c r="K49" s="82"/>
      <c r="L49" s="43"/>
      <c r="M49" s="43"/>
      <c r="N49" s="82"/>
      <c r="O49" s="82"/>
      <c r="P49" s="43"/>
      <c r="Q49" s="43" t="s">
        <v>21</v>
      </c>
      <c r="R49" s="82"/>
      <c r="S49" s="69"/>
      <c r="T49" s="82"/>
    </row>
    <row r="50" spans="2:20" ht="60" customHeight="1" x14ac:dyDescent="0.35">
      <c r="B50" s="41" t="s">
        <v>1009</v>
      </c>
      <c r="C50" s="80"/>
      <c r="D50" s="81"/>
      <c r="E50" s="81" t="s">
        <v>21</v>
      </c>
      <c r="F50" s="81" t="str">
        <f>IF(E50&lt;&gt;"", IFERROR(VLOOKUP(E50, Dashboard!$B46:$F51, 5, FALSE), ""), "")</f>
        <v/>
      </c>
      <c r="G50" s="82"/>
      <c r="H50" s="69"/>
      <c r="I50" s="69"/>
      <c r="J50" s="82"/>
      <c r="K50" s="82"/>
      <c r="L50" s="43"/>
      <c r="M50" s="43"/>
      <c r="N50" s="82"/>
      <c r="O50" s="82"/>
      <c r="P50" s="43"/>
      <c r="Q50" s="43" t="s">
        <v>21</v>
      </c>
      <c r="R50" s="82"/>
      <c r="S50" s="69"/>
      <c r="T50" s="82"/>
    </row>
    <row r="51" spans="2:20" ht="60" customHeight="1" x14ac:dyDescent="0.35">
      <c r="B51" s="41" t="s">
        <v>1010</v>
      </c>
      <c r="C51" s="80"/>
      <c r="D51" s="81"/>
      <c r="E51" s="81" t="s">
        <v>21</v>
      </c>
      <c r="F51" s="81" t="str">
        <f>IF(E51&lt;&gt;"", IFERROR(VLOOKUP(E51, Dashboard!$B46:$F51, 5, FALSE), ""), "")</f>
        <v/>
      </c>
      <c r="G51" s="82"/>
      <c r="H51" s="69"/>
      <c r="I51" s="69"/>
      <c r="J51" s="82"/>
      <c r="K51" s="82"/>
      <c r="L51" s="43"/>
      <c r="M51" s="43"/>
      <c r="N51" s="82"/>
      <c r="O51" s="82"/>
      <c r="P51" s="43"/>
      <c r="Q51" s="43" t="s">
        <v>21</v>
      </c>
      <c r="R51" s="82"/>
      <c r="S51" s="69"/>
      <c r="T51" s="82"/>
    </row>
    <row r="52" spans="2:20" ht="60" customHeight="1" x14ac:dyDescent="0.35">
      <c r="B52" s="41" t="s">
        <v>1011</v>
      </c>
      <c r="C52" s="80"/>
      <c r="D52" s="81"/>
      <c r="E52" s="81" t="s">
        <v>21</v>
      </c>
      <c r="F52" s="81" t="str">
        <f>IF(E52&lt;&gt;"", IFERROR(VLOOKUP(E52, Dashboard!$B46:$F51, 5, FALSE), ""), "")</f>
        <v/>
      </c>
      <c r="G52" s="82"/>
      <c r="H52" s="69"/>
      <c r="I52" s="69"/>
      <c r="J52" s="82"/>
      <c r="K52" s="82"/>
      <c r="L52" s="43"/>
      <c r="M52" s="43"/>
      <c r="N52" s="82"/>
      <c r="O52" s="82"/>
      <c r="P52" s="43"/>
      <c r="Q52" s="43" t="s">
        <v>21</v>
      </c>
      <c r="R52" s="82"/>
      <c r="S52" s="69"/>
      <c r="T52" s="82"/>
    </row>
    <row r="53" spans="2:20" ht="60" customHeight="1" x14ac:dyDescent="0.35">
      <c r="B53" s="41" t="s">
        <v>1012</v>
      </c>
      <c r="C53" s="80"/>
      <c r="D53" s="81"/>
      <c r="E53" s="81" t="s">
        <v>21</v>
      </c>
      <c r="F53" s="81" t="str">
        <f>IF(E53&lt;&gt;"", IFERROR(VLOOKUP(E53, Dashboard!$B46:$F51, 5, FALSE), ""), "")</f>
        <v/>
      </c>
      <c r="G53" s="82"/>
      <c r="H53" s="69"/>
      <c r="I53" s="69"/>
      <c r="J53" s="82"/>
      <c r="K53" s="82"/>
      <c r="L53" s="43"/>
      <c r="M53" s="43"/>
      <c r="N53" s="82"/>
      <c r="O53" s="82"/>
      <c r="P53" s="43"/>
      <c r="Q53" s="43" t="s">
        <v>21</v>
      </c>
      <c r="R53" s="82"/>
      <c r="S53" s="69"/>
      <c r="T53" s="82"/>
    </row>
    <row r="54" spans="2:20" ht="60" customHeight="1" x14ac:dyDescent="0.35">
      <c r="B54" s="41" t="s">
        <v>1013</v>
      </c>
      <c r="C54" s="80"/>
      <c r="D54" s="81"/>
      <c r="E54" s="81" t="s">
        <v>21</v>
      </c>
      <c r="F54" s="81" t="str">
        <f>IF(E54&lt;&gt;"", IFERROR(VLOOKUP(E54, Dashboard!$B46:$F51,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770</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1014</v>
      </c>
      <c r="B1" s="107" t="s">
        <v>0</v>
      </c>
      <c r="C1" s="107" t="s">
        <v>1015</v>
      </c>
      <c r="D1" s="107" t="s">
        <v>10</v>
      </c>
      <c r="E1" s="107" t="s">
        <v>1016</v>
      </c>
      <c r="F1" s="107" t="s">
        <v>1017</v>
      </c>
      <c r="G1" s="107" t="s">
        <v>1018</v>
      </c>
      <c r="H1" s="107" t="s">
        <v>1019</v>
      </c>
      <c r="I1" s="107" t="s">
        <v>1020</v>
      </c>
      <c r="J1" s="107" t="s">
        <v>1021</v>
      </c>
      <c r="K1" s="107" t="s">
        <v>1022</v>
      </c>
      <c r="L1" s="107" t="s">
        <v>1023</v>
      </c>
      <c r="M1" s="107" t="s">
        <v>1024</v>
      </c>
      <c r="N1" s="107" t="s">
        <v>1025</v>
      </c>
      <c r="O1" s="107" t="s">
        <v>1026</v>
      </c>
      <c r="P1" s="107" t="s">
        <v>1027</v>
      </c>
      <c r="Q1" s="107" t="s">
        <v>1028</v>
      </c>
      <c r="R1" s="107" t="s">
        <v>1029</v>
      </c>
      <c r="S1" s="107" t="s">
        <v>1030</v>
      </c>
      <c r="T1" s="107" t="s">
        <v>1031</v>
      </c>
      <c r="U1" s="107" t="s">
        <v>1032</v>
      </c>
      <c r="V1" s="107" t="s">
        <v>1033</v>
      </c>
      <c r="W1" s="107" t="s">
        <v>1034</v>
      </c>
      <c r="X1" s="107" t="s">
        <v>1035</v>
      </c>
      <c r="Y1" s="107" t="s">
        <v>1036</v>
      </c>
      <c r="Z1" s="107" t="s">
        <v>1037</v>
      </c>
      <c r="AA1" s="107" t="s">
        <v>1038</v>
      </c>
      <c r="AB1" s="107" t="s">
        <v>1039</v>
      </c>
      <c r="AC1" s="107" t="s">
        <v>1040</v>
      </c>
      <c r="AD1" s="107" t="s">
        <v>1041</v>
      </c>
      <c r="AE1" s="107" t="s">
        <v>1042</v>
      </c>
      <c r="AF1" s="107" t="s">
        <v>1043</v>
      </c>
      <c r="AG1" s="107" t="s">
        <v>1044</v>
      </c>
      <c r="AH1" s="107" t="s">
        <v>1045</v>
      </c>
      <c r="AI1" s="107" t="s">
        <v>1046</v>
      </c>
      <c r="AJ1" s="107" t="s">
        <v>1047</v>
      </c>
      <c r="AK1" s="107" t="s">
        <v>1048</v>
      </c>
      <c r="AL1" s="107" t="s">
        <v>1049</v>
      </c>
      <c r="AM1" s="107" t="s">
        <v>1050</v>
      </c>
      <c r="AN1" s="107" t="s">
        <v>1051</v>
      </c>
      <c r="AO1" s="107" t="s">
        <v>1052</v>
      </c>
      <c r="AP1" s="107" t="s">
        <v>1053</v>
      </c>
      <c r="AQ1" s="107" t="s">
        <v>1054</v>
      </c>
      <c r="AR1" s="107" t="s">
        <v>1055</v>
      </c>
      <c r="AS1" s="107" t="s">
        <v>1056</v>
      </c>
      <c r="AT1" s="107" t="s">
        <v>1057</v>
      </c>
      <c r="AU1" s="107" t="s">
        <v>1058</v>
      </c>
      <c r="AV1" s="107" t="s">
        <v>1059</v>
      </c>
      <c r="AW1" s="108" t="s">
        <v>1060</v>
      </c>
    </row>
    <row r="2" spans="1:49" ht="60" customHeight="1" outlineLevel="1" x14ac:dyDescent="0.35">
      <c r="A2" s="100" t="s">
        <v>1061</v>
      </c>
      <c r="B2" s="83">
        <v>1</v>
      </c>
      <c r="C2" s="85" t="s">
        <v>21</v>
      </c>
      <c r="D2" s="87" t="s">
        <v>1062</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1061</v>
      </c>
      <c r="B3" s="84" t="s">
        <v>1063</v>
      </c>
      <c r="C3" s="86" t="s">
        <v>1064</v>
      </c>
      <c r="D3" s="88" t="s">
        <v>1065</v>
      </c>
      <c r="E3" s="88" t="s">
        <v>1066</v>
      </c>
      <c r="F3" s="89" t="s">
        <v>1067</v>
      </c>
      <c r="G3" s="89" t="s">
        <v>1068</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1061</v>
      </c>
      <c r="B4" s="84" t="s">
        <v>1069</v>
      </c>
      <c r="C4" s="86" t="s">
        <v>1070</v>
      </c>
      <c r="D4" s="88" t="s">
        <v>1071</v>
      </c>
      <c r="E4" s="88" t="s">
        <v>1072</v>
      </c>
      <c r="F4" s="89" t="s">
        <v>1067</v>
      </c>
      <c r="G4" s="89" t="s">
        <v>1073</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1061</v>
      </c>
      <c r="B5" s="84" t="s">
        <v>1074</v>
      </c>
      <c r="C5" s="86" t="s">
        <v>1075</v>
      </c>
      <c r="D5" s="88" t="s">
        <v>1076</v>
      </c>
      <c r="E5" s="88" t="s">
        <v>1077</v>
      </c>
      <c r="F5" s="89" t="s">
        <v>1067</v>
      </c>
      <c r="G5" s="89" t="s">
        <v>1078</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1061</v>
      </c>
      <c r="B6" s="84" t="s">
        <v>1079</v>
      </c>
      <c r="C6" s="86" t="s">
        <v>1080</v>
      </c>
      <c r="D6" s="88" t="s">
        <v>1081</v>
      </c>
      <c r="E6" s="88" t="s">
        <v>1082</v>
      </c>
      <c r="F6" s="89" t="s">
        <v>1067</v>
      </c>
      <c r="G6" s="89" t="s">
        <v>1068</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1061</v>
      </c>
      <c r="B7" s="84" t="s">
        <v>1083</v>
      </c>
      <c r="C7" s="86" t="s">
        <v>1084</v>
      </c>
      <c r="D7" s="88" t="s">
        <v>1085</v>
      </c>
      <c r="E7" s="88" t="s">
        <v>1086</v>
      </c>
      <c r="F7" s="89" t="s">
        <v>1067</v>
      </c>
      <c r="G7" s="89" t="s">
        <v>1078</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1087</v>
      </c>
      <c r="B8" s="83">
        <v>2</v>
      </c>
      <c r="C8" s="85" t="s">
        <v>21</v>
      </c>
      <c r="D8" s="87" t="s">
        <v>1088</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1087</v>
      </c>
      <c r="B9" s="84" t="s">
        <v>1089</v>
      </c>
      <c r="C9" s="86" t="s">
        <v>1090</v>
      </c>
      <c r="D9" s="88" t="s">
        <v>1091</v>
      </c>
      <c r="E9" s="88" t="s">
        <v>1092</v>
      </c>
      <c r="F9" s="89" t="s">
        <v>1093</v>
      </c>
      <c r="G9" s="89" t="s">
        <v>1068</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1087</v>
      </c>
      <c r="B10" s="84" t="s">
        <v>1094</v>
      </c>
      <c r="C10" s="86" t="s">
        <v>1095</v>
      </c>
      <c r="D10" s="88" t="s">
        <v>1096</v>
      </c>
      <c r="E10" s="88" t="s">
        <v>1097</v>
      </c>
      <c r="F10" s="89" t="s">
        <v>1093</v>
      </c>
      <c r="G10" s="89" t="s">
        <v>1068</v>
      </c>
      <c r="H10" s="89">
        <v>1</v>
      </c>
      <c r="I10" s="91">
        <f>IF(COUNTIF(J10:AW10,"&lt;&gt;")=0,"",SUMPRODUCT(((Recommendations[ImplStatus]="Implemented")+(Recommendations[ImplStatus]="Compensated"))*ISNUMBER(MATCH(Recommendations[Id],J10:AW10,0)))/COUNTIF(J10:AW10,"&lt;&gt;"))</f>
        <v>0</v>
      </c>
      <c r="J10" s="93" t="s">
        <v>218</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1087</v>
      </c>
      <c r="B11" s="84" t="s">
        <v>1098</v>
      </c>
      <c r="C11" s="86" t="s">
        <v>1099</v>
      </c>
      <c r="D11" s="88" t="s">
        <v>1100</v>
      </c>
      <c r="E11" s="88" t="s">
        <v>1101</v>
      </c>
      <c r="F11" s="89" t="s">
        <v>1093</v>
      </c>
      <c r="G11" s="89" t="s">
        <v>1073</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1087</v>
      </c>
      <c r="B12" s="84" t="s">
        <v>1102</v>
      </c>
      <c r="C12" s="86" t="s">
        <v>1103</v>
      </c>
      <c r="D12" s="88" t="s">
        <v>1104</v>
      </c>
      <c r="E12" s="88" t="s">
        <v>1105</v>
      </c>
      <c r="F12" s="89" t="s">
        <v>1093</v>
      </c>
      <c r="G12" s="89" t="s">
        <v>1078</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1087</v>
      </c>
      <c r="B13" s="84" t="s">
        <v>1106</v>
      </c>
      <c r="C13" s="86" t="s">
        <v>1107</v>
      </c>
      <c r="D13" s="88" t="s">
        <v>1108</v>
      </c>
      <c r="E13" s="88" t="s">
        <v>1109</v>
      </c>
      <c r="F13" s="89" t="s">
        <v>1093</v>
      </c>
      <c r="G13" s="89" t="s">
        <v>1110</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1087</v>
      </c>
      <c r="B14" s="84" t="s">
        <v>1111</v>
      </c>
      <c r="C14" s="86" t="s">
        <v>1112</v>
      </c>
      <c r="D14" s="88" t="s">
        <v>1113</v>
      </c>
      <c r="E14" s="88" t="s">
        <v>1114</v>
      </c>
      <c r="F14" s="89" t="s">
        <v>1093</v>
      </c>
      <c r="G14" s="89" t="s">
        <v>1110</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1087</v>
      </c>
      <c r="B15" s="84" t="s">
        <v>1115</v>
      </c>
      <c r="C15" s="86" t="s">
        <v>1116</v>
      </c>
      <c r="D15" s="88" t="s">
        <v>1117</v>
      </c>
      <c r="E15" s="88" t="s">
        <v>1118</v>
      </c>
      <c r="F15" s="89" t="s">
        <v>1093</v>
      </c>
      <c r="G15" s="89" t="s">
        <v>1110</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1119</v>
      </c>
      <c r="B16" s="83">
        <v>3</v>
      </c>
      <c r="C16" s="85" t="s">
        <v>21</v>
      </c>
      <c r="D16" s="87" t="s">
        <v>1120</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1119</v>
      </c>
      <c r="B17" s="84" t="s">
        <v>1121</v>
      </c>
      <c r="C17" s="86" t="s">
        <v>1122</v>
      </c>
      <c r="D17" s="88" t="s">
        <v>1123</v>
      </c>
      <c r="E17" s="88" t="s">
        <v>1124</v>
      </c>
      <c r="F17" s="89" t="s">
        <v>1125</v>
      </c>
      <c r="G17" s="89" t="s">
        <v>1126</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1119</v>
      </c>
      <c r="B18" s="84" t="s">
        <v>1127</v>
      </c>
      <c r="C18" s="86" t="s">
        <v>1128</v>
      </c>
      <c r="D18" s="88" t="s">
        <v>1129</v>
      </c>
      <c r="E18" s="88" t="s">
        <v>1130</v>
      </c>
      <c r="F18" s="89" t="s">
        <v>1125</v>
      </c>
      <c r="G18" s="89" t="s">
        <v>1068</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1119</v>
      </c>
      <c r="B19" s="84" t="s">
        <v>1131</v>
      </c>
      <c r="C19" s="86" t="s">
        <v>1132</v>
      </c>
      <c r="D19" s="88" t="s">
        <v>1133</v>
      </c>
      <c r="E19" s="88" t="s">
        <v>1134</v>
      </c>
      <c r="F19" s="89" t="s">
        <v>1125</v>
      </c>
      <c r="G19" s="89" t="s">
        <v>1110</v>
      </c>
      <c r="H19" s="89">
        <v>1</v>
      </c>
      <c r="I19" s="91">
        <f>IF(COUNTIF(J19:AW19,"&lt;&gt;")=0,"",SUMPRODUCT(((Recommendations[ImplStatus]="Implemented")+(Recommendations[ImplStatus]="Compensated"))*ISNUMBER(MATCH(Recommendations[Id],J19:AW19,0)))/COUNTIF(J19:AW19,"&lt;&gt;"))</f>
        <v>0</v>
      </c>
      <c r="J19" s="93" t="s">
        <v>45</v>
      </c>
      <c r="K19" s="93" t="s">
        <v>335</v>
      </c>
      <c r="L19" s="93" t="s">
        <v>410</v>
      </c>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1119</v>
      </c>
      <c r="B20" s="84" t="s">
        <v>1135</v>
      </c>
      <c r="C20" s="86" t="s">
        <v>1136</v>
      </c>
      <c r="D20" s="88" t="s">
        <v>1137</v>
      </c>
      <c r="E20" s="88" t="s">
        <v>1138</v>
      </c>
      <c r="F20" s="89" t="s">
        <v>1125</v>
      </c>
      <c r="G20" s="89" t="s">
        <v>1110</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1119</v>
      </c>
      <c r="B21" s="84" t="s">
        <v>1139</v>
      </c>
      <c r="C21" s="86" t="s">
        <v>1140</v>
      </c>
      <c r="D21" s="88" t="s">
        <v>1141</v>
      </c>
      <c r="E21" s="88" t="s">
        <v>1142</v>
      </c>
      <c r="F21" s="89" t="s">
        <v>1125</v>
      </c>
      <c r="G21" s="89" t="s">
        <v>1110</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1119</v>
      </c>
      <c r="B22" s="84" t="s">
        <v>1143</v>
      </c>
      <c r="C22" s="86" t="s">
        <v>1144</v>
      </c>
      <c r="D22" s="88" t="s">
        <v>1145</v>
      </c>
      <c r="E22" s="88" t="s">
        <v>1146</v>
      </c>
      <c r="F22" s="89" t="s">
        <v>1125</v>
      </c>
      <c r="G22" s="89" t="s">
        <v>1110</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1119</v>
      </c>
      <c r="B23" s="84" t="s">
        <v>1147</v>
      </c>
      <c r="C23" s="86" t="s">
        <v>1148</v>
      </c>
      <c r="D23" s="88" t="s">
        <v>1149</v>
      </c>
      <c r="E23" s="88" t="s">
        <v>1150</v>
      </c>
      <c r="F23" s="89" t="s">
        <v>1125</v>
      </c>
      <c r="G23" s="89" t="s">
        <v>1068</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1119</v>
      </c>
      <c r="B24" s="84" t="s">
        <v>1151</v>
      </c>
      <c r="C24" s="86" t="s">
        <v>1152</v>
      </c>
      <c r="D24" s="88" t="s">
        <v>1153</v>
      </c>
      <c r="E24" s="88" t="s">
        <v>1154</v>
      </c>
      <c r="F24" s="89" t="s">
        <v>1125</v>
      </c>
      <c r="G24" s="89" t="s">
        <v>1068</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1119</v>
      </c>
      <c r="B25" s="84" t="s">
        <v>1155</v>
      </c>
      <c r="C25" s="86" t="s">
        <v>1156</v>
      </c>
      <c r="D25" s="88" t="s">
        <v>1157</v>
      </c>
      <c r="E25" s="88" t="s">
        <v>1158</v>
      </c>
      <c r="F25" s="89" t="s">
        <v>1125</v>
      </c>
      <c r="G25" s="89" t="s">
        <v>1110</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1119</v>
      </c>
      <c r="B26" s="84" t="s">
        <v>1159</v>
      </c>
      <c r="C26" s="86" t="s">
        <v>1160</v>
      </c>
      <c r="D26" s="88" t="s">
        <v>1161</v>
      </c>
      <c r="E26" s="88" t="s">
        <v>1162</v>
      </c>
      <c r="F26" s="89" t="s">
        <v>1125</v>
      </c>
      <c r="G26" s="89" t="s">
        <v>1110</v>
      </c>
      <c r="H26" s="89">
        <v>2</v>
      </c>
      <c r="I26" s="91">
        <f>IF(COUNTIF(J26:AW26,"&lt;&gt;")=0,"",SUMPRODUCT(((Recommendations[ImplStatus]="Implemented")+(Recommendations[ImplStatus]="Compensated"))*ISNUMBER(MATCH(Recommendations[Id],J26:AW26,0)))/COUNTIF(J26:AW26,"&lt;&gt;"))</f>
        <v>0</v>
      </c>
      <c r="J26" s="93" t="s">
        <v>160</v>
      </c>
      <c r="K26" s="93" t="s">
        <v>165</v>
      </c>
      <c r="L26" s="93" t="s">
        <v>175</v>
      </c>
      <c r="M26" s="93" t="s">
        <v>180</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1119</v>
      </c>
      <c r="B27" s="84" t="s">
        <v>1163</v>
      </c>
      <c r="C27" s="86" t="s">
        <v>1164</v>
      </c>
      <c r="D27" s="88" t="s">
        <v>1165</v>
      </c>
      <c r="E27" s="88" t="s">
        <v>1166</v>
      </c>
      <c r="F27" s="89" t="s">
        <v>1125</v>
      </c>
      <c r="G27" s="89" t="s">
        <v>1110</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1119</v>
      </c>
      <c r="B28" s="84" t="s">
        <v>1167</v>
      </c>
      <c r="C28" s="86" t="s">
        <v>1168</v>
      </c>
      <c r="D28" s="88" t="s">
        <v>1169</v>
      </c>
      <c r="E28" s="88" t="s">
        <v>1170</v>
      </c>
      <c r="F28" s="89" t="s">
        <v>1125</v>
      </c>
      <c r="G28" s="89" t="s">
        <v>1110</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1119</v>
      </c>
      <c r="B29" s="84" t="s">
        <v>1171</v>
      </c>
      <c r="C29" s="86" t="s">
        <v>1172</v>
      </c>
      <c r="D29" s="88" t="s">
        <v>1173</v>
      </c>
      <c r="E29" s="88" t="s">
        <v>1174</v>
      </c>
      <c r="F29" s="89" t="s">
        <v>1125</v>
      </c>
      <c r="G29" s="89" t="s">
        <v>1110</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1119</v>
      </c>
      <c r="B30" s="84" t="s">
        <v>1175</v>
      </c>
      <c r="C30" s="86" t="s">
        <v>1176</v>
      </c>
      <c r="D30" s="88" t="s">
        <v>1177</v>
      </c>
      <c r="E30" s="88" t="s">
        <v>1178</v>
      </c>
      <c r="F30" s="89" t="s">
        <v>1125</v>
      </c>
      <c r="G30" s="89" t="s">
        <v>1078</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1179</v>
      </c>
      <c r="B31" s="83">
        <v>4</v>
      </c>
      <c r="C31" s="85" t="s">
        <v>21</v>
      </c>
      <c r="D31" s="87" t="s">
        <v>1180</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1179</v>
      </c>
      <c r="B32" s="84" t="s">
        <v>1181</v>
      </c>
      <c r="C32" s="86" t="s">
        <v>1182</v>
      </c>
      <c r="D32" s="88" t="s">
        <v>1183</v>
      </c>
      <c r="E32" s="88" t="s">
        <v>1184</v>
      </c>
      <c r="F32" s="89" t="s">
        <v>1185</v>
      </c>
      <c r="G32" s="89" t="s">
        <v>1126</v>
      </c>
      <c r="H32" s="89">
        <v>1</v>
      </c>
      <c r="I32" s="91">
        <f>IF(COUNTIF(J32:AW32,"&lt;&gt;")=0,"",SUMPRODUCT(((Recommendations[ImplStatus]="Implemented")+(Recommendations[ImplStatus]="Compensated"))*ISNUMBER(MATCH(Recommendations[Id],J32:AW32,0)))/COUNTIF(J32:AW32,"&lt;&gt;"))</f>
        <v>0</v>
      </c>
      <c r="J32" s="93" t="s">
        <v>55</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1179</v>
      </c>
      <c r="B33" s="84" t="s">
        <v>1186</v>
      </c>
      <c r="C33" s="86" t="s">
        <v>1187</v>
      </c>
      <c r="D33" s="88" t="s">
        <v>1188</v>
      </c>
      <c r="E33" s="88" t="s">
        <v>1189</v>
      </c>
      <c r="F33" s="89" t="s">
        <v>1185</v>
      </c>
      <c r="G33" s="89" t="s">
        <v>1126</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1179</v>
      </c>
      <c r="B34" s="84" t="s">
        <v>1190</v>
      </c>
      <c r="C34" s="86" t="s">
        <v>1191</v>
      </c>
      <c r="D34" s="88" t="s">
        <v>1192</v>
      </c>
      <c r="E34" s="88" t="s">
        <v>1193</v>
      </c>
      <c r="F34" s="89" t="s">
        <v>1067</v>
      </c>
      <c r="G34" s="89" t="s">
        <v>1110</v>
      </c>
      <c r="H34" s="89">
        <v>1</v>
      </c>
      <c r="I34" s="91">
        <f>IF(COUNTIF(J34:AW34,"&lt;&gt;")=0,"",SUMPRODUCT(((Recommendations[ImplStatus]="Implemented")+(Recommendations[ImplStatus]="Compensated"))*ISNUMBER(MATCH(Recommendations[Id],J34:AW34,0)))/COUNTIF(J34:AW34,"&lt;&gt;"))</f>
        <v>0</v>
      </c>
      <c r="J34" s="93" t="s">
        <v>14</v>
      </c>
      <c r="K34" s="93" t="s">
        <v>135</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1179</v>
      </c>
      <c r="B35" s="84" t="s">
        <v>1194</v>
      </c>
      <c r="C35" s="86" t="s">
        <v>1195</v>
      </c>
      <c r="D35" s="88" t="s">
        <v>1196</v>
      </c>
      <c r="E35" s="88" t="s">
        <v>1197</v>
      </c>
      <c r="F35" s="89" t="s">
        <v>1067</v>
      </c>
      <c r="G35" s="89" t="s">
        <v>1110</v>
      </c>
      <c r="H35" s="89">
        <v>1</v>
      </c>
      <c r="I35" s="91">
        <f>IF(COUNTIF(J35:AW35,"&lt;&gt;")=0,"",SUMPRODUCT(((Recommendations[ImplStatus]="Implemented")+(Recommendations[ImplStatus]="Compensated"))*ISNUMBER(MATCH(Recommendations[Id],J35:AW35,0)))/COUNTIF(J35:AW35,"&lt;&gt;"))</f>
        <v>0</v>
      </c>
      <c r="J35" s="93" t="s">
        <v>405</v>
      </c>
      <c r="K35" s="93" t="s">
        <v>415</v>
      </c>
      <c r="L35" s="93" t="s">
        <v>420</v>
      </c>
      <c r="M35" s="93" t="s">
        <v>430</v>
      </c>
      <c r="N35" s="93" t="s">
        <v>435</v>
      </c>
      <c r="O35" s="93" t="s">
        <v>440</v>
      </c>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1179</v>
      </c>
      <c r="B36" s="84" t="s">
        <v>1198</v>
      </c>
      <c r="C36" s="86" t="s">
        <v>1199</v>
      </c>
      <c r="D36" s="88" t="s">
        <v>1200</v>
      </c>
      <c r="E36" s="88" t="s">
        <v>1201</v>
      </c>
      <c r="F36" s="89" t="s">
        <v>1067</v>
      </c>
      <c r="G36" s="89" t="s">
        <v>1110</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1179</v>
      </c>
      <c r="B37" s="84" t="s">
        <v>1202</v>
      </c>
      <c r="C37" s="86" t="s">
        <v>1203</v>
      </c>
      <c r="D37" s="88" t="s">
        <v>1204</v>
      </c>
      <c r="E37" s="88" t="s">
        <v>1205</v>
      </c>
      <c r="F37" s="89" t="s">
        <v>1067</v>
      </c>
      <c r="G37" s="89" t="s">
        <v>1110</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1179</v>
      </c>
      <c r="B38" s="84" t="s">
        <v>1206</v>
      </c>
      <c r="C38" s="86" t="s">
        <v>1207</v>
      </c>
      <c r="D38" s="88" t="s">
        <v>1208</v>
      </c>
      <c r="E38" s="88" t="s">
        <v>1209</v>
      </c>
      <c r="F38" s="89" t="s">
        <v>1210</v>
      </c>
      <c r="G38" s="89" t="s">
        <v>1110</v>
      </c>
      <c r="H38" s="89">
        <v>1</v>
      </c>
      <c r="I38" s="91">
        <f>IF(COUNTIF(J38:AW38,"&lt;&gt;")=0,"",SUMPRODUCT(((Recommendations[ImplStatus]="Implemented")+(Recommendations[ImplStatus]="Compensated"))*ISNUMBER(MATCH(Recommendations[Id],J38:AW38,0)))/COUNTIF(J38:AW38,"&lt;&gt;"))</f>
        <v>0</v>
      </c>
      <c r="J38" s="93" t="s">
        <v>97</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1179</v>
      </c>
      <c r="B39" s="84" t="s">
        <v>1211</v>
      </c>
      <c r="C39" s="86" t="s">
        <v>1212</v>
      </c>
      <c r="D39" s="88" t="s">
        <v>1213</v>
      </c>
      <c r="E39" s="88" t="s">
        <v>1214</v>
      </c>
      <c r="F39" s="89" t="s">
        <v>1067</v>
      </c>
      <c r="G39" s="89" t="s">
        <v>1110</v>
      </c>
      <c r="H39" s="89">
        <v>2</v>
      </c>
      <c r="I39" s="91">
        <f>IF(COUNTIF(J39:AW39,"&lt;&gt;")=0,"",SUMPRODUCT(((Recommendations[ImplStatus]="Implemented")+(Recommendations[ImplStatus]="Compensated"))*ISNUMBER(MATCH(Recommendations[Id],J39:AW39,0)))/COUNTIF(J39:AW39,"&lt;&gt;"))</f>
        <v>0</v>
      </c>
      <c r="J39" s="93" t="s">
        <v>91</v>
      </c>
      <c r="K39" s="93" t="s">
        <v>346</v>
      </c>
      <c r="L39" s="93" t="s">
        <v>351</v>
      </c>
      <c r="M39" s="93" t="s">
        <v>400</v>
      </c>
      <c r="N39" s="93" t="s">
        <v>449</v>
      </c>
      <c r="O39" s="93" t="s">
        <v>454</v>
      </c>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1179</v>
      </c>
      <c r="B40" s="84" t="s">
        <v>1215</v>
      </c>
      <c r="C40" s="86" t="s">
        <v>1216</v>
      </c>
      <c r="D40" s="88" t="s">
        <v>1217</v>
      </c>
      <c r="E40" s="88" t="s">
        <v>1218</v>
      </c>
      <c r="F40" s="89" t="s">
        <v>1067</v>
      </c>
      <c r="G40" s="89" t="s">
        <v>1110</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1179</v>
      </c>
      <c r="B41" s="84" t="s">
        <v>1219</v>
      </c>
      <c r="C41" s="86" t="s">
        <v>1220</v>
      </c>
      <c r="D41" s="88" t="s">
        <v>1221</v>
      </c>
      <c r="E41" s="88" t="s">
        <v>1222</v>
      </c>
      <c r="F41" s="89" t="s">
        <v>1067</v>
      </c>
      <c r="G41" s="89" t="s">
        <v>1110</v>
      </c>
      <c r="H41" s="89">
        <v>2</v>
      </c>
      <c r="I41" s="91">
        <f>IF(COUNTIF(J41:AW41,"&lt;&gt;")=0,"",SUMPRODUCT(((Recommendations[ImplStatus]="Implemented")+(Recommendations[ImplStatus]="Compensated"))*ISNUMBER(MATCH(Recommendations[Id],J41:AW41,0)))/COUNTIF(J41:AW41,"&lt;&gt;"))</f>
        <v>0</v>
      </c>
      <c r="J41" s="93" t="s">
        <v>50</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1179</v>
      </c>
      <c r="B42" s="84" t="s">
        <v>1223</v>
      </c>
      <c r="C42" s="86" t="s">
        <v>1224</v>
      </c>
      <c r="D42" s="88" t="s">
        <v>1225</v>
      </c>
      <c r="E42" s="88" t="s">
        <v>1226</v>
      </c>
      <c r="F42" s="89" t="s">
        <v>1125</v>
      </c>
      <c r="G42" s="89" t="s">
        <v>1110</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1179</v>
      </c>
      <c r="B43" s="84" t="s">
        <v>1227</v>
      </c>
      <c r="C43" s="86" t="s">
        <v>1228</v>
      </c>
      <c r="D43" s="88" t="s">
        <v>1229</v>
      </c>
      <c r="E43" s="88" t="s">
        <v>1230</v>
      </c>
      <c r="F43" s="89" t="s">
        <v>1125</v>
      </c>
      <c r="G43" s="89" t="s">
        <v>1110</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1231</v>
      </c>
      <c r="B44" s="83">
        <v>5</v>
      </c>
      <c r="C44" s="85" t="s">
        <v>21</v>
      </c>
      <c r="D44" s="87" t="s">
        <v>1232</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1231</v>
      </c>
      <c r="B45" s="84" t="s">
        <v>1233</v>
      </c>
      <c r="C45" s="86" t="s">
        <v>1234</v>
      </c>
      <c r="D45" s="88" t="s">
        <v>1235</v>
      </c>
      <c r="E45" s="88" t="s">
        <v>1236</v>
      </c>
      <c r="F45" s="89" t="s">
        <v>1210</v>
      </c>
      <c r="G45" s="89" t="s">
        <v>1068</v>
      </c>
      <c r="H45" s="89">
        <v>1</v>
      </c>
      <c r="I45" s="91">
        <f>IF(COUNTIF(J45:AW45,"&lt;&gt;")=0,"",SUMPRODUCT(((Recommendations[ImplStatus]="Implemented")+(Recommendations[ImplStatus]="Compensated"))*ISNUMBER(MATCH(Recommendations[Id],J45:AW45,0)))/COUNTIF(J45:AW45,"&lt;&gt;"))</f>
        <v>0</v>
      </c>
      <c r="J45" s="93" t="s">
        <v>25</v>
      </c>
      <c r="K45" s="93" t="s">
        <v>30</v>
      </c>
      <c r="L45" s="93" t="s">
        <v>35</v>
      </c>
      <c r="M45" s="93" t="s">
        <v>40</v>
      </c>
      <c r="N45" s="93" t="s">
        <v>140</v>
      </c>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1231</v>
      </c>
      <c r="B46" s="84" t="s">
        <v>1237</v>
      </c>
      <c r="C46" s="86" t="s">
        <v>1238</v>
      </c>
      <c r="D46" s="88" t="s">
        <v>1239</v>
      </c>
      <c r="E46" s="88" t="s">
        <v>1240</v>
      </c>
      <c r="F46" s="89" t="s">
        <v>1210</v>
      </c>
      <c r="G46" s="89" t="s">
        <v>1110</v>
      </c>
      <c r="H46" s="89">
        <v>1</v>
      </c>
      <c r="I46" s="91">
        <f>IF(COUNTIF(J46:AW46,"&lt;&gt;")=0,"",SUMPRODUCT(((Recommendations[ImplStatus]="Implemented")+(Recommendations[ImplStatus]="Compensated"))*ISNUMBER(MATCH(Recommendations[Id],J46:AW46,0)))/COUNTIF(J46:AW46,"&lt;&gt;"))</f>
        <v>0</v>
      </c>
      <c r="J46" s="93" t="s">
        <v>102</v>
      </c>
      <c r="K46" s="93" t="s">
        <v>107</v>
      </c>
      <c r="L46" s="93" t="s">
        <v>112</v>
      </c>
      <c r="M46" s="93" t="s">
        <v>117</v>
      </c>
      <c r="N46" s="93" t="s">
        <v>121</v>
      </c>
      <c r="O46" s="93" t="s">
        <v>130</v>
      </c>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1231</v>
      </c>
      <c r="B47" s="84" t="s">
        <v>1241</v>
      </c>
      <c r="C47" s="86" t="s">
        <v>1242</v>
      </c>
      <c r="D47" s="88" t="s">
        <v>1243</v>
      </c>
      <c r="E47" s="88" t="s">
        <v>1244</v>
      </c>
      <c r="F47" s="89" t="s">
        <v>1210</v>
      </c>
      <c r="G47" s="89" t="s">
        <v>1110</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1231</v>
      </c>
      <c r="B48" s="84" t="s">
        <v>1245</v>
      </c>
      <c r="C48" s="86" t="s">
        <v>1246</v>
      </c>
      <c r="D48" s="88" t="s">
        <v>1247</v>
      </c>
      <c r="E48" s="88" t="s">
        <v>1248</v>
      </c>
      <c r="F48" s="89" t="s">
        <v>1210</v>
      </c>
      <c r="G48" s="89" t="s">
        <v>1110</v>
      </c>
      <c r="H48" s="89">
        <v>1</v>
      </c>
      <c r="I48" s="91">
        <f>IF(COUNTIF(J48:AW48,"&lt;&gt;")=0,"",SUMPRODUCT(((Recommendations[ImplStatus]="Implemented")+(Recommendations[ImplStatus]="Compensated"))*ISNUMBER(MATCH(Recommendations[Id],J48:AW48,0)))/COUNTIF(J48:AW48,"&lt;&gt;"))</f>
        <v>0</v>
      </c>
      <c r="J48" s="93" t="s">
        <v>60</v>
      </c>
      <c r="K48" s="93" t="s">
        <v>88</v>
      </c>
      <c r="L48" s="93" t="s">
        <v>97</v>
      </c>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1231</v>
      </c>
      <c r="B49" s="84" t="s">
        <v>1249</v>
      </c>
      <c r="C49" s="86" t="s">
        <v>1250</v>
      </c>
      <c r="D49" s="88" t="s">
        <v>1251</v>
      </c>
      <c r="E49" s="88" t="s">
        <v>1252</v>
      </c>
      <c r="F49" s="89" t="s">
        <v>1210</v>
      </c>
      <c r="G49" s="89" t="s">
        <v>1068</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1231</v>
      </c>
      <c r="B50" s="84" t="s">
        <v>1253</v>
      </c>
      <c r="C50" s="86" t="s">
        <v>1254</v>
      </c>
      <c r="D50" s="88" t="s">
        <v>1255</v>
      </c>
      <c r="E50" s="88" t="s">
        <v>1256</v>
      </c>
      <c r="F50" s="89" t="s">
        <v>1210</v>
      </c>
      <c r="G50" s="89" t="s">
        <v>1126</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1257</v>
      </c>
      <c r="B51" s="83">
        <v>6</v>
      </c>
      <c r="C51" s="85" t="s">
        <v>21</v>
      </c>
      <c r="D51" s="87" t="s">
        <v>1258</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1257</v>
      </c>
      <c r="B52" s="84" t="s">
        <v>1259</v>
      </c>
      <c r="C52" s="86" t="s">
        <v>1260</v>
      </c>
      <c r="D52" s="88" t="s">
        <v>1261</v>
      </c>
      <c r="E52" s="88" t="s">
        <v>1262</v>
      </c>
      <c r="F52" s="89" t="s">
        <v>1185</v>
      </c>
      <c r="G52" s="89" t="s">
        <v>1126</v>
      </c>
      <c r="H52" s="89">
        <v>1</v>
      </c>
      <c r="I52" s="91">
        <f>IF(COUNTIF(J52:AW52,"&lt;&gt;")=0,"",SUMPRODUCT(((Recommendations[ImplStatus]="Implemented")+(Recommendations[ImplStatus]="Compensated"))*ISNUMBER(MATCH(Recommendations[Id],J52:AW52,0)))/COUNTIF(J52:AW52,"&lt;&gt;"))</f>
        <v>0</v>
      </c>
      <c r="J52" s="93" t="s">
        <v>25</v>
      </c>
      <c r="K52" s="93" t="s">
        <v>30</v>
      </c>
      <c r="L52" s="93" t="s">
        <v>35</v>
      </c>
      <c r="M52" s="93" t="s">
        <v>40</v>
      </c>
      <c r="N52" s="93" t="s">
        <v>140</v>
      </c>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1257</v>
      </c>
      <c r="B53" s="84" t="s">
        <v>1263</v>
      </c>
      <c r="C53" s="86" t="s">
        <v>1264</v>
      </c>
      <c r="D53" s="88" t="s">
        <v>1265</v>
      </c>
      <c r="E53" s="88" t="s">
        <v>1266</v>
      </c>
      <c r="F53" s="89" t="s">
        <v>1185</v>
      </c>
      <c r="G53" s="89" t="s">
        <v>1126</v>
      </c>
      <c r="H53" s="89">
        <v>1</v>
      </c>
      <c r="I53" s="91">
        <f>IF(COUNTIF(J53:AW53,"&lt;&gt;")=0,"",SUMPRODUCT(((Recommendations[ImplStatus]="Implemented")+(Recommendations[ImplStatus]="Compensated"))*ISNUMBER(MATCH(Recommendations[Id],J53:AW53,0)))/COUNTIF(J53:AW53,"&lt;&gt;"))</f>
        <v>0</v>
      </c>
      <c r="J53" s="93" t="s">
        <v>25</v>
      </c>
      <c r="K53" s="93" t="s">
        <v>30</v>
      </c>
      <c r="L53" s="93" t="s">
        <v>35</v>
      </c>
      <c r="M53" s="93" t="s">
        <v>40</v>
      </c>
      <c r="N53" s="93" t="s">
        <v>140</v>
      </c>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1257</v>
      </c>
      <c r="B54" s="84" t="s">
        <v>1267</v>
      </c>
      <c r="C54" s="86" t="s">
        <v>1268</v>
      </c>
      <c r="D54" s="88" t="s">
        <v>1269</v>
      </c>
      <c r="E54" s="88" t="s">
        <v>1270</v>
      </c>
      <c r="F54" s="89" t="s">
        <v>1210</v>
      </c>
      <c r="G54" s="89" t="s">
        <v>1110</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1257</v>
      </c>
      <c r="B55" s="84" t="s">
        <v>1271</v>
      </c>
      <c r="C55" s="86" t="s">
        <v>1272</v>
      </c>
      <c r="D55" s="88" t="s">
        <v>1273</v>
      </c>
      <c r="E55" s="88" t="s">
        <v>1274</v>
      </c>
      <c r="F55" s="89" t="s">
        <v>1210</v>
      </c>
      <c r="G55" s="89" t="s">
        <v>1110</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1257</v>
      </c>
      <c r="B56" s="84" t="s">
        <v>1275</v>
      </c>
      <c r="C56" s="86" t="s">
        <v>1276</v>
      </c>
      <c r="D56" s="88" t="s">
        <v>1277</v>
      </c>
      <c r="E56" s="88" t="s">
        <v>1278</v>
      </c>
      <c r="F56" s="89" t="s">
        <v>1210</v>
      </c>
      <c r="G56" s="89" t="s">
        <v>1110</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1257</v>
      </c>
      <c r="B57" s="84" t="s">
        <v>1279</v>
      </c>
      <c r="C57" s="86" t="s">
        <v>1280</v>
      </c>
      <c r="D57" s="88" t="s">
        <v>1281</v>
      </c>
      <c r="E57" s="88" t="s">
        <v>1282</v>
      </c>
      <c r="F57" s="89" t="s">
        <v>1093</v>
      </c>
      <c r="G57" s="89" t="s">
        <v>1068</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1257</v>
      </c>
      <c r="B58" s="84" t="s">
        <v>1283</v>
      </c>
      <c r="C58" s="86" t="s">
        <v>1284</v>
      </c>
      <c r="D58" s="88" t="s">
        <v>1285</v>
      </c>
      <c r="E58" s="88" t="s">
        <v>1286</v>
      </c>
      <c r="F58" s="89" t="s">
        <v>1210</v>
      </c>
      <c r="G58" s="89" t="s">
        <v>1110</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1257</v>
      </c>
      <c r="B59" s="84" t="s">
        <v>1287</v>
      </c>
      <c r="C59" s="86" t="s">
        <v>1288</v>
      </c>
      <c r="D59" s="88" t="s">
        <v>1289</v>
      </c>
      <c r="E59" s="88" t="s">
        <v>1290</v>
      </c>
      <c r="F59" s="89" t="s">
        <v>1210</v>
      </c>
      <c r="G59" s="89" t="s">
        <v>1126</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1291</v>
      </c>
      <c r="B60" s="83">
        <v>7</v>
      </c>
      <c r="C60" s="85" t="s">
        <v>21</v>
      </c>
      <c r="D60" s="87" t="s">
        <v>1292</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1291</v>
      </c>
      <c r="B61" s="84" t="s">
        <v>1293</v>
      </c>
      <c r="C61" s="86" t="s">
        <v>1294</v>
      </c>
      <c r="D61" s="88" t="s">
        <v>1295</v>
      </c>
      <c r="E61" s="88" t="s">
        <v>1296</v>
      </c>
      <c r="F61" s="89" t="s">
        <v>1185</v>
      </c>
      <c r="G61" s="89" t="s">
        <v>1126</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1291</v>
      </c>
      <c r="B62" s="84" t="s">
        <v>1297</v>
      </c>
      <c r="C62" s="86" t="s">
        <v>1298</v>
      </c>
      <c r="D62" s="88" t="s">
        <v>1299</v>
      </c>
      <c r="E62" s="88" t="s">
        <v>1300</v>
      </c>
      <c r="F62" s="89" t="s">
        <v>1185</v>
      </c>
      <c r="G62" s="89" t="s">
        <v>1126</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1291</v>
      </c>
      <c r="B63" s="84" t="s">
        <v>1301</v>
      </c>
      <c r="C63" s="86" t="s">
        <v>1302</v>
      </c>
      <c r="D63" s="88" t="s">
        <v>1303</v>
      </c>
      <c r="E63" s="88" t="s">
        <v>1304</v>
      </c>
      <c r="F63" s="89" t="s">
        <v>1093</v>
      </c>
      <c r="G63" s="89" t="s">
        <v>1110</v>
      </c>
      <c r="H63" s="89">
        <v>1</v>
      </c>
      <c r="I63" s="91">
        <f>IF(COUNTIF(J63:AW63,"&lt;&gt;")=0,"",SUMPRODUCT(((Recommendations[ImplStatus]="Implemented")+(Recommendations[ImplStatus]="Compensated"))*ISNUMBER(MATCH(Recommendations[Id],J63:AW63,0)))/COUNTIF(J63:AW63,"&lt;&gt;"))</f>
        <v>0</v>
      </c>
      <c r="J63" s="93" t="s">
        <v>218</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1291</v>
      </c>
      <c r="B64" s="84" t="s">
        <v>1305</v>
      </c>
      <c r="C64" s="86" t="s">
        <v>1306</v>
      </c>
      <c r="D64" s="88" t="s">
        <v>1307</v>
      </c>
      <c r="E64" s="88" t="s">
        <v>1308</v>
      </c>
      <c r="F64" s="89" t="s">
        <v>1093</v>
      </c>
      <c r="G64" s="89" t="s">
        <v>1110</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1291</v>
      </c>
      <c r="B65" s="84" t="s">
        <v>1309</v>
      </c>
      <c r="C65" s="86" t="s">
        <v>1310</v>
      </c>
      <c r="D65" s="88" t="s">
        <v>1311</v>
      </c>
      <c r="E65" s="88" t="s">
        <v>1312</v>
      </c>
      <c r="F65" s="89" t="s">
        <v>1093</v>
      </c>
      <c r="G65" s="89" t="s">
        <v>1068</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1291</v>
      </c>
      <c r="B66" s="84" t="s">
        <v>1313</v>
      </c>
      <c r="C66" s="86" t="s">
        <v>1314</v>
      </c>
      <c r="D66" s="88" t="s">
        <v>1315</v>
      </c>
      <c r="E66" s="88" t="s">
        <v>1316</v>
      </c>
      <c r="F66" s="89" t="s">
        <v>1093</v>
      </c>
      <c r="G66" s="89" t="s">
        <v>1068</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1291</v>
      </c>
      <c r="B67" s="84" t="s">
        <v>1317</v>
      </c>
      <c r="C67" s="86" t="s">
        <v>1318</v>
      </c>
      <c r="D67" s="88" t="s">
        <v>1319</v>
      </c>
      <c r="E67" s="88" t="s">
        <v>1320</v>
      </c>
      <c r="F67" s="89" t="s">
        <v>1093</v>
      </c>
      <c r="G67" s="89" t="s">
        <v>1073</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1321</v>
      </c>
      <c r="B68" s="83">
        <v>8</v>
      </c>
      <c r="C68" s="85" t="s">
        <v>21</v>
      </c>
      <c r="D68" s="87" t="s">
        <v>1322</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1321</v>
      </c>
      <c r="B69" s="84" t="s">
        <v>1323</v>
      </c>
      <c r="C69" s="86" t="s">
        <v>1324</v>
      </c>
      <c r="D69" s="88" t="s">
        <v>1325</v>
      </c>
      <c r="E69" s="88" t="s">
        <v>1326</v>
      </c>
      <c r="F69" s="89" t="s">
        <v>1185</v>
      </c>
      <c r="G69" s="89" t="s">
        <v>1126</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1321</v>
      </c>
      <c r="B70" s="84" t="s">
        <v>1327</v>
      </c>
      <c r="C70" s="86" t="s">
        <v>1328</v>
      </c>
      <c r="D70" s="88" t="s">
        <v>1329</v>
      </c>
      <c r="E70" s="88" t="s">
        <v>1330</v>
      </c>
      <c r="F70" s="89" t="s">
        <v>1125</v>
      </c>
      <c r="G70" s="89" t="s">
        <v>1078</v>
      </c>
      <c r="H70" s="89">
        <v>1</v>
      </c>
      <c r="I70" s="91">
        <f>IF(COUNTIF(J70:AW70,"&lt;&gt;")=0,"",SUMPRODUCT(((Recommendations[ImplStatus]="Implemented")+(Recommendations[ImplStatus]="Compensated"))*ISNUMBER(MATCH(Recommendations[Id],J70:AW70,0)))/COUNTIF(J70:AW70,"&lt;&gt;"))</f>
        <v>0</v>
      </c>
      <c r="J70" s="93" t="s">
        <v>65</v>
      </c>
      <c r="K70" s="93" t="s">
        <v>70</v>
      </c>
      <c r="L70" s="93" t="s">
        <v>75</v>
      </c>
      <c r="M70" s="93" t="s">
        <v>145</v>
      </c>
      <c r="N70" s="93" t="s">
        <v>190</v>
      </c>
      <c r="O70" s="93" t="s">
        <v>213</v>
      </c>
      <c r="P70" s="93" t="s">
        <v>391</v>
      </c>
      <c r="Q70" s="93" t="s">
        <v>396</v>
      </c>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1321</v>
      </c>
      <c r="B71" s="84" t="s">
        <v>1331</v>
      </c>
      <c r="C71" s="86" t="s">
        <v>1332</v>
      </c>
      <c r="D71" s="88" t="s">
        <v>1333</v>
      </c>
      <c r="E71" s="88" t="s">
        <v>1334</v>
      </c>
      <c r="F71" s="89" t="s">
        <v>1125</v>
      </c>
      <c r="G71" s="89" t="s">
        <v>1110</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1321</v>
      </c>
      <c r="B72" s="84" t="s">
        <v>1335</v>
      </c>
      <c r="C72" s="86" t="s">
        <v>1336</v>
      </c>
      <c r="D72" s="88" t="s">
        <v>1337</v>
      </c>
      <c r="E72" s="88" t="s">
        <v>1338</v>
      </c>
      <c r="F72" s="89" t="s">
        <v>1339</v>
      </c>
      <c r="G72" s="89" t="s">
        <v>1110</v>
      </c>
      <c r="H72" s="89">
        <v>2</v>
      </c>
      <c r="I72" s="91">
        <f>IF(COUNTIF(J72:AW72,"&lt;&gt;")=0,"",SUMPRODUCT(((Recommendations[ImplStatus]="Implemented")+(Recommendations[ImplStatus]="Compensated"))*ISNUMBER(MATCH(Recommendations[Id],J72:AW72,0)))/COUNTIF(J72:AW72,"&lt;&gt;"))</f>
        <v>0</v>
      </c>
      <c r="J72" s="93" t="s">
        <v>65</v>
      </c>
      <c r="K72" s="93" t="s">
        <v>155</v>
      </c>
      <c r="L72" s="93" t="s">
        <v>170</v>
      </c>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1321</v>
      </c>
      <c r="B73" s="84" t="s">
        <v>1340</v>
      </c>
      <c r="C73" s="86" t="s">
        <v>1341</v>
      </c>
      <c r="D73" s="88" t="s">
        <v>1342</v>
      </c>
      <c r="E73" s="88" t="s">
        <v>1343</v>
      </c>
      <c r="F73" s="89" t="s">
        <v>1125</v>
      </c>
      <c r="G73" s="89" t="s">
        <v>1078</v>
      </c>
      <c r="H73" s="89">
        <v>2</v>
      </c>
      <c r="I73" s="91">
        <f>IF(COUNTIF(J73:AW73,"&lt;&gt;")=0,"",SUMPRODUCT(((Recommendations[ImplStatus]="Implemented")+(Recommendations[ImplStatus]="Compensated"))*ISNUMBER(MATCH(Recommendations[Id],J73:AW73,0)))/COUNTIF(J73:AW73,"&lt;&gt;"))</f>
        <v>0</v>
      </c>
      <c r="J73" s="93" t="s">
        <v>60</v>
      </c>
      <c r="K73" s="93" t="s">
        <v>70</v>
      </c>
      <c r="L73" s="93" t="s">
        <v>75</v>
      </c>
      <c r="M73" s="93" t="s">
        <v>88</v>
      </c>
      <c r="N73" s="93" t="s">
        <v>145</v>
      </c>
      <c r="O73" s="93" t="s">
        <v>185</v>
      </c>
      <c r="P73" s="93" t="s">
        <v>194</v>
      </c>
      <c r="Q73" s="93" t="s">
        <v>391</v>
      </c>
      <c r="R73" s="93" t="s">
        <v>396</v>
      </c>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1321</v>
      </c>
      <c r="B74" s="84" t="s">
        <v>1344</v>
      </c>
      <c r="C74" s="86" t="s">
        <v>1345</v>
      </c>
      <c r="D74" s="88" t="s">
        <v>1346</v>
      </c>
      <c r="E74" s="88" t="s">
        <v>1347</v>
      </c>
      <c r="F74" s="89" t="s">
        <v>1125</v>
      </c>
      <c r="G74" s="89" t="s">
        <v>1078</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1321</v>
      </c>
      <c r="B75" s="84" t="s">
        <v>1348</v>
      </c>
      <c r="C75" s="86" t="s">
        <v>1349</v>
      </c>
      <c r="D75" s="88" t="s">
        <v>1350</v>
      </c>
      <c r="E75" s="88" t="s">
        <v>1351</v>
      </c>
      <c r="F75" s="89" t="s">
        <v>1125</v>
      </c>
      <c r="G75" s="89" t="s">
        <v>1078</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1321</v>
      </c>
      <c r="B76" s="84" t="s">
        <v>1352</v>
      </c>
      <c r="C76" s="86" t="s">
        <v>1353</v>
      </c>
      <c r="D76" s="88" t="s">
        <v>1354</v>
      </c>
      <c r="E76" s="88" t="s">
        <v>1355</v>
      </c>
      <c r="F76" s="89" t="s">
        <v>1125</v>
      </c>
      <c r="G76" s="89" t="s">
        <v>1078</v>
      </c>
      <c r="H76" s="89">
        <v>2</v>
      </c>
      <c r="I76" s="91">
        <f>IF(COUNTIF(J76:AW76,"&lt;&gt;")=0,"",SUMPRODUCT(((Recommendations[ImplStatus]="Implemented")+(Recommendations[ImplStatus]="Compensated"))*ISNUMBER(MATCH(Recommendations[Id],J76:AW76,0)))/COUNTIF(J76:AW76,"&lt;&gt;"))</f>
        <v>0</v>
      </c>
      <c r="J76" s="93" t="s">
        <v>75</v>
      </c>
      <c r="K76" s="93" t="s">
        <v>185</v>
      </c>
      <c r="L76" s="93" t="s">
        <v>194</v>
      </c>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1321</v>
      </c>
      <c r="B77" s="84" t="s">
        <v>1356</v>
      </c>
      <c r="C77" s="86" t="s">
        <v>1357</v>
      </c>
      <c r="D77" s="88" t="s">
        <v>1358</v>
      </c>
      <c r="E77" s="88" t="s">
        <v>1359</v>
      </c>
      <c r="F77" s="89" t="s">
        <v>1125</v>
      </c>
      <c r="G77" s="89" t="s">
        <v>1078</v>
      </c>
      <c r="H77" s="89">
        <v>2</v>
      </c>
      <c r="I77" s="91">
        <f>IF(COUNTIF(J77:AW77,"&lt;&gt;")=0,"",SUMPRODUCT(((Recommendations[ImplStatus]="Implemented")+(Recommendations[ImplStatus]="Compensated"))*ISNUMBER(MATCH(Recommendations[Id],J77:AW77,0)))/COUNTIF(J77:AW77,"&lt;&gt;"))</f>
        <v>0</v>
      </c>
      <c r="J77" s="93" t="s">
        <v>213</v>
      </c>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1321</v>
      </c>
      <c r="B78" s="84" t="s">
        <v>1360</v>
      </c>
      <c r="C78" s="86" t="s">
        <v>1361</v>
      </c>
      <c r="D78" s="88" t="s">
        <v>1362</v>
      </c>
      <c r="E78" s="88" t="s">
        <v>1363</v>
      </c>
      <c r="F78" s="89" t="s">
        <v>1125</v>
      </c>
      <c r="G78" s="89" t="s">
        <v>1110</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1321</v>
      </c>
      <c r="B79" s="84" t="s">
        <v>1364</v>
      </c>
      <c r="C79" s="86" t="s">
        <v>1365</v>
      </c>
      <c r="D79" s="88" t="s">
        <v>1366</v>
      </c>
      <c r="E79" s="88" t="s">
        <v>1367</v>
      </c>
      <c r="F79" s="89" t="s">
        <v>1125</v>
      </c>
      <c r="G79" s="89" t="s">
        <v>1078</v>
      </c>
      <c r="H79" s="89">
        <v>2</v>
      </c>
      <c r="I79" s="91">
        <f>IF(COUNTIF(J79:AW79,"&lt;&gt;")=0,"",SUMPRODUCT(((Recommendations[ImplStatus]="Implemented")+(Recommendations[ImplStatus]="Compensated"))*ISNUMBER(MATCH(Recommendations[Id],J79:AW79,0)))/COUNTIF(J79:AW79,"&lt;&gt;"))</f>
        <v>0</v>
      </c>
      <c r="J79" s="93" t="s">
        <v>150</v>
      </c>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1321</v>
      </c>
      <c r="B80" s="84" t="s">
        <v>1368</v>
      </c>
      <c r="C80" s="86" t="s">
        <v>1369</v>
      </c>
      <c r="D80" s="88" t="s">
        <v>1370</v>
      </c>
      <c r="E80" s="88" t="s">
        <v>1371</v>
      </c>
      <c r="F80" s="89" t="s">
        <v>1125</v>
      </c>
      <c r="G80" s="89" t="s">
        <v>1078</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1372</v>
      </c>
      <c r="B81" s="83">
        <v>9</v>
      </c>
      <c r="C81" s="85" t="s">
        <v>21</v>
      </c>
      <c r="D81" s="87" t="s">
        <v>1373</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1372</v>
      </c>
      <c r="B82" s="84" t="s">
        <v>1374</v>
      </c>
      <c r="C82" s="86" t="s">
        <v>1375</v>
      </c>
      <c r="D82" s="88" t="s">
        <v>1376</v>
      </c>
      <c r="E82" s="88" t="s">
        <v>1377</v>
      </c>
      <c r="F82" s="89" t="s">
        <v>1093</v>
      </c>
      <c r="G82" s="89" t="s">
        <v>1110</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1372</v>
      </c>
      <c r="B83" s="84" t="s">
        <v>1378</v>
      </c>
      <c r="C83" s="86" t="s">
        <v>1379</v>
      </c>
      <c r="D83" s="88" t="s">
        <v>1380</v>
      </c>
      <c r="E83" s="88" t="s">
        <v>1381</v>
      </c>
      <c r="F83" s="89" t="s">
        <v>1067</v>
      </c>
      <c r="G83" s="89" t="s">
        <v>1110</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1372</v>
      </c>
      <c r="B84" s="84" t="s">
        <v>1382</v>
      </c>
      <c r="C84" s="86" t="s">
        <v>1383</v>
      </c>
      <c r="D84" s="88" t="s">
        <v>1384</v>
      </c>
      <c r="E84" s="88" t="s">
        <v>1385</v>
      </c>
      <c r="F84" s="89" t="s">
        <v>1339</v>
      </c>
      <c r="G84" s="89" t="s">
        <v>1110</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1372</v>
      </c>
      <c r="B85" s="84" t="s">
        <v>1386</v>
      </c>
      <c r="C85" s="86" t="s">
        <v>1387</v>
      </c>
      <c r="D85" s="88" t="s">
        <v>1388</v>
      </c>
      <c r="E85" s="88" t="s">
        <v>1389</v>
      </c>
      <c r="F85" s="89" t="s">
        <v>1093</v>
      </c>
      <c r="G85" s="89" t="s">
        <v>1110</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1372</v>
      </c>
      <c r="B86" s="84" t="s">
        <v>1390</v>
      </c>
      <c r="C86" s="86" t="s">
        <v>1391</v>
      </c>
      <c r="D86" s="88" t="s">
        <v>1392</v>
      </c>
      <c r="E86" s="88" t="s">
        <v>1393</v>
      </c>
      <c r="F86" s="89" t="s">
        <v>1339</v>
      </c>
      <c r="G86" s="89" t="s">
        <v>1110</v>
      </c>
      <c r="H86" s="89">
        <v>2</v>
      </c>
      <c r="I86" s="91">
        <f>IF(COUNTIF(J86:AW86,"&lt;&gt;")=0,"",SUMPRODUCT(((Recommendations[ImplStatus]="Implemented")+(Recommendations[ImplStatus]="Compensated"))*ISNUMBER(MATCH(Recommendations[Id],J86:AW86,0)))/COUNTIF(J86:AW86,"&lt;&gt;"))</f>
        <v>0</v>
      </c>
      <c r="J86" s="93" t="s">
        <v>425</v>
      </c>
      <c r="K86" s="93" t="s">
        <v>609</v>
      </c>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1372</v>
      </c>
      <c r="B87" s="84" t="s">
        <v>1394</v>
      </c>
      <c r="C87" s="86" t="s">
        <v>1395</v>
      </c>
      <c r="D87" s="88" t="s">
        <v>1396</v>
      </c>
      <c r="E87" s="88" t="s">
        <v>1397</v>
      </c>
      <c r="F87" s="89" t="s">
        <v>1339</v>
      </c>
      <c r="G87" s="89" t="s">
        <v>1110</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1372</v>
      </c>
      <c r="B88" s="84" t="s">
        <v>1398</v>
      </c>
      <c r="C88" s="86" t="s">
        <v>1399</v>
      </c>
      <c r="D88" s="88" t="s">
        <v>1400</v>
      </c>
      <c r="E88" s="88" t="s">
        <v>1401</v>
      </c>
      <c r="F88" s="89" t="s">
        <v>1339</v>
      </c>
      <c r="G88" s="89" t="s">
        <v>1110</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1402</v>
      </c>
      <c r="B89" s="83">
        <v>10</v>
      </c>
      <c r="C89" s="85" t="s">
        <v>21</v>
      </c>
      <c r="D89" s="87" t="s">
        <v>1403</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1402</v>
      </c>
      <c r="B90" s="84" t="s">
        <v>1404</v>
      </c>
      <c r="C90" s="86" t="s">
        <v>1405</v>
      </c>
      <c r="D90" s="88" t="s">
        <v>1406</v>
      </c>
      <c r="E90" s="88" t="s">
        <v>1407</v>
      </c>
      <c r="F90" s="89" t="s">
        <v>1067</v>
      </c>
      <c r="G90" s="89" t="s">
        <v>1078</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1402</v>
      </c>
      <c r="B91" s="84" t="s">
        <v>1408</v>
      </c>
      <c r="C91" s="86" t="s">
        <v>1409</v>
      </c>
      <c r="D91" s="88" t="s">
        <v>1410</v>
      </c>
      <c r="E91" s="88" t="s">
        <v>1411</v>
      </c>
      <c r="F91" s="89" t="s">
        <v>1067</v>
      </c>
      <c r="G91" s="89" t="s">
        <v>1110</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1402</v>
      </c>
      <c r="B92" s="84" t="s">
        <v>1412</v>
      </c>
      <c r="C92" s="86" t="s">
        <v>1413</v>
      </c>
      <c r="D92" s="88" t="s">
        <v>1414</v>
      </c>
      <c r="E92" s="88" t="s">
        <v>1415</v>
      </c>
      <c r="F92" s="89" t="s">
        <v>1067</v>
      </c>
      <c r="G92" s="89" t="s">
        <v>1110</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1402</v>
      </c>
      <c r="B93" s="84" t="s">
        <v>1416</v>
      </c>
      <c r="C93" s="86" t="s">
        <v>1417</v>
      </c>
      <c r="D93" s="88" t="s">
        <v>1418</v>
      </c>
      <c r="E93" s="88" t="s">
        <v>1419</v>
      </c>
      <c r="F93" s="89" t="s">
        <v>1067</v>
      </c>
      <c r="G93" s="89" t="s">
        <v>1078</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1402</v>
      </c>
      <c r="B94" s="84" t="s">
        <v>1420</v>
      </c>
      <c r="C94" s="86" t="s">
        <v>1421</v>
      </c>
      <c r="D94" s="88" t="s">
        <v>1422</v>
      </c>
      <c r="E94" s="88" t="s">
        <v>1423</v>
      </c>
      <c r="F94" s="89" t="s">
        <v>1067</v>
      </c>
      <c r="G94" s="89" t="s">
        <v>1110</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1402</v>
      </c>
      <c r="B95" s="84" t="s">
        <v>1424</v>
      </c>
      <c r="C95" s="86" t="s">
        <v>1425</v>
      </c>
      <c r="D95" s="88" t="s">
        <v>1426</v>
      </c>
      <c r="E95" s="88" t="s">
        <v>1427</v>
      </c>
      <c r="F95" s="89" t="s">
        <v>1067</v>
      </c>
      <c r="G95" s="89" t="s">
        <v>1110</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1402</v>
      </c>
      <c r="B96" s="84" t="s">
        <v>1428</v>
      </c>
      <c r="C96" s="86" t="s">
        <v>1429</v>
      </c>
      <c r="D96" s="88" t="s">
        <v>1430</v>
      </c>
      <c r="E96" s="88" t="s">
        <v>1431</v>
      </c>
      <c r="F96" s="89" t="s">
        <v>1067</v>
      </c>
      <c r="G96" s="89" t="s">
        <v>1078</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1432</v>
      </c>
      <c r="B97" s="83">
        <v>11</v>
      </c>
      <c r="C97" s="85" t="s">
        <v>21</v>
      </c>
      <c r="D97" s="87" t="s">
        <v>1433</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1432</v>
      </c>
      <c r="B98" s="84" t="s">
        <v>1434</v>
      </c>
      <c r="C98" s="86" t="s">
        <v>1435</v>
      </c>
      <c r="D98" s="88" t="s">
        <v>1436</v>
      </c>
      <c r="E98" s="88" t="s">
        <v>1437</v>
      </c>
      <c r="F98" s="89" t="s">
        <v>1185</v>
      </c>
      <c r="G98" s="89" t="s">
        <v>1126</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1432</v>
      </c>
      <c r="B99" s="84" t="s">
        <v>1438</v>
      </c>
      <c r="C99" s="86" t="s">
        <v>1439</v>
      </c>
      <c r="D99" s="88" t="s">
        <v>1440</v>
      </c>
      <c r="E99" s="88" t="s">
        <v>1441</v>
      </c>
      <c r="F99" s="89" t="s">
        <v>1125</v>
      </c>
      <c r="G99" s="89" t="s">
        <v>1442</v>
      </c>
      <c r="H99" s="89">
        <v>1</v>
      </c>
      <c r="I99" s="91">
        <f>IF(COUNTIF(J99:AW99,"&lt;&gt;")=0,"",SUMPRODUCT(((Recommendations[ImplStatus]="Implemented")+(Recommendations[ImplStatus]="Compensated"))*ISNUMBER(MATCH(Recommendations[Id],J99:AW99,0)))/COUNTIF(J99:AW99,"&lt;&gt;"))</f>
        <v>0</v>
      </c>
      <c r="J99" s="93" t="s">
        <v>203</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1432</v>
      </c>
      <c r="B100" s="84" t="s">
        <v>1443</v>
      </c>
      <c r="C100" s="86" t="s">
        <v>1444</v>
      </c>
      <c r="D100" s="88" t="s">
        <v>1445</v>
      </c>
      <c r="E100" s="88" t="s">
        <v>1446</v>
      </c>
      <c r="F100" s="89" t="s">
        <v>1125</v>
      </c>
      <c r="G100" s="89" t="s">
        <v>1110</v>
      </c>
      <c r="H100" s="89">
        <v>1</v>
      </c>
      <c r="I100" s="91">
        <f>IF(COUNTIF(J100:AW100,"&lt;&gt;")=0,"",SUMPRODUCT(((Recommendations[ImplStatus]="Implemented")+(Recommendations[ImplStatus]="Compensated"))*ISNUMBER(MATCH(Recommendations[Id],J100:AW100,0)))/COUNTIF(J100:AW100,"&lt;&gt;"))</f>
        <v>0</v>
      </c>
      <c r="J100" s="93" t="s">
        <v>203</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1432</v>
      </c>
      <c r="B101" s="84" t="s">
        <v>1447</v>
      </c>
      <c r="C101" s="86" t="s">
        <v>1448</v>
      </c>
      <c r="D101" s="88" t="s">
        <v>1449</v>
      </c>
      <c r="E101" s="88" t="s">
        <v>1450</v>
      </c>
      <c r="F101" s="89" t="s">
        <v>1125</v>
      </c>
      <c r="G101" s="89" t="s">
        <v>1442</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1432</v>
      </c>
      <c r="B102" s="84" t="s">
        <v>1451</v>
      </c>
      <c r="C102" s="86" t="s">
        <v>1452</v>
      </c>
      <c r="D102" s="88" t="s">
        <v>1453</v>
      </c>
      <c r="E102" s="88" t="s">
        <v>1454</v>
      </c>
      <c r="F102" s="89" t="s">
        <v>1125</v>
      </c>
      <c r="G102" s="89" t="s">
        <v>1442</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1455</v>
      </c>
      <c r="B103" s="83">
        <v>12</v>
      </c>
      <c r="C103" s="85" t="s">
        <v>21</v>
      </c>
      <c r="D103" s="87" t="s">
        <v>1456</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1455</v>
      </c>
      <c r="B104" s="84" t="s">
        <v>1457</v>
      </c>
      <c r="C104" s="86" t="s">
        <v>1458</v>
      </c>
      <c r="D104" s="88" t="s">
        <v>1459</v>
      </c>
      <c r="E104" s="88" t="s">
        <v>1460</v>
      </c>
      <c r="F104" s="89" t="s">
        <v>1339</v>
      </c>
      <c r="G104" s="89" t="s">
        <v>1110</v>
      </c>
      <c r="H104" s="89">
        <v>1</v>
      </c>
      <c r="I104" s="91">
        <f>IF(COUNTIF(J104:AW104,"&lt;&gt;")=0,"",SUMPRODUCT(((Recommendations[ImplStatus]="Implemented")+(Recommendations[ImplStatus]="Compensated"))*ISNUMBER(MATCH(Recommendations[Id],J104:AW104,0)))/COUNTIF(J104:AW104,"&lt;&gt;"))</f>
        <v>0</v>
      </c>
      <c r="J104" s="93" t="s">
        <v>218</v>
      </c>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1455</v>
      </c>
      <c r="B105" s="84" t="s">
        <v>1461</v>
      </c>
      <c r="C105" s="86" t="s">
        <v>1462</v>
      </c>
      <c r="D105" s="88" t="s">
        <v>1463</v>
      </c>
      <c r="E105" s="88" t="s">
        <v>1464</v>
      </c>
      <c r="F105" s="89" t="s">
        <v>1339</v>
      </c>
      <c r="G105" s="89" t="s">
        <v>1110</v>
      </c>
      <c r="H105" s="89">
        <v>2</v>
      </c>
      <c r="I105" s="91">
        <f>IF(COUNTIF(J105:AW105,"&lt;&gt;")=0,"",SUMPRODUCT(((Recommendations[ImplStatus]="Implemented")+(Recommendations[ImplStatus]="Compensated"))*ISNUMBER(MATCH(Recommendations[Id],J105:AW105,0)))/COUNTIF(J105:AW105,"&lt;&gt;"))</f>
        <v>0</v>
      </c>
      <c r="J105" s="93" t="s">
        <v>45</v>
      </c>
      <c r="K105" s="93" t="s">
        <v>239</v>
      </c>
      <c r="L105" s="93" t="s">
        <v>245</v>
      </c>
      <c r="M105" s="93" t="s">
        <v>250</v>
      </c>
      <c r="N105" s="93" t="s">
        <v>260</v>
      </c>
      <c r="O105" s="93" t="s">
        <v>265</v>
      </c>
      <c r="P105" s="93" t="s">
        <v>270</v>
      </c>
      <c r="Q105" s="93" t="s">
        <v>275</v>
      </c>
      <c r="R105" s="93" t="s">
        <v>280</v>
      </c>
      <c r="S105" s="93" t="s">
        <v>285</v>
      </c>
      <c r="T105" s="93" t="s">
        <v>290</v>
      </c>
      <c r="U105" s="93" t="s">
        <v>295</v>
      </c>
      <c r="V105" s="93" t="s">
        <v>300</v>
      </c>
      <c r="W105" s="93" t="s">
        <v>305</v>
      </c>
      <c r="X105" s="93" t="s">
        <v>310</v>
      </c>
      <c r="Y105" s="93" t="s">
        <v>320</v>
      </c>
      <c r="Z105" s="93" t="s">
        <v>325</v>
      </c>
      <c r="AA105" s="93" t="s">
        <v>330</v>
      </c>
      <c r="AB105" s="93" t="s">
        <v>335</v>
      </c>
      <c r="AC105" s="93" t="s">
        <v>346</v>
      </c>
      <c r="AD105" s="93" t="s">
        <v>361</v>
      </c>
      <c r="AE105" s="93" t="s">
        <v>366</v>
      </c>
      <c r="AF105" s="93" t="s">
        <v>371</v>
      </c>
      <c r="AG105" s="93" t="s">
        <v>376</v>
      </c>
      <c r="AH105" s="93" t="s">
        <v>381</v>
      </c>
      <c r="AI105" s="93" t="s">
        <v>410</v>
      </c>
      <c r="AJ105" s="93" t="s">
        <v>444</v>
      </c>
      <c r="AK105" s="93" t="s">
        <v>459</v>
      </c>
      <c r="AL105" s="93" t="s">
        <v>474</v>
      </c>
      <c r="AM105" s="93" t="s">
        <v>484</v>
      </c>
      <c r="AN105" s="93" t="s">
        <v>489</v>
      </c>
      <c r="AO105" s="93" t="s">
        <v>494</v>
      </c>
      <c r="AP105" s="93" t="s">
        <v>499</v>
      </c>
      <c r="AQ105" s="93" t="s">
        <v>504</v>
      </c>
      <c r="AR105" s="93" t="s">
        <v>509</v>
      </c>
      <c r="AS105" s="93" t="s">
        <v>514</v>
      </c>
      <c r="AT105" s="93" t="s">
        <v>524</v>
      </c>
      <c r="AU105" s="93" t="s">
        <v>529</v>
      </c>
      <c r="AV105" s="93" t="s">
        <v>534</v>
      </c>
      <c r="AW105" s="104" t="s">
        <v>539</v>
      </c>
    </row>
    <row r="106" spans="1:49" ht="60" customHeight="1" x14ac:dyDescent="0.35">
      <c r="A106" s="101" t="s">
        <v>1455</v>
      </c>
      <c r="B106" s="84" t="s">
        <v>1465</v>
      </c>
      <c r="C106" s="86" t="s">
        <v>1466</v>
      </c>
      <c r="D106" s="88" t="s">
        <v>1467</v>
      </c>
      <c r="E106" s="88" t="s">
        <v>1468</v>
      </c>
      <c r="F106" s="89" t="s">
        <v>1339</v>
      </c>
      <c r="G106" s="89" t="s">
        <v>1110</v>
      </c>
      <c r="H106" s="89">
        <v>2</v>
      </c>
      <c r="I106" s="91">
        <f>IF(COUNTIF(J106:AW106,"&lt;&gt;")=0,"",SUMPRODUCT(((Recommendations[ImplStatus]="Implemented")+(Recommendations[ImplStatus]="Compensated"))*ISNUMBER(MATCH(Recommendations[Id],J106:AW106,0)))/COUNTIF(J106:AW106,"&lt;&gt;"))</f>
        <v>0</v>
      </c>
      <c r="J106" s="93" t="s">
        <v>315</v>
      </c>
      <c r="K106" s="93" t="s">
        <v>464</v>
      </c>
      <c r="L106" s="93" t="s">
        <v>469</v>
      </c>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1455</v>
      </c>
      <c r="B107" s="84" t="s">
        <v>1469</v>
      </c>
      <c r="C107" s="86" t="s">
        <v>1470</v>
      </c>
      <c r="D107" s="88" t="s">
        <v>1471</v>
      </c>
      <c r="E107" s="88" t="s">
        <v>1472</v>
      </c>
      <c r="F107" s="89" t="s">
        <v>1185</v>
      </c>
      <c r="G107" s="89" t="s">
        <v>1126</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1455</v>
      </c>
      <c r="B108" s="84" t="s">
        <v>1473</v>
      </c>
      <c r="C108" s="86" t="s">
        <v>1474</v>
      </c>
      <c r="D108" s="88" t="s">
        <v>1475</v>
      </c>
      <c r="E108" s="88" t="s">
        <v>1476</v>
      </c>
      <c r="F108" s="89" t="s">
        <v>1339</v>
      </c>
      <c r="G108" s="89" t="s">
        <v>1110</v>
      </c>
      <c r="H108" s="89">
        <v>2</v>
      </c>
      <c r="I108" s="91">
        <f>IF(COUNTIF(J108:AW108,"&lt;&gt;")=0,"",SUMPRODUCT(((Recommendations[ImplStatus]="Implemented")+(Recommendations[ImplStatus]="Compensated"))*ISNUMBER(MATCH(Recommendations[Id],J108:AW108,0)))/COUNTIF(J108:AW108,"&lt;&gt;"))</f>
        <v>0</v>
      </c>
      <c r="J108" s="93" t="s">
        <v>198</v>
      </c>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1455</v>
      </c>
      <c r="B109" s="84" t="s">
        <v>1477</v>
      </c>
      <c r="C109" s="86" t="s">
        <v>1478</v>
      </c>
      <c r="D109" s="88" t="s">
        <v>1479</v>
      </c>
      <c r="E109" s="88" t="s">
        <v>1480</v>
      </c>
      <c r="F109" s="89" t="s">
        <v>1339</v>
      </c>
      <c r="G109" s="89" t="s">
        <v>1110</v>
      </c>
      <c r="H109" s="89">
        <v>2</v>
      </c>
      <c r="I109" s="91">
        <f>IF(COUNTIF(J109:AW109,"&lt;&gt;")=0,"",SUMPRODUCT(((Recommendations[ImplStatus]="Implemented")+(Recommendations[ImplStatus]="Compensated"))*ISNUMBER(MATCH(Recommendations[Id],J109:AW109,0)))/COUNTIF(J109:AW109,"&lt;&gt;"))</f>
        <v>0</v>
      </c>
      <c r="J109" s="93" t="s">
        <v>160</v>
      </c>
      <c r="K109" s="93" t="s">
        <v>165</v>
      </c>
      <c r="L109" s="93" t="s">
        <v>175</v>
      </c>
      <c r="M109" s="93" t="s">
        <v>180</v>
      </c>
      <c r="N109" s="93" t="s">
        <v>208</v>
      </c>
      <c r="O109" s="93" t="s">
        <v>229</v>
      </c>
      <c r="P109" s="93" t="s">
        <v>341</v>
      </c>
      <c r="Q109" s="93" t="s">
        <v>479</v>
      </c>
      <c r="R109" s="93" t="s">
        <v>569</v>
      </c>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1455</v>
      </c>
      <c r="B110" s="84" t="s">
        <v>1481</v>
      </c>
      <c r="C110" s="86" t="s">
        <v>1482</v>
      </c>
      <c r="D110" s="88" t="s">
        <v>1483</v>
      </c>
      <c r="E110" s="88" t="s">
        <v>1484</v>
      </c>
      <c r="F110" s="89" t="s">
        <v>1067</v>
      </c>
      <c r="G110" s="89" t="s">
        <v>1110</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1455</v>
      </c>
      <c r="B111" s="84" t="s">
        <v>1485</v>
      </c>
      <c r="C111" s="86" t="s">
        <v>1486</v>
      </c>
      <c r="D111" s="88" t="s">
        <v>1487</v>
      </c>
      <c r="E111" s="88" t="s">
        <v>1488</v>
      </c>
      <c r="F111" s="89" t="s">
        <v>1067</v>
      </c>
      <c r="G111" s="89" t="s">
        <v>1110</v>
      </c>
      <c r="H111" s="89">
        <v>3</v>
      </c>
      <c r="I111" s="91">
        <f>IF(COUNTIF(J111:AW111,"&lt;&gt;")=0,"",SUMPRODUCT(((Recommendations[ImplStatus]="Implemented")+(Recommendations[ImplStatus]="Compensated"))*ISNUMBER(MATCH(Recommendations[Id],J111:AW111,0)))/COUNTIF(J111:AW111,"&lt;&gt;"))</f>
        <v>0</v>
      </c>
      <c r="J111" s="93" t="s">
        <v>315</v>
      </c>
      <c r="K111" s="93" t="s">
        <v>464</v>
      </c>
      <c r="L111" s="93" t="s">
        <v>469</v>
      </c>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1489</v>
      </c>
      <c r="B112" s="83">
        <v>13</v>
      </c>
      <c r="C112" s="85" t="s">
        <v>21</v>
      </c>
      <c r="D112" s="87" t="s">
        <v>1490</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1489</v>
      </c>
      <c r="B113" s="84" t="s">
        <v>1491</v>
      </c>
      <c r="C113" s="86" t="s">
        <v>1492</v>
      </c>
      <c r="D113" s="88" t="s">
        <v>1493</v>
      </c>
      <c r="E113" s="88" t="s">
        <v>1494</v>
      </c>
      <c r="F113" s="89" t="s">
        <v>1339</v>
      </c>
      <c r="G113" s="89" t="s">
        <v>1078</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1489</v>
      </c>
      <c r="B114" s="84" t="s">
        <v>1495</v>
      </c>
      <c r="C114" s="86" t="s">
        <v>1496</v>
      </c>
      <c r="D114" s="88" t="s">
        <v>1497</v>
      </c>
      <c r="E114" s="88" t="s">
        <v>1498</v>
      </c>
      <c r="F114" s="89" t="s">
        <v>1067</v>
      </c>
      <c r="G114" s="89" t="s">
        <v>1078</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1489</v>
      </c>
      <c r="B115" s="84" t="s">
        <v>1499</v>
      </c>
      <c r="C115" s="86" t="s">
        <v>1500</v>
      </c>
      <c r="D115" s="88" t="s">
        <v>1501</v>
      </c>
      <c r="E115" s="88" t="s">
        <v>1502</v>
      </c>
      <c r="F115" s="89" t="s">
        <v>1339</v>
      </c>
      <c r="G115" s="89" t="s">
        <v>1078</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1489</v>
      </c>
      <c r="B116" s="84" t="s">
        <v>1503</v>
      </c>
      <c r="C116" s="86" t="s">
        <v>1504</v>
      </c>
      <c r="D116" s="88" t="s">
        <v>1505</v>
      </c>
      <c r="E116" s="88" t="s">
        <v>1506</v>
      </c>
      <c r="F116" s="89" t="s">
        <v>1339</v>
      </c>
      <c r="G116" s="89" t="s">
        <v>1110</v>
      </c>
      <c r="H116" s="89">
        <v>2</v>
      </c>
      <c r="I116" s="91">
        <f>IF(COUNTIF(J116:AW116,"&lt;&gt;")=0,"",SUMPRODUCT(((Recommendations[ImplStatus]="Implemented")+(Recommendations[ImplStatus]="Compensated"))*ISNUMBER(MATCH(Recommendations[Id],J116:AW116,0)))/COUNTIF(J116:AW116,"&lt;&gt;"))</f>
        <v>0</v>
      </c>
      <c r="J116" s="93" t="s">
        <v>405</v>
      </c>
      <c r="K116" s="93" t="s">
        <v>415</v>
      </c>
      <c r="L116" s="93" t="s">
        <v>420</v>
      </c>
      <c r="M116" s="93" t="s">
        <v>430</v>
      </c>
      <c r="N116" s="93" t="s">
        <v>435</v>
      </c>
      <c r="O116" s="93" t="s">
        <v>440</v>
      </c>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1489</v>
      </c>
      <c r="B117" s="84" t="s">
        <v>1507</v>
      </c>
      <c r="C117" s="86" t="s">
        <v>1508</v>
      </c>
      <c r="D117" s="88" t="s">
        <v>1509</v>
      </c>
      <c r="E117" s="88" t="s">
        <v>1510</v>
      </c>
      <c r="F117" s="89" t="s">
        <v>1067</v>
      </c>
      <c r="G117" s="89" t="s">
        <v>1110</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1489</v>
      </c>
      <c r="B118" s="84" t="s">
        <v>1511</v>
      </c>
      <c r="C118" s="86" t="s">
        <v>1512</v>
      </c>
      <c r="D118" s="88" t="s">
        <v>1513</v>
      </c>
      <c r="E118" s="88" t="s">
        <v>1514</v>
      </c>
      <c r="F118" s="89" t="s">
        <v>1339</v>
      </c>
      <c r="G118" s="89" t="s">
        <v>1078</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1489</v>
      </c>
      <c r="B119" s="84" t="s">
        <v>1515</v>
      </c>
      <c r="C119" s="86" t="s">
        <v>1516</v>
      </c>
      <c r="D119" s="88" t="s">
        <v>1517</v>
      </c>
      <c r="E119" s="88" t="s">
        <v>1518</v>
      </c>
      <c r="F119" s="89" t="s">
        <v>1067</v>
      </c>
      <c r="G119" s="89" t="s">
        <v>1110</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1489</v>
      </c>
      <c r="B120" s="84" t="s">
        <v>1519</v>
      </c>
      <c r="C120" s="86" t="s">
        <v>1520</v>
      </c>
      <c r="D120" s="88" t="s">
        <v>1521</v>
      </c>
      <c r="E120" s="88" t="s">
        <v>1522</v>
      </c>
      <c r="F120" s="89" t="s">
        <v>1339</v>
      </c>
      <c r="G120" s="89" t="s">
        <v>1110</v>
      </c>
      <c r="H120" s="89">
        <v>3</v>
      </c>
      <c r="I120" s="91">
        <f>IF(COUNTIF(J120:AW120,"&lt;&gt;")=0,"",SUMPRODUCT(((Recommendations[ImplStatus]="Implemented")+(Recommendations[ImplStatus]="Compensated"))*ISNUMBER(MATCH(Recommendations[Id],J120:AW120,0)))/COUNTIF(J120:AW120,"&lt;&gt;"))</f>
        <v>0</v>
      </c>
      <c r="J120" s="93" t="s">
        <v>234</v>
      </c>
      <c r="K120" s="93" t="s">
        <v>255</v>
      </c>
      <c r="L120" s="93" t="s">
        <v>356</v>
      </c>
      <c r="M120" s="93" t="s">
        <v>519</v>
      </c>
      <c r="N120" s="93" t="s">
        <v>627</v>
      </c>
      <c r="O120" s="93" t="s">
        <v>662</v>
      </c>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1489</v>
      </c>
      <c r="B121" s="84" t="s">
        <v>1523</v>
      </c>
      <c r="C121" s="86" t="s">
        <v>1524</v>
      </c>
      <c r="D121" s="88" t="s">
        <v>1525</v>
      </c>
      <c r="E121" s="88" t="s">
        <v>1526</v>
      </c>
      <c r="F121" s="89" t="s">
        <v>1339</v>
      </c>
      <c r="G121" s="89" t="s">
        <v>1110</v>
      </c>
      <c r="H121" s="89">
        <v>3</v>
      </c>
      <c r="I121" s="91">
        <f>IF(COUNTIF(J121:AW121,"&lt;&gt;")=0,"",SUMPRODUCT(((Recommendations[ImplStatus]="Implemented")+(Recommendations[ImplStatus]="Compensated"))*ISNUMBER(MATCH(Recommendations[Id],J121:AW121,0)))/COUNTIF(J121:AW121,"&lt;&gt;"))</f>
        <v>0</v>
      </c>
      <c r="J121" s="93" t="s">
        <v>223</v>
      </c>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1489</v>
      </c>
      <c r="B122" s="84" t="s">
        <v>1527</v>
      </c>
      <c r="C122" s="86" t="s">
        <v>1528</v>
      </c>
      <c r="D122" s="88" t="s">
        <v>1529</v>
      </c>
      <c r="E122" s="88" t="s">
        <v>1530</v>
      </c>
      <c r="F122" s="89" t="s">
        <v>1339</v>
      </c>
      <c r="G122" s="89" t="s">
        <v>1110</v>
      </c>
      <c r="H122" s="89">
        <v>3</v>
      </c>
      <c r="I122" s="91">
        <f>IF(COUNTIF(J122:AW122,"&lt;&gt;")=0,"",SUMPRODUCT(((Recommendations[ImplStatus]="Implemented")+(Recommendations[ImplStatus]="Compensated"))*ISNUMBER(MATCH(Recommendations[Id],J122:AW122,0)))/COUNTIF(J122:AW122,"&lt;&gt;"))</f>
        <v>0</v>
      </c>
      <c r="J122" s="93" t="s">
        <v>405</v>
      </c>
      <c r="K122" s="93" t="s">
        <v>420</v>
      </c>
      <c r="L122" s="93" t="s">
        <v>430</v>
      </c>
      <c r="M122" s="93" t="s">
        <v>435</v>
      </c>
      <c r="N122" s="93" t="s">
        <v>440</v>
      </c>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1489</v>
      </c>
      <c r="B123" s="84" t="s">
        <v>1531</v>
      </c>
      <c r="C123" s="86" t="s">
        <v>1532</v>
      </c>
      <c r="D123" s="88" t="s">
        <v>1533</v>
      </c>
      <c r="E123" s="88" t="s">
        <v>1534</v>
      </c>
      <c r="F123" s="89" t="s">
        <v>1339</v>
      </c>
      <c r="G123" s="89" t="s">
        <v>1078</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1535</v>
      </c>
      <c r="B124" s="83">
        <v>14</v>
      </c>
      <c r="C124" s="85" t="s">
        <v>21</v>
      </c>
      <c r="D124" s="87" t="s">
        <v>1536</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1535</v>
      </c>
      <c r="B125" s="84" t="s">
        <v>1537</v>
      </c>
      <c r="C125" s="86" t="s">
        <v>1538</v>
      </c>
      <c r="D125" s="88" t="s">
        <v>1539</v>
      </c>
      <c r="E125" s="88" t="s">
        <v>1540</v>
      </c>
      <c r="F125" s="89" t="s">
        <v>1185</v>
      </c>
      <c r="G125" s="89" t="s">
        <v>1126</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1535</v>
      </c>
      <c r="B126" s="84" t="s">
        <v>1541</v>
      </c>
      <c r="C126" s="86" t="s">
        <v>1542</v>
      </c>
      <c r="D126" s="88" t="s">
        <v>1543</v>
      </c>
      <c r="E126" s="88" t="s">
        <v>1544</v>
      </c>
      <c r="F126" s="89" t="s">
        <v>1210</v>
      </c>
      <c r="G126" s="89" t="s">
        <v>1110</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1535</v>
      </c>
      <c r="B127" s="84" t="s">
        <v>1545</v>
      </c>
      <c r="C127" s="86" t="s">
        <v>1546</v>
      </c>
      <c r="D127" s="88" t="s">
        <v>1547</v>
      </c>
      <c r="E127" s="88" t="s">
        <v>1548</v>
      </c>
      <c r="F127" s="89" t="s">
        <v>1210</v>
      </c>
      <c r="G127" s="89" t="s">
        <v>1110</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1535</v>
      </c>
      <c r="B128" s="84" t="s">
        <v>1549</v>
      </c>
      <c r="C128" s="86" t="s">
        <v>1550</v>
      </c>
      <c r="D128" s="88" t="s">
        <v>1551</v>
      </c>
      <c r="E128" s="88" t="s">
        <v>1552</v>
      </c>
      <c r="F128" s="89" t="s">
        <v>1210</v>
      </c>
      <c r="G128" s="89" t="s">
        <v>1110</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1535</v>
      </c>
      <c r="B129" s="84" t="s">
        <v>1553</v>
      </c>
      <c r="C129" s="86" t="s">
        <v>1554</v>
      </c>
      <c r="D129" s="88" t="s">
        <v>1555</v>
      </c>
      <c r="E129" s="88" t="s">
        <v>1556</v>
      </c>
      <c r="F129" s="89" t="s">
        <v>1210</v>
      </c>
      <c r="G129" s="89" t="s">
        <v>1110</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1535</v>
      </c>
      <c r="B130" s="84" t="s">
        <v>1557</v>
      </c>
      <c r="C130" s="86" t="s">
        <v>1558</v>
      </c>
      <c r="D130" s="88" t="s">
        <v>1559</v>
      </c>
      <c r="E130" s="88" t="s">
        <v>1560</v>
      </c>
      <c r="F130" s="89" t="s">
        <v>1210</v>
      </c>
      <c r="G130" s="89" t="s">
        <v>1110</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1535</v>
      </c>
      <c r="B131" s="84" t="s">
        <v>1561</v>
      </c>
      <c r="C131" s="86" t="s">
        <v>1562</v>
      </c>
      <c r="D131" s="88" t="s">
        <v>1563</v>
      </c>
      <c r="E131" s="88" t="s">
        <v>1564</v>
      </c>
      <c r="F131" s="89" t="s">
        <v>1210</v>
      </c>
      <c r="G131" s="89" t="s">
        <v>1110</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1535</v>
      </c>
      <c r="B132" s="84" t="s">
        <v>1565</v>
      </c>
      <c r="C132" s="86" t="s">
        <v>1566</v>
      </c>
      <c r="D132" s="88" t="s">
        <v>1567</v>
      </c>
      <c r="E132" s="88" t="s">
        <v>1568</v>
      </c>
      <c r="F132" s="89" t="s">
        <v>1210</v>
      </c>
      <c r="G132" s="89" t="s">
        <v>1110</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1535</v>
      </c>
      <c r="B133" s="84" t="s">
        <v>1569</v>
      </c>
      <c r="C133" s="86" t="s">
        <v>1570</v>
      </c>
      <c r="D133" s="88" t="s">
        <v>1571</v>
      </c>
      <c r="E133" s="88" t="s">
        <v>1572</v>
      </c>
      <c r="F133" s="89" t="s">
        <v>1210</v>
      </c>
      <c r="G133" s="89" t="s">
        <v>1110</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1573</v>
      </c>
      <c r="B134" s="83">
        <v>15</v>
      </c>
      <c r="C134" s="85" t="s">
        <v>21</v>
      </c>
      <c r="D134" s="87" t="s">
        <v>1574</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1573</v>
      </c>
      <c r="B135" s="84" t="s">
        <v>1575</v>
      </c>
      <c r="C135" s="86" t="s">
        <v>1576</v>
      </c>
      <c r="D135" s="88" t="s">
        <v>1577</v>
      </c>
      <c r="E135" s="88" t="s">
        <v>1578</v>
      </c>
      <c r="F135" s="89" t="s">
        <v>1210</v>
      </c>
      <c r="G135" s="89" t="s">
        <v>1068</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1573</v>
      </c>
      <c r="B136" s="84" t="s">
        <v>1579</v>
      </c>
      <c r="C136" s="86" t="s">
        <v>1580</v>
      </c>
      <c r="D136" s="88" t="s">
        <v>1581</v>
      </c>
      <c r="E136" s="88" t="s">
        <v>1582</v>
      </c>
      <c r="F136" s="89" t="s">
        <v>1185</v>
      </c>
      <c r="G136" s="89" t="s">
        <v>1126</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1573</v>
      </c>
      <c r="B137" s="84" t="s">
        <v>1583</v>
      </c>
      <c r="C137" s="86" t="s">
        <v>1584</v>
      </c>
      <c r="D137" s="88" t="s">
        <v>1585</v>
      </c>
      <c r="E137" s="88" t="s">
        <v>1586</v>
      </c>
      <c r="F137" s="89" t="s">
        <v>1210</v>
      </c>
      <c r="G137" s="89" t="s">
        <v>1126</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1573</v>
      </c>
      <c r="B138" s="84" t="s">
        <v>1587</v>
      </c>
      <c r="C138" s="86" t="s">
        <v>1588</v>
      </c>
      <c r="D138" s="88" t="s">
        <v>1589</v>
      </c>
      <c r="E138" s="88" t="s">
        <v>1590</v>
      </c>
      <c r="F138" s="89" t="s">
        <v>1185</v>
      </c>
      <c r="G138" s="89" t="s">
        <v>1126</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1573</v>
      </c>
      <c r="B139" s="84" t="s">
        <v>1591</v>
      </c>
      <c r="C139" s="86" t="s">
        <v>1592</v>
      </c>
      <c r="D139" s="88" t="s">
        <v>1593</v>
      </c>
      <c r="E139" s="88" t="s">
        <v>1594</v>
      </c>
      <c r="F139" s="89" t="s">
        <v>1210</v>
      </c>
      <c r="G139" s="89" t="s">
        <v>1126</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1573</v>
      </c>
      <c r="B140" s="84" t="s">
        <v>1595</v>
      </c>
      <c r="C140" s="86" t="s">
        <v>1596</v>
      </c>
      <c r="D140" s="88" t="s">
        <v>1597</v>
      </c>
      <c r="E140" s="88" t="s">
        <v>1598</v>
      </c>
      <c r="F140" s="89" t="s">
        <v>1125</v>
      </c>
      <c r="G140" s="89" t="s">
        <v>1126</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1573</v>
      </c>
      <c r="B141" s="84" t="s">
        <v>1599</v>
      </c>
      <c r="C141" s="86" t="s">
        <v>1600</v>
      </c>
      <c r="D141" s="88" t="s">
        <v>1601</v>
      </c>
      <c r="E141" s="88" t="s">
        <v>1602</v>
      </c>
      <c r="F141" s="89" t="s">
        <v>1125</v>
      </c>
      <c r="G141" s="89" t="s">
        <v>1110</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1603</v>
      </c>
      <c r="B142" s="83">
        <v>16</v>
      </c>
      <c r="C142" s="85" t="s">
        <v>21</v>
      </c>
      <c r="D142" s="87" t="s">
        <v>1604</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1603</v>
      </c>
      <c r="B143" s="84" t="s">
        <v>1605</v>
      </c>
      <c r="C143" s="86" t="s">
        <v>1606</v>
      </c>
      <c r="D143" s="88" t="s">
        <v>1607</v>
      </c>
      <c r="E143" s="88" t="s">
        <v>1608</v>
      </c>
      <c r="F143" s="89" t="s">
        <v>1185</v>
      </c>
      <c r="G143" s="89" t="s">
        <v>1126</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1603</v>
      </c>
      <c r="B144" s="84" t="s">
        <v>1609</v>
      </c>
      <c r="C144" s="86" t="s">
        <v>1610</v>
      </c>
      <c r="D144" s="88" t="s">
        <v>1611</v>
      </c>
      <c r="E144" s="88" t="s">
        <v>1612</v>
      </c>
      <c r="F144" s="89" t="s">
        <v>1185</v>
      </c>
      <c r="G144" s="89" t="s">
        <v>1126</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1603</v>
      </c>
      <c r="B145" s="84" t="s">
        <v>1613</v>
      </c>
      <c r="C145" s="86" t="s">
        <v>1614</v>
      </c>
      <c r="D145" s="88" t="s">
        <v>1615</v>
      </c>
      <c r="E145" s="88" t="s">
        <v>1616</v>
      </c>
      <c r="F145" s="89" t="s">
        <v>1093</v>
      </c>
      <c r="G145" s="89" t="s">
        <v>1078</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1603</v>
      </c>
      <c r="B146" s="84" t="s">
        <v>1617</v>
      </c>
      <c r="C146" s="86" t="s">
        <v>1618</v>
      </c>
      <c r="D146" s="88" t="s">
        <v>1619</v>
      </c>
      <c r="E146" s="88" t="s">
        <v>1620</v>
      </c>
      <c r="F146" s="89" t="s">
        <v>1093</v>
      </c>
      <c r="G146" s="89" t="s">
        <v>1068</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1603</v>
      </c>
      <c r="B147" s="84" t="s">
        <v>1621</v>
      </c>
      <c r="C147" s="86" t="s">
        <v>1622</v>
      </c>
      <c r="D147" s="88" t="s">
        <v>1623</v>
      </c>
      <c r="E147" s="88" t="s">
        <v>1624</v>
      </c>
      <c r="F147" s="89" t="s">
        <v>1093</v>
      </c>
      <c r="G147" s="89" t="s">
        <v>1110</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1603</v>
      </c>
      <c r="B148" s="84" t="s">
        <v>1625</v>
      </c>
      <c r="C148" s="86" t="s">
        <v>1626</v>
      </c>
      <c r="D148" s="88" t="s">
        <v>1627</v>
      </c>
      <c r="E148" s="88" t="s">
        <v>1628</v>
      </c>
      <c r="F148" s="89" t="s">
        <v>1185</v>
      </c>
      <c r="G148" s="89" t="s">
        <v>1126</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1603</v>
      </c>
      <c r="B149" s="84" t="s">
        <v>1629</v>
      </c>
      <c r="C149" s="86" t="s">
        <v>1630</v>
      </c>
      <c r="D149" s="88" t="s">
        <v>1631</v>
      </c>
      <c r="E149" s="88" t="s">
        <v>1632</v>
      </c>
      <c r="F149" s="89" t="s">
        <v>1093</v>
      </c>
      <c r="G149" s="89" t="s">
        <v>1110</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1603</v>
      </c>
      <c r="B150" s="84" t="s">
        <v>1633</v>
      </c>
      <c r="C150" s="86" t="s">
        <v>1634</v>
      </c>
      <c r="D150" s="88" t="s">
        <v>1635</v>
      </c>
      <c r="E150" s="88" t="s">
        <v>1636</v>
      </c>
      <c r="F150" s="89" t="s">
        <v>1339</v>
      </c>
      <c r="G150" s="89" t="s">
        <v>1110</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1603</v>
      </c>
      <c r="B151" s="84" t="s">
        <v>1637</v>
      </c>
      <c r="C151" s="86" t="s">
        <v>1638</v>
      </c>
      <c r="D151" s="88" t="s">
        <v>1639</v>
      </c>
      <c r="E151" s="88" t="s">
        <v>1640</v>
      </c>
      <c r="F151" s="89" t="s">
        <v>1210</v>
      </c>
      <c r="G151" s="89" t="s">
        <v>1110</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1603</v>
      </c>
      <c r="B152" s="84" t="s">
        <v>1641</v>
      </c>
      <c r="C152" s="86" t="s">
        <v>1642</v>
      </c>
      <c r="D152" s="88" t="s">
        <v>1643</v>
      </c>
      <c r="E152" s="88" t="s">
        <v>1644</v>
      </c>
      <c r="F152" s="89" t="s">
        <v>1093</v>
      </c>
      <c r="G152" s="89" t="s">
        <v>1110</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1603</v>
      </c>
      <c r="B153" s="84" t="s">
        <v>1645</v>
      </c>
      <c r="C153" s="86" t="s">
        <v>1646</v>
      </c>
      <c r="D153" s="88" t="s">
        <v>1647</v>
      </c>
      <c r="E153" s="88" t="s">
        <v>1648</v>
      </c>
      <c r="F153" s="89" t="s">
        <v>1093</v>
      </c>
      <c r="G153" s="89" t="s">
        <v>1110</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1603</v>
      </c>
      <c r="B154" s="84" t="s">
        <v>1649</v>
      </c>
      <c r="C154" s="86" t="s">
        <v>1650</v>
      </c>
      <c r="D154" s="88" t="s">
        <v>1651</v>
      </c>
      <c r="E154" s="88" t="s">
        <v>1652</v>
      </c>
      <c r="F154" s="89" t="s">
        <v>1093</v>
      </c>
      <c r="G154" s="89" t="s">
        <v>1110</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1603</v>
      </c>
      <c r="B155" s="84" t="s">
        <v>1653</v>
      </c>
      <c r="C155" s="86" t="s">
        <v>1654</v>
      </c>
      <c r="D155" s="88" t="s">
        <v>1655</v>
      </c>
      <c r="E155" s="88" t="s">
        <v>1656</v>
      </c>
      <c r="F155" s="89" t="s">
        <v>1093</v>
      </c>
      <c r="G155" s="89" t="s">
        <v>1078</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1603</v>
      </c>
      <c r="B156" s="84" t="s">
        <v>1657</v>
      </c>
      <c r="C156" s="86" t="s">
        <v>1658</v>
      </c>
      <c r="D156" s="88" t="s">
        <v>1659</v>
      </c>
      <c r="E156" s="88" t="s">
        <v>1660</v>
      </c>
      <c r="F156" s="89" t="s">
        <v>1093</v>
      </c>
      <c r="G156" s="89" t="s">
        <v>1110</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1661</v>
      </c>
      <c r="B157" s="83">
        <v>17</v>
      </c>
      <c r="C157" s="85" t="s">
        <v>21</v>
      </c>
      <c r="D157" s="87" t="s">
        <v>1662</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1661</v>
      </c>
      <c r="B158" s="84" t="s">
        <v>1663</v>
      </c>
      <c r="C158" s="86" t="s">
        <v>1664</v>
      </c>
      <c r="D158" s="88" t="s">
        <v>1665</v>
      </c>
      <c r="E158" s="88" t="s">
        <v>1666</v>
      </c>
      <c r="F158" s="89" t="s">
        <v>1210</v>
      </c>
      <c r="G158" s="89" t="s">
        <v>1073</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1661</v>
      </c>
      <c r="B159" s="84" t="s">
        <v>1667</v>
      </c>
      <c r="C159" s="86" t="s">
        <v>1668</v>
      </c>
      <c r="D159" s="88" t="s">
        <v>1669</v>
      </c>
      <c r="E159" s="88" t="s">
        <v>1670</v>
      </c>
      <c r="F159" s="89" t="s">
        <v>1185</v>
      </c>
      <c r="G159" s="89" t="s">
        <v>1126</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1661</v>
      </c>
      <c r="B160" s="84" t="s">
        <v>1671</v>
      </c>
      <c r="C160" s="86" t="s">
        <v>1672</v>
      </c>
      <c r="D160" s="88" t="s">
        <v>1673</v>
      </c>
      <c r="E160" s="88" t="s">
        <v>1674</v>
      </c>
      <c r="F160" s="89" t="s">
        <v>1185</v>
      </c>
      <c r="G160" s="89" t="s">
        <v>1126</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1661</v>
      </c>
      <c r="B161" s="84" t="s">
        <v>1675</v>
      </c>
      <c r="C161" s="86" t="s">
        <v>1676</v>
      </c>
      <c r="D161" s="88" t="s">
        <v>1677</v>
      </c>
      <c r="E161" s="88" t="s">
        <v>1678</v>
      </c>
      <c r="F161" s="89" t="s">
        <v>1185</v>
      </c>
      <c r="G161" s="89" t="s">
        <v>1126</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1661</v>
      </c>
      <c r="B162" s="84" t="s">
        <v>1679</v>
      </c>
      <c r="C162" s="86" t="s">
        <v>1680</v>
      </c>
      <c r="D162" s="88" t="s">
        <v>1681</v>
      </c>
      <c r="E162" s="88" t="s">
        <v>1682</v>
      </c>
      <c r="F162" s="89" t="s">
        <v>1210</v>
      </c>
      <c r="G162" s="89" t="s">
        <v>1073</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1661</v>
      </c>
      <c r="B163" s="84" t="s">
        <v>1683</v>
      </c>
      <c r="C163" s="86" t="s">
        <v>1684</v>
      </c>
      <c r="D163" s="88" t="s">
        <v>1685</v>
      </c>
      <c r="E163" s="88" t="s">
        <v>1686</v>
      </c>
      <c r="F163" s="89" t="s">
        <v>1210</v>
      </c>
      <c r="G163" s="89" t="s">
        <v>1073</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1661</v>
      </c>
      <c r="B164" s="84" t="s">
        <v>1687</v>
      </c>
      <c r="C164" s="86" t="s">
        <v>1688</v>
      </c>
      <c r="D164" s="88" t="s">
        <v>1689</v>
      </c>
      <c r="E164" s="88" t="s">
        <v>1690</v>
      </c>
      <c r="F164" s="89" t="s">
        <v>1210</v>
      </c>
      <c r="G164" s="89" t="s">
        <v>1442</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1661</v>
      </c>
      <c r="B165" s="84" t="s">
        <v>1691</v>
      </c>
      <c r="C165" s="86" t="s">
        <v>1692</v>
      </c>
      <c r="D165" s="88" t="s">
        <v>1693</v>
      </c>
      <c r="E165" s="88" t="s">
        <v>1694</v>
      </c>
      <c r="F165" s="89" t="s">
        <v>1210</v>
      </c>
      <c r="G165" s="89" t="s">
        <v>1442</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1661</v>
      </c>
      <c r="B166" s="84" t="s">
        <v>1695</v>
      </c>
      <c r="C166" s="86" t="s">
        <v>1696</v>
      </c>
      <c r="D166" s="88" t="s">
        <v>1697</v>
      </c>
      <c r="E166" s="88" t="s">
        <v>1698</v>
      </c>
      <c r="F166" s="89" t="s">
        <v>1185</v>
      </c>
      <c r="G166" s="89" t="s">
        <v>1442</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1699</v>
      </c>
      <c r="B167" s="83">
        <v>18</v>
      </c>
      <c r="C167" s="85" t="s">
        <v>21</v>
      </c>
      <c r="D167" s="87" t="s">
        <v>1700</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1699</v>
      </c>
      <c r="B168" s="84" t="s">
        <v>1701</v>
      </c>
      <c r="C168" s="86" t="s">
        <v>1702</v>
      </c>
      <c r="D168" s="88" t="s">
        <v>1703</v>
      </c>
      <c r="E168" s="88" t="s">
        <v>1704</v>
      </c>
      <c r="F168" s="89" t="s">
        <v>1185</v>
      </c>
      <c r="G168" s="89" t="s">
        <v>1126</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1699</v>
      </c>
      <c r="B169" s="84" t="s">
        <v>1705</v>
      </c>
      <c r="C169" s="86" t="s">
        <v>1706</v>
      </c>
      <c r="D169" s="88" t="s">
        <v>1707</v>
      </c>
      <c r="E169" s="88" t="s">
        <v>1708</v>
      </c>
      <c r="F169" s="89" t="s">
        <v>1339</v>
      </c>
      <c r="G169" s="89" t="s">
        <v>1078</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1699</v>
      </c>
      <c r="B170" s="84" t="s">
        <v>1709</v>
      </c>
      <c r="C170" s="86" t="s">
        <v>1710</v>
      </c>
      <c r="D170" s="88" t="s">
        <v>1711</v>
      </c>
      <c r="E170" s="88" t="s">
        <v>1712</v>
      </c>
      <c r="F170" s="89" t="s">
        <v>1339</v>
      </c>
      <c r="G170" s="89" t="s">
        <v>1110</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1699</v>
      </c>
      <c r="B171" s="84" t="s">
        <v>1713</v>
      </c>
      <c r="C171" s="86" t="s">
        <v>1714</v>
      </c>
      <c r="D171" s="88" t="s">
        <v>1715</v>
      </c>
      <c r="E171" s="88" t="s">
        <v>1716</v>
      </c>
      <c r="F171" s="89" t="s">
        <v>1339</v>
      </c>
      <c r="G171" s="89" t="s">
        <v>1110</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1699</v>
      </c>
      <c r="B172" s="94" t="s">
        <v>1717</v>
      </c>
      <c r="C172" s="95" t="s">
        <v>1718</v>
      </c>
      <c r="D172" s="96" t="s">
        <v>1719</v>
      </c>
      <c r="E172" s="96" t="s">
        <v>1720</v>
      </c>
      <c r="F172" s="97" t="s">
        <v>1339</v>
      </c>
      <c r="G172" s="97" t="s">
        <v>1078</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770</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IFERROR(INDEX('Recommendations'!$H$2:$H$153, MATCH(J2,'Recommendations'!$A$2:$A$153,0))="Implemented", FALSE))</xm:f>
            <x14:dxf>
              <font>
                <color rgb="FF000000"/>
              </font>
              <fill>
                <patternFill>
                  <bgColor rgb="FF3C7D22"/>
                </patternFill>
              </fill>
            </x14:dxf>
          </x14:cfRule>
          <x14:cfRule type="expression" priority="2" id="{00000000-000E-0000-0400-000002000000}">
            <xm:f>AND(J2&lt;&gt;"", IFERROR(INDEX('Recommendations'!$H$2:$H$153, MATCH(J2,'Recommendations'!$A$2:$A$153,0))="Compensated", FALSE))</xm:f>
            <x14:dxf>
              <font>
                <color rgb="FF000000"/>
              </font>
              <fill>
                <patternFill>
                  <bgColor rgb="FFC6E0B4"/>
                </patternFill>
              </fill>
            </x14:dxf>
          </x14:cfRule>
          <x14:cfRule type="expression" priority="3" id="{00000000-000E-0000-0400-000003000000}">
            <xm:f>AND(J2&lt;&gt;"", IFERROR(INDEX('Recommendations'!$H$2:$H$153, MATCH(J2,'Recommendations'!$A$2:$A$153,0))="Testing", FALSE))</xm:f>
            <x14:dxf>
              <font>
                <color rgb="FF000000"/>
              </font>
              <fill>
                <patternFill>
                  <bgColor rgb="FFFFC000"/>
                </patternFill>
              </fill>
            </x14:dxf>
          </x14:cfRule>
          <x14:cfRule type="expression" priority="4" id="{00000000-000E-0000-0400-000004000000}">
            <xm:f>AND(J2&lt;&gt;"", IFERROR(INDEX('Recommendations'!$H$2:$H$153, MATCH(J2,'Recommendations'!$A$2:$A$153,0))="Failed", FALSE))</xm:f>
            <x14:dxf>
              <font>
                <color rgb="FF000000"/>
              </font>
              <fill>
                <patternFill>
                  <bgColor rgb="FFD82891"/>
                </patternFill>
              </fill>
            </x14:dxf>
          </x14:cfRule>
          <x14:cfRule type="expression" priority="5" id="{00000000-000E-0000-0400-000005000000}">
            <xm:f>AND(J2&lt;&gt;"", IFERROR(INDEX('Recommendations'!$H$2:$H$153, MATCH(J2,'Recommendations'!$A$2:$A$153,0))="Risk Accepted", FALSE))</xm:f>
            <x14:dxf>
              <font>
                <color rgb="FF000000"/>
              </font>
              <fill>
                <patternFill>
                  <bgColor rgb="FFD9D9D9"/>
                </patternFill>
              </fill>
            </x14:dxf>
          </x14:cfRule>
          <x14:cfRule type="expression" priority="6" id="{00000000-000E-0000-0400-000006000000}">
            <xm:f>AND(J2&lt;&gt;"", IFERROR(INDEX('Recommendations'!$H$2:$H$153, MATCH(J2,'Recommendations'!$A$2:$A$153,0))="N/A",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1721</v>
      </c>
      <c r="C1" s="124" t="s">
        <v>10</v>
      </c>
      <c r="D1" s="124" t="s">
        <v>926</v>
      </c>
      <c r="E1" s="124" t="s">
        <v>1722</v>
      </c>
      <c r="F1" s="124" t="s">
        <v>1723</v>
      </c>
      <c r="G1" s="124" t="s">
        <v>1020</v>
      </c>
      <c r="H1" s="124" t="s">
        <v>1021</v>
      </c>
      <c r="I1" s="124" t="s">
        <v>1022</v>
      </c>
      <c r="J1" s="124" t="s">
        <v>1023</v>
      </c>
      <c r="K1" s="124" t="s">
        <v>1024</v>
      </c>
      <c r="L1" s="124" t="s">
        <v>1025</v>
      </c>
      <c r="M1" s="124" t="s">
        <v>1026</v>
      </c>
      <c r="N1" s="124" t="s">
        <v>1027</v>
      </c>
      <c r="O1" s="124" t="s">
        <v>1028</v>
      </c>
      <c r="P1" s="124" t="s">
        <v>1029</v>
      </c>
      <c r="Q1" s="124" t="s">
        <v>1030</v>
      </c>
      <c r="R1" s="124" t="s">
        <v>1031</v>
      </c>
      <c r="S1" s="124" t="s">
        <v>1032</v>
      </c>
      <c r="T1" s="124" t="s">
        <v>1033</v>
      </c>
      <c r="U1" s="124" t="s">
        <v>1034</v>
      </c>
      <c r="V1" s="124" t="s">
        <v>1035</v>
      </c>
      <c r="W1" s="124" t="s">
        <v>1036</v>
      </c>
      <c r="X1" s="124" t="s">
        <v>1037</v>
      </c>
      <c r="Y1" s="124" t="s">
        <v>1038</v>
      </c>
      <c r="Z1" s="124" t="s">
        <v>1039</v>
      </c>
      <c r="AA1" s="124" t="s">
        <v>1040</v>
      </c>
      <c r="AB1" s="124" t="s">
        <v>1041</v>
      </c>
      <c r="AC1" s="124" t="s">
        <v>1042</v>
      </c>
      <c r="AD1" s="124" t="s">
        <v>1043</v>
      </c>
      <c r="AE1" s="124" t="s">
        <v>1044</v>
      </c>
      <c r="AF1" s="124" t="s">
        <v>1045</v>
      </c>
      <c r="AG1" s="124" t="s">
        <v>1046</v>
      </c>
      <c r="AH1" s="124" t="s">
        <v>1047</v>
      </c>
      <c r="AI1" s="124" t="s">
        <v>1048</v>
      </c>
      <c r="AJ1" s="124" t="s">
        <v>1049</v>
      </c>
      <c r="AK1" s="124" t="s">
        <v>1050</v>
      </c>
      <c r="AL1" s="124" t="s">
        <v>1051</v>
      </c>
      <c r="AM1" s="124" t="s">
        <v>1052</v>
      </c>
      <c r="AN1" s="124" t="s">
        <v>1053</v>
      </c>
      <c r="AO1" s="124" t="s">
        <v>1054</v>
      </c>
      <c r="AP1" s="124" t="s">
        <v>1055</v>
      </c>
      <c r="AQ1" s="124" t="s">
        <v>1056</v>
      </c>
      <c r="AR1" s="124" t="s">
        <v>1057</v>
      </c>
      <c r="AS1" s="124" t="s">
        <v>1058</v>
      </c>
      <c r="AT1" s="124" t="s">
        <v>1059</v>
      </c>
      <c r="AU1" s="125" t="s">
        <v>1060</v>
      </c>
    </row>
    <row r="2" spans="1:47" ht="60" customHeight="1" x14ac:dyDescent="0.35">
      <c r="A2" s="119" t="s">
        <v>1724</v>
      </c>
      <c r="B2" s="109" t="s">
        <v>1725</v>
      </c>
      <c r="C2" s="110" t="s">
        <v>1726</v>
      </c>
      <c r="D2" s="110" t="s">
        <v>1727</v>
      </c>
      <c r="E2" s="110" t="s">
        <v>1728</v>
      </c>
      <c r="F2" s="111" t="s">
        <v>1729</v>
      </c>
      <c r="G2" s="112">
        <f>IF(COUNTIF(H2:AU2,"&lt;&gt;")=0,"",SUMPRODUCT(((Recommendations[ImplStatus]="Implemented")+(Recommendations[ImplStatus]="Compensated"))*ISNUMBER(MATCH(Recommendations[Id],H2:AU2,0)))/COUNTIF(H2:AU2,"&lt;&gt;"))</f>
        <v>0</v>
      </c>
      <c r="H2" s="113" t="s">
        <v>50</v>
      </c>
      <c r="I2" s="113" t="s">
        <v>135</v>
      </c>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1730</v>
      </c>
      <c r="B3" s="109" t="s">
        <v>1731</v>
      </c>
      <c r="C3" s="110" t="s">
        <v>1732</v>
      </c>
      <c r="D3" s="110" t="s">
        <v>1733</v>
      </c>
      <c r="E3" s="110" t="s">
        <v>1734</v>
      </c>
      <c r="F3" s="111" t="s">
        <v>1735</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1736</v>
      </c>
      <c r="B4" s="109" t="s">
        <v>1737</v>
      </c>
      <c r="C4" s="110" t="s">
        <v>1738</v>
      </c>
      <c r="D4" s="110" t="s">
        <v>1739</v>
      </c>
      <c r="E4" s="110" t="s">
        <v>1740</v>
      </c>
      <c r="F4" s="111" t="s">
        <v>1741</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1742</v>
      </c>
      <c r="B5" s="109" t="s">
        <v>1743</v>
      </c>
      <c r="C5" s="110" t="s">
        <v>1744</v>
      </c>
      <c r="D5" s="110" t="s">
        <v>1745</v>
      </c>
      <c r="E5" s="110" t="s">
        <v>1746</v>
      </c>
      <c r="F5" s="111" t="s">
        <v>1747</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1748</v>
      </c>
      <c r="B6" s="109" t="s">
        <v>1749</v>
      </c>
      <c r="C6" s="110" t="s">
        <v>1750</v>
      </c>
      <c r="D6" s="110" t="s">
        <v>1751</v>
      </c>
      <c r="E6" s="110" t="s">
        <v>21</v>
      </c>
      <c r="F6" s="111" t="s">
        <v>1752</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1753</v>
      </c>
      <c r="B7" s="109" t="s">
        <v>11</v>
      </c>
      <c r="C7" s="110" t="s">
        <v>1754</v>
      </c>
      <c r="D7" s="110" t="s">
        <v>1755</v>
      </c>
      <c r="E7" s="110" t="s">
        <v>21</v>
      </c>
      <c r="F7" s="111" t="s">
        <v>1756</v>
      </c>
      <c r="G7" s="112">
        <f>IF(COUNTIF(H7:AU7,"&lt;&gt;")=0,"",SUMPRODUCT(((Recommendations[ImplStatus]="Implemented")+(Recommendations[ImplStatus]="Compensated"))*ISNUMBER(MATCH(Recommendations[Id],H7:AU7,0)))/COUNTIF(H7:AU7,"&lt;&gt;"))</f>
        <v>0</v>
      </c>
      <c r="H7" s="113" t="s">
        <v>65</v>
      </c>
      <c r="I7" s="113" t="s">
        <v>70</v>
      </c>
      <c r="J7" s="113" t="s">
        <v>75</v>
      </c>
      <c r="K7" s="113" t="s">
        <v>145</v>
      </c>
      <c r="L7" s="113" t="s">
        <v>185</v>
      </c>
      <c r="M7" s="113" t="s">
        <v>190</v>
      </c>
      <c r="N7" s="113" t="s">
        <v>194</v>
      </c>
      <c r="O7" s="113" t="s">
        <v>213</v>
      </c>
      <c r="P7" s="113" t="s">
        <v>391</v>
      </c>
      <c r="Q7" s="113" t="s">
        <v>396</v>
      </c>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1757</v>
      </c>
      <c r="B8" s="109" t="s">
        <v>1758</v>
      </c>
      <c r="C8" s="110" t="s">
        <v>1759</v>
      </c>
      <c r="D8" s="110" t="s">
        <v>1760</v>
      </c>
      <c r="E8" s="110" t="s">
        <v>21</v>
      </c>
      <c r="F8" s="111" t="s">
        <v>1761</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1762</v>
      </c>
      <c r="B9" s="109" t="s">
        <v>1763</v>
      </c>
      <c r="C9" s="110" t="s">
        <v>1764</v>
      </c>
      <c r="D9" s="110" t="s">
        <v>1765</v>
      </c>
      <c r="E9" s="110" t="s">
        <v>21</v>
      </c>
      <c r="F9" s="111" t="s">
        <v>1766</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1767</v>
      </c>
      <c r="B10" s="109" t="s">
        <v>1768</v>
      </c>
      <c r="C10" s="110" t="s">
        <v>1769</v>
      </c>
      <c r="D10" s="110" t="s">
        <v>1770</v>
      </c>
      <c r="E10" s="110" t="s">
        <v>21</v>
      </c>
      <c r="F10" s="111" t="s">
        <v>1771</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1772</v>
      </c>
      <c r="B11" s="109" t="s">
        <v>1773</v>
      </c>
      <c r="C11" s="110" t="s">
        <v>1774</v>
      </c>
      <c r="D11" s="110" t="s">
        <v>1775</v>
      </c>
      <c r="E11" s="110" t="s">
        <v>21</v>
      </c>
      <c r="F11" s="111" t="s">
        <v>1776</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1777</v>
      </c>
      <c r="B12" s="109" t="s">
        <v>1778</v>
      </c>
      <c r="C12" s="110" t="s">
        <v>1779</v>
      </c>
      <c r="D12" s="110" t="s">
        <v>1780</v>
      </c>
      <c r="E12" s="110" t="s">
        <v>21</v>
      </c>
      <c r="F12" s="111" t="s">
        <v>1781</v>
      </c>
      <c r="G12" s="112">
        <f>IF(COUNTIF(H12:AU12,"&lt;&gt;")=0,"",SUMPRODUCT(((Recommendations[ImplStatus]="Implemented")+(Recommendations[ImplStatus]="Compensated"))*ISNUMBER(MATCH(Recommendations[Id],H12:AU12,0)))/COUNTIF(H12:AU12,"&lt;&gt;"))</f>
        <v>0</v>
      </c>
      <c r="H12" s="113" t="s">
        <v>203</v>
      </c>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1782</v>
      </c>
      <c r="B13" s="109" t="s">
        <v>1783</v>
      </c>
      <c r="C13" s="110" t="s">
        <v>1784</v>
      </c>
      <c r="D13" s="110" t="s">
        <v>1785</v>
      </c>
      <c r="E13" s="110" t="s">
        <v>21</v>
      </c>
      <c r="F13" s="111" t="s">
        <v>1786</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1787</v>
      </c>
      <c r="B14" s="109" t="s">
        <v>1788</v>
      </c>
      <c r="C14" s="110" t="s">
        <v>1789</v>
      </c>
      <c r="D14" s="110" t="s">
        <v>1790</v>
      </c>
      <c r="E14" s="110" t="s">
        <v>21</v>
      </c>
      <c r="F14" s="111" t="s">
        <v>1791</v>
      </c>
      <c r="G14" s="112">
        <f>IF(COUNTIF(H14:AU14,"&lt;&gt;")=0,"",SUMPRODUCT(((Recommendations[ImplStatus]="Implemented")+(Recommendations[ImplStatus]="Compensated"))*ISNUMBER(MATCH(Recommendations[Id],H14:AU14,0)))/COUNTIF(H14:AU14,"&lt;&gt;"))</f>
        <v>0</v>
      </c>
      <c r="H14" s="113" t="s">
        <v>91</v>
      </c>
      <c r="I14" s="113" t="s">
        <v>346</v>
      </c>
      <c r="J14" s="113" t="s">
        <v>351</v>
      </c>
      <c r="K14" s="113" t="s">
        <v>400</v>
      </c>
      <c r="L14" s="113" t="s">
        <v>449</v>
      </c>
      <c r="M14" s="113" t="s">
        <v>454</v>
      </c>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1792</v>
      </c>
      <c r="B15" s="109" t="s">
        <v>1793</v>
      </c>
      <c r="C15" s="110" t="s">
        <v>1794</v>
      </c>
      <c r="D15" s="110" t="s">
        <v>1795</v>
      </c>
      <c r="E15" s="110" t="s">
        <v>21</v>
      </c>
      <c r="F15" s="111" t="s">
        <v>1796</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1797</v>
      </c>
      <c r="B16" s="109" t="s">
        <v>1798</v>
      </c>
      <c r="C16" s="110" t="s">
        <v>1799</v>
      </c>
      <c r="D16" s="110" t="s">
        <v>1800</v>
      </c>
      <c r="E16" s="110" t="s">
        <v>21</v>
      </c>
      <c r="F16" s="111" t="s">
        <v>1801</v>
      </c>
      <c r="G16" s="112">
        <f>IF(COUNTIF(H16:AU16,"&lt;&gt;")=0,"",SUMPRODUCT(((Recommendations[ImplStatus]="Implemented")+(Recommendations[ImplStatus]="Compensated"))*ISNUMBER(MATCH(Recommendations[Id],H16:AU16,0)))/COUNTIF(H16:AU16,"&lt;&gt;"))</f>
        <v>0</v>
      </c>
      <c r="H16" s="113" t="s">
        <v>160</v>
      </c>
      <c r="I16" s="113" t="s">
        <v>165</v>
      </c>
      <c r="J16" s="113" t="s">
        <v>175</v>
      </c>
      <c r="K16" s="113" t="s">
        <v>180</v>
      </c>
      <c r="L16" s="113" t="s">
        <v>208</v>
      </c>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1802</v>
      </c>
      <c r="B17" s="109" t="s">
        <v>1803</v>
      </c>
      <c r="C17" s="110" t="s">
        <v>1804</v>
      </c>
      <c r="D17" s="110" t="s">
        <v>1805</v>
      </c>
      <c r="E17" s="110" t="s">
        <v>21</v>
      </c>
      <c r="F17" s="111" t="s">
        <v>1806</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1807</v>
      </c>
      <c r="B18" s="109" t="s">
        <v>1808</v>
      </c>
      <c r="C18" s="110" t="s">
        <v>1809</v>
      </c>
      <c r="D18" s="110" t="s">
        <v>1810</v>
      </c>
      <c r="E18" s="110" t="s">
        <v>21</v>
      </c>
      <c r="F18" s="111" t="s">
        <v>1811</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1812</v>
      </c>
      <c r="B19" s="109" t="s">
        <v>1813</v>
      </c>
      <c r="C19" s="110" t="s">
        <v>1814</v>
      </c>
      <c r="D19" s="110" t="s">
        <v>1815</v>
      </c>
      <c r="E19" s="110" t="s">
        <v>21</v>
      </c>
      <c r="F19" s="111" t="s">
        <v>1816</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1817</v>
      </c>
      <c r="B20" s="109" t="s">
        <v>1818</v>
      </c>
      <c r="C20" s="110" t="s">
        <v>1819</v>
      </c>
      <c r="D20" s="110" t="s">
        <v>1820</v>
      </c>
      <c r="E20" s="110" t="s">
        <v>21</v>
      </c>
      <c r="F20" s="111" t="s">
        <v>1821</v>
      </c>
      <c r="G20" s="112">
        <f>IF(COUNTIF(H20:AU20,"&lt;&gt;")=0,"",SUMPRODUCT(((Recommendations[ImplStatus]="Implemented")+(Recommendations[ImplStatus]="Compensated"))*ISNUMBER(MATCH(Recommendations[Id],H20:AU20,0)))/COUNTIF(H20:AU20,"&lt;&gt;"))</f>
        <v>0</v>
      </c>
      <c r="H20" s="113" t="s">
        <v>45</v>
      </c>
      <c r="I20" s="113" t="s">
        <v>234</v>
      </c>
      <c r="J20" s="113" t="s">
        <v>255</v>
      </c>
      <c r="K20" s="113" t="s">
        <v>275</v>
      </c>
      <c r="L20" s="113" t="s">
        <v>335</v>
      </c>
      <c r="M20" s="113" t="s">
        <v>356</v>
      </c>
      <c r="N20" s="113" t="s">
        <v>366</v>
      </c>
      <c r="O20" s="113" t="s">
        <v>371</v>
      </c>
      <c r="P20" s="113" t="s">
        <v>376</v>
      </c>
      <c r="Q20" s="113" t="s">
        <v>381</v>
      </c>
      <c r="R20" s="113" t="s">
        <v>405</v>
      </c>
      <c r="S20" s="113" t="s">
        <v>410</v>
      </c>
      <c r="T20" s="113" t="s">
        <v>415</v>
      </c>
      <c r="U20" s="113" t="s">
        <v>420</v>
      </c>
      <c r="V20" s="113" t="s">
        <v>430</v>
      </c>
      <c r="W20" s="113" t="s">
        <v>435</v>
      </c>
      <c r="X20" s="113" t="s">
        <v>440</v>
      </c>
      <c r="Y20" s="113" t="s">
        <v>444</v>
      </c>
      <c r="Z20" s="113" t="s">
        <v>484</v>
      </c>
      <c r="AA20" s="113" t="s">
        <v>489</v>
      </c>
      <c r="AB20" s="113" t="s">
        <v>494</v>
      </c>
      <c r="AC20" s="113" t="s">
        <v>499</v>
      </c>
      <c r="AD20" s="113" t="s">
        <v>504</v>
      </c>
      <c r="AE20" s="113" t="s">
        <v>509</v>
      </c>
      <c r="AF20" s="113" t="s">
        <v>514</v>
      </c>
      <c r="AG20" s="113" t="s">
        <v>519</v>
      </c>
      <c r="AH20" s="113" t="s">
        <v>524</v>
      </c>
      <c r="AI20" s="113" t="s">
        <v>529</v>
      </c>
      <c r="AJ20" s="113" t="s">
        <v>589</v>
      </c>
      <c r="AK20" s="113" t="s">
        <v>614</v>
      </c>
      <c r="AL20" s="113" t="s">
        <v>624</v>
      </c>
      <c r="AM20" s="113" t="s">
        <v>627</v>
      </c>
      <c r="AN20" s="113" t="s">
        <v>632</v>
      </c>
      <c r="AO20" s="113" t="s">
        <v>637</v>
      </c>
      <c r="AP20" s="113" t="s">
        <v>642</v>
      </c>
      <c r="AQ20" s="113" t="s">
        <v>647</v>
      </c>
      <c r="AR20" s="113" t="s">
        <v>652</v>
      </c>
      <c r="AS20" s="113" t="s">
        <v>657</v>
      </c>
      <c r="AT20" s="113" t="s">
        <v>662</v>
      </c>
      <c r="AU20" s="121" t="s">
        <v>681</v>
      </c>
    </row>
    <row r="21" spans="1:47" ht="60" customHeight="1" x14ac:dyDescent="0.35">
      <c r="A21" s="119" t="s">
        <v>1822</v>
      </c>
      <c r="B21" s="109" t="s">
        <v>1823</v>
      </c>
      <c r="C21" s="110" t="s">
        <v>1824</v>
      </c>
      <c r="D21" s="110" t="s">
        <v>1825</v>
      </c>
      <c r="E21" s="110" t="s">
        <v>1826</v>
      </c>
      <c r="F21" s="111" t="s">
        <v>1827</v>
      </c>
      <c r="G21" s="112">
        <f>IF(COUNTIF(H21:AU21,"&lt;&gt;")=0,"",SUMPRODUCT(((Recommendations[ImplStatus]="Implemented")+(Recommendations[ImplStatus]="Compensated"))*ISNUMBER(MATCH(Recommendations[Id],H21:AU21,0)))/COUNTIF(H21:AU21,"&lt;&gt;"))</f>
        <v>0</v>
      </c>
      <c r="H21" s="113" t="s">
        <v>14</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1828</v>
      </c>
      <c r="B22" s="109" t="s">
        <v>1829</v>
      </c>
      <c r="C22" s="110" t="s">
        <v>1830</v>
      </c>
      <c r="D22" s="110" t="s">
        <v>1831</v>
      </c>
      <c r="E22" s="110" t="s">
        <v>1832</v>
      </c>
      <c r="F22" s="111" t="s">
        <v>1833</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1834</v>
      </c>
      <c r="B23" s="109" t="s">
        <v>1835</v>
      </c>
      <c r="C23" s="110" t="s">
        <v>1836</v>
      </c>
      <c r="D23" s="110" t="s">
        <v>1837</v>
      </c>
      <c r="E23" s="110" t="s">
        <v>1838</v>
      </c>
      <c r="F23" s="111" t="s">
        <v>1839</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1840</v>
      </c>
      <c r="B24" s="109" t="s">
        <v>1841</v>
      </c>
      <c r="C24" s="110" t="s">
        <v>1842</v>
      </c>
      <c r="D24" s="110" t="s">
        <v>1843</v>
      </c>
      <c r="E24" s="110" t="s">
        <v>21</v>
      </c>
      <c r="F24" s="111" t="s">
        <v>1844</v>
      </c>
      <c r="G24" s="112">
        <f>IF(COUNTIF(H24:AU24,"&lt;&gt;")=0,"",SUMPRODUCT(((Recommendations[ImplStatus]="Implemented")+(Recommendations[ImplStatus]="Compensated"))*ISNUMBER(MATCH(Recommendations[Id],H24:AU24,0)))/COUNTIF(H24:AU24,"&lt;&gt;"))</f>
        <v>0</v>
      </c>
      <c r="H24" s="113" t="s">
        <v>198</v>
      </c>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1845</v>
      </c>
      <c r="B25" s="109" t="s">
        <v>1846</v>
      </c>
      <c r="C25" s="110" t="s">
        <v>1847</v>
      </c>
      <c r="D25" s="110" t="s">
        <v>21</v>
      </c>
      <c r="E25" s="110" t="s">
        <v>21</v>
      </c>
      <c r="F25" s="111" t="s">
        <v>1848</v>
      </c>
      <c r="G25" s="112">
        <f>IF(COUNTIF(H25:AU25,"&lt;&gt;")=0,"",SUMPRODUCT(((Recommendations[ImplStatus]="Implemented")+(Recommendations[ImplStatus]="Compensated"))*ISNUMBER(MATCH(Recommendations[Id],H25:AU25,0)))/COUNTIF(H25:AU25,"&lt;&gt;"))</f>
        <v>0</v>
      </c>
      <c r="H25" s="113" t="s">
        <v>229</v>
      </c>
      <c r="I25" s="113" t="s">
        <v>341</v>
      </c>
      <c r="J25" s="113" t="s">
        <v>425</v>
      </c>
      <c r="K25" s="113" t="s">
        <v>479</v>
      </c>
      <c r="L25" s="113" t="s">
        <v>569</v>
      </c>
      <c r="M25" s="113" t="s">
        <v>609</v>
      </c>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1849</v>
      </c>
      <c r="B26" s="109" t="s">
        <v>1850</v>
      </c>
      <c r="C26" s="110" t="s">
        <v>1851</v>
      </c>
      <c r="D26" s="110" t="s">
        <v>1852</v>
      </c>
      <c r="E26" s="110" t="s">
        <v>21</v>
      </c>
      <c r="F26" s="111" t="s">
        <v>1853</v>
      </c>
      <c r="G26" s="112">
        <f>IF(COUNTIF(H26:AU26,"&lt;&gt;")=0,"",SUMPRODUCT(((Recommendations[ImplStatus]="Implemented")+(Recommendations[ImplStatus]="Compensated"))*ISNUMBER(MATCH(Recommendations[Id],H26:AU26,0)))/COUNTIF(H26:AU26,"&lt;&gt;"))</f>
        <v>0</v>
      </c>
      <c r="H26" s="113" t="s">
        <v>223</v>
      </c>
      <c r="I26" s="113" t="s">
        <v>239</v>
      </c>
      <c r="J26" s="113" t="s">
        <v>245</v>
      </c>
      <c r="K26" s="113" t="s">
        <v>250</v>
      </c>
      <c r="L26" s="113" t="s">
        <v>260</v>
      </c>
      <c r="M26" s="113" t="s">
        <v>265</v>
      </c>
      <c r="N26" s="113" t="s">
        <v>270</v>
      </c>
      <c r="O26" s="113" t="s">
        <v>280</v>
      </c>
      <c r="P26" s="113" t="s">
        <v>285</v>
      </c>
      <c r="Q26" s="113" t="s">
        <v>290</v>
      </c>
      <c r="R26" s="113" t="s">
        <v>295</v>
      </c>
      <c r="S26" s="113" t="s">
        <v>300</v>
      </c>
      <c r="T26" s="113" t="s">
        <v>305</v>
      </c>
      <c r="U26" s="113" t="s">
        <v>310</v>
      </c>
      <c r="V26" s="113" t="s">
        <v>315</v>
      </c>
      <c r="W26" s="113" t="s">
        <v>320</v>
      </c>
      <c r="X26" s="113" t="s">
        <v>325</v>
      </c>
      <c r="Y26" s="113" t="s">
        <v>330</v>
      </c>
      <c r="Z26" s="113" t="s">
        <v>361</v>
      </c>
      <c r="AA26" s="113" t="s">
        <v>366</v>
      </c>
      <c r="AB26" s="113" t="s">
        <v>371</v>
      </c>
      <c r="AC26" s="113" t="s">
        <v>376</v>
      </c>
      <c r="AD26" s="113" t="s">
        <v>381</v>
      </c>
      <c r="AE26" s="113" t="s">
        <v>444</v>
      </c>
      <c r="AF26" s="113" t="s">
        <v>459</v>
      </c>
      <c r="AG26" s="113" t="s">
        <v>464</v>
      </c>
      <c r="AH26" s="113" t="s">
        <v>469</v>
      </c>
      <c r="AI26" s="113" t="s">
        <v>474</v>
      </c>
      <c r="AJ26" s="113" t="s">
        <v>534</v>
      </c>
      <c r="AK26" s="113" t="s">
        <v>539</v>
      </c>
      <c r="AL26" s="113" t="s">
        <v>544</v>
      </c>
      <c r="AM26" s="113" t="s">
        <v>549</v>
      </c>
      <c r="AN26" s="113" t="s">
        <v>554</v>
      </c>
      <c r="AO26" s="113" t="s">
        <v>559</v>
      </c>
      <c r="AP26" s="113" t="s">
        <v>564</v>
      </c>
      <c r="AQ26" s="113" t="s">
        <v>574</v>
      </c>
      <c r="AR26" s="113" t="s">
        <v>579</v>
      </c>
      <c r="AS26" s="113" t="s">
        <v>584</v>
      </c>
      <c r="AT26" s="113" t="s">
        <v>594</v>
      </c>
      <c r="AU26" s="121" t="s">
        <v>599</v>
      </c>
    </row>
    <row r="27" spans="1:47" ht="60" customHeight="1" x14ac:dyDescent="0.35">
      <c r="A27" s="119" t="s">
        <v>1854</v>
      </c>
      <c r="B27" s="109" t="s">
        <v>1855</v>
      </c>
      <c r="C27" s="110" t="s">
        <v>1856</v>
      </c>
      <c r="D27" s="110" t="s">
        <v>1857</v>
      </c>
      <c r="E27" s="110" t="s">
        <v>1858</v>
      </c>
      <c r="F27" s="111" t="s">
        <v>1859</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1860</v>
      </c>
      <c r="B28" s="109" t="s">
        <v>1861</v>
      </c>
      <c r="C28" s="110" t="s">
        <v>1862</v>
      </c>
      <c r="D28" s="110" t="s">
        <v>21</v>
      </c>
      <c r="E28" s="110" t="s">
        <v>21</v>
      </c>
      <c r="F28" s="111" t="s">
        <v>1863</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1864</v>
      </c>
      <c r="B29" s="109" t="s">
        <v>1865</v>
      </c>
      <c r="C29" s="110" t="s">
        <v>1866</v>
      </c>
      <c r="D29" s="110" t="s">
        <v>1867</v>
      </c>
      <c r="E29" s="110" t="s">
        <v>1868</v>
      </c>
      <c r="F29" s="111" t="s">
        <v>1869</v>
      </c>
      <c r="G29" s="112">
        <f>IF(COUNTIF(H29:AU29,"&lt;&gt;")=0,"",SUMPRODUCT(((Recommendations[ImplStatus]="Implemented")+(Recommendations[ImplStatus]="Compensated"))*ISNUMBER(MATCH(Recommendations[Id],H29:AU29,0)))/COUNTIF(H29:AU29,"&lt;&gt;"))</f>
        <v>0</v>
      </c>
      <c r="H29" s="113" t="s">
        <v>102</v>
      </c>
      <c r="I29" s="113" t="s">
        <v>107</v>
      </c>
      <c r="J29" s="113" t="s">
        <v>112</v>
      </c>
      <c r="K29" s="113" t="s">
        <v>117</v>
      </c>
      <c r="L29" s="113" t="s">
        <v>121</v>
      </c>
      <c r="M29" s="113" t="s">
        <v>130</v>
      </c>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1870</v>
      </c>
      <c r="B30" s="109" t="s">
        <v>1871</v>
      </c>
      <c r="C30" s="110" t="s">
        <v>1872</v>
      </c>
      <c r="D30" s="110" t="s">
        <v>1873</v>
      </c>
      <c r="E30" s="110" t="s">
        <v>21</v>
      </c>
      <c r="F30" s="111" t="s">
        <v>1874</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1875</v>
      </c>
      <c r="B31" s="109" t="s">
        <v>1876</v>
      </c>
      <c r="C31" s="110" t="s">
        <v>1877</v>
      </c>
      <c r="D31" s="110" t="s">
        <v>1878</v>
      </c>
      <c r="E31" s="110" t="s">
        <v>1879</v>
      </c>
      <c r="F31" s="111" t="s">
        <v>1880</v>
      </c>
      <c r="G31" s="112">
        <f>IF(COUNTIF(H31:AU31,"&lt;&gt;")=0,"",SUMPRODUCT(((Recommendations[ImplStatus]="Implemented")+(Recommendations[ImplStatus]="Compensated"))*ISNUMBER(MATCH(Recommendations[Id],H31:AU31,0)))/COUNTIF(H31:AU31,"&lt;&gt;"))</f>
        <v>0</v>
      </c>
      <c r="H31" s="113" t="s">
        <v>25</v>
      </c>
      <c r="I31" s="113" t="s">
        <v>30</v>
      </c>
      <c r="J31" s="113" t="s">
        <v>35</v>
      </c>
      <c r="K31" s="113" t="s">
        <v>40</v>
      </c>
      <c r="L31" s="113" t="s">
        <v>60</v>
      </c>
      <c r="M31" s="113" t="s">
        <v>88</v>
      </c>
      <c r="N31" s="113" t="s">
        <v>97</v>
      </c>
      <c r="O31" s="113" t="s">
        <v>140</v>
      </c>
      <c r="P31" s="113" t="s">
        <v>185</v>
      </c>
      <c r="Q31" s="113" t="s">
        <v>194</v>
      </c>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1881</v>
      </c>
      <c r="B32" s="109" t="s">
        <v>1882</v>
      </c>
      <c r="C32" s="110" t="s">
        <v>1883</v>
      </c>
      <c r="D32" s="110" t="s">
        <v>1884</v>
      </c>
      <c r="E32" s="110" t="s">
        <v>1885</v>
      </c>
      <c r="F32" s="111" t="s">
        <v>1886</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1887</v>
      </c>
      <c r="B33" s="109" t="s">
        <v>1888</v>
      </c>
      <c r="C33" s="110" t="s">
        <v>1889</v>
      </c>
      <c r="D33" s="110" t="s">
        <v>1890</v>
      </c>
      <c r="E33" s="110" t="s">
        <v>21</v>
      </c>
      <c r="F33" s="111" t="s">
        <v>1891</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1892</v>
      </c>
      <c r="B34" s="109" t="s">
        <v>1893</v>
      </c>
      <c r="C34" s="110" t="s">
        <v>1894</v>
      </c>
      <c r="D34" s="110" t="s">
        <v>1895</v>
      </c>
      <c r="E34" s="110" t="s">
        <v>21</v>
      </c>
      <c r="F34" s="111" t="s">
        <v>1896</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1897</v>
      </c>
      <c r="B35" s="109" t="s">
        <v>1898</v>
      </c>
      <c r="C35" s="110" t="s">
        <v>1899</v>
      </c>
      <c r="D35" s="110" t="s">
        <v>1900</v>
      </c>
      <c r="E35" s="110" t="s">
        <v>1901</v>
      </c>
      <c r="F35" s="111" t="s">
        <v>1902</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1903</v>
      </c>
      <c r="B36" s="109" t="s">
        <v>1904</v>
      </c>
      <c r="C36" s="110" t="s">
        <v>1905</v>
      </c>
      <c r="D36" s="110" t="s">
        <v>1906</v>
      </c>
      <c r="E36" s="110" t="s">
        <v>1907</v>
      </c>
      <c r="F36" s="111" t="s">
        <v>1908</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1909</v>
      </c>
      <c r="B37" s="109" t="s">
        <v>1910</v>
      </c>
      <c r="C37" s="110" t="s">
        <v>1911</v>
      </c>
      <c r="D37" s="110" t="s">
        <v>1912</v>
      </c>
      <c r="E37" s="110" t="s">
        <v>21</v>
      </c>
      <c r="F37" s="111" t="s">
        <v>1913</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1914</v>
      </c>
      <c r="B38" s="109" t="s">
        <v>1915</v>
      </c>
      <c r="C38" s="110" t="s">
        <v>1916</v>
      </c>
      <c r="D38" s="110" t="s">
        <v>1917</v>
      </c>
      <c r="E38" s="110" t="s">
        <v>1918</v>
      </c>
      <c r="F38" s="111" t="s">
        <v>1919</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1920</v>
      </c>
      <c r="B39" s="109" t="s">
        <v>1921</v>
      </c>
      <c r="C39" s="110" t="s">
        <v>1922</v>
      </c>
      <c r="D39" s="110" t="s">
        <v>1923</v>
      </c>
      <c r="E39" s="110" t="s">
        <v>21</v>
      </c>
      <c r="F39" s="111" t="s">
        <v>1924</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1925</v>
      </c>
      <c r="B40" s="109" t="s">
        <v>1926</v>
      </c>
      <c r="C40" s="110" t="s">
        <v>1927</v>
      </c>
      <c r="D40" s="110" t="s">
        <v>1928</v>
      </c>
      <c r="E40" s="110" t="s">
        <v>1929</v>
      </c>
      <c r="F40" s="111" t="s">
        <v>1930</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1931</v>
      </c>
      <c r="B41" s="109" t="s">
        <v>1932</v>
      </c>
      <c r="C41" s="110" t="s">
        <v>1933</v>
      </c>
      <c r="D41" s="110" t="s">
        <v>1934</v>
      </c>
      <c r="E41" s="110" t="s">
        <v>1935</v>
      </c>
      <c r="F41" s="111" t="s">
        <v>1936</v>
      </c>
      <c r="G41" s="112">
        <f>IF(COUNTIF(H41:AU41,"&lt;&gt;")=0,"",SUMPRODUCT(((Recommendations[ImplStatus]="Implemented")+(Recommendations[ImplStatus]="Compensated"))*ISNUMBER(MATCH(Recommendations[Id],H41:AU41,0)))/COUNTIF(H41:AU41,"&lt;&gt;"))</f>
        <v>0</v>
      </c>
      <c r="H41" s="113" t="s">
        <v>218</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1937</v>
      </c>
      <c r="B42" s="109" t="s">
        <v>1938</v>
      </c>
      <c r="C42" s="110" t="s">
        <v>1939</v>
      </c>
      <c r="D42" s="110" t="s">
        <v>1940</v>
      </c>
      <c r="E42" s="110" t="s">
        <v>1941</v>
      </c>
      <c r="F42" s="111" t="s">
        <v>1942</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1943</v>
      </c>
      <c r="B43" s="109" t="s">
        <v>1944</v>
      </c>
      <c r="C43" s="110" t="s">
        <v>1945</v>
      </c>
      <c r="D43" s="110" t="s">
        <v>1946</v>
      </c>
      <c r="E43" s="110" t="s">
        <v>1947</v>
      </c>
      <c r="F43" s="111" t="s">
        <v>1948</v>
      </c>
      <c r="G43" s="112">
        <f>IF(COUNTIF(H43:AU43,"&lt;&gt;")=0,"",SUMPRODUCT(((Recommendations[ImplStatus]="Implemented")+(Recommendations[ImplStatus]="Compensated"))*ISNUMBER(MATCH(Recommendations[Id],H43:AU43,0)))/COUNTIF(H43:AU43,"&lt;&gt;"))</f>
        <v>0</v>
      </c>
      <c r="H43" s="113" t="s">
        <v>45</v>
      </c>
      <c r="I43" s="113" t="s">
        <v>335</v>
      </c>
      <c r="J43" s="113" t="s">
        <v>410</v>
      </c>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1949</v>
      </c>
      <c r="B44" s="109" t="s">
        <v>1950</v>
      </c>
      <c r="C44" s="110" t="s">
        <v>1951</v>
      </c>
      <c r="D44" s="110" t="s">
        <v>1952</v>
      </c>
      <c r="E44" s="110" t="s">
        <v>21</v>
      </c>
      <c r="F44" s="111" t="s">
        <v>1953</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1954</v>
      </c>
      <c r="B45" s="114" t="s">
        <v>1955</v>
      </c>
      <c r="C45" s="115" t="s">
        <v>1956</v>
      </c>
      <c r="D45" s="115" t="s">
        <v>1957</v>
      </c>
      <c r="E45" s="115" t="s">
        <v>1958</v>
      </c>
      <c r="F45" s="116" t="s">
        <v>1959</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770</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IFERROR(INDEX('Recommendations'!$H$2:$H$153, MATCH(H2,'Recommendations'!$A$2:$A$153,0))="Implemented", FALSE))</xm:f>
            <x14:dxf>
              <font>
                <color rgb="FF000000"/>
              </font>
              <fill>
                <patternFill>
                  <bgColor rgb="FF3C7D22"/>
                </patternFill>
              </fill>
            </x14:dxf>
          </x14:cfRule>
          <x14:cfRule type="expression" priority="2" id="{00000000-000E-0000-0500-000002000000}">
            <xm:f>AND(H2&lt;&gt;"", IFERROR(INDEX('Recommendations'!$H$2:$H$153, MATCH(H2,'Recommendations'!$A$2:$A$153,0))="Compensated", FALSE))</xm:f>
            <x14:dxf>
              <font>
                <color rgb="FF000000"/>
              </font>
              <fill>
                <patternFill>
                  <bgColor rgb="FFC6E0B4"/>
                </patternFill>
              </fill>
            </x14:dxf>
          </x14:cfRule>
          <x14:cfRule type="expression" priority="3" id="{00000000-000E-0000-0500-000003000000}">
            <xm:f>AND(H2&lt;&gt;"", IFERROR(INDEX('Recommendations'!$H$2:$H$153, MATCH(H2,'Recommendations'!$A$2:$A$153,0))="Testing", FALSE))</xm:f>
            <x14:dxf>
              <font>
                <color rgb="FF000000"/>
              </font>
              <fill>
                <patternFill>
                  <bgColor rgb="FFFFC000"/>
                </patternFill>
              </fill>
            </x14:dxf>
          </x14:cfRule>
          <x14:cfRule type="expression" priority="4" id="{00000000-000E-0000-0500-000004000000}">
            <xm:f>AND(H2&lt;&gt;"", IFERROR(INDEX('Recommendations'!$H$2:$H$153, MATCH(H2,'Recommendations'!$A$2:$A$153,0))="Failed", FALSE))</xm:f>
            <x14:dxf>
              <font>
                <color rgb="FF000000"/>
              </font>
              <fill>
                <patternFill>
                  <bgColor rgb="FFD82891"/>
                </patternFill>
              </fill>
            </x14:dxf>
          </x14:cfRule>
          <x14:cfRule type="expression" priority="5" id="{00000000-000E-0000-0500-000005000000}">
            <xm:f>AND(H2&lt;&gt;"", IFERROR(INDEX('Recommendations'!$H$2:$H$153, MATCH(H2,'Recommendations'!$A$2:$A$153,0))="Risk Accepted", FALSE))</xm:f>
            <x14:dxf>
              <font>
                <color rgb="FF000000"/>
              </font>
              <fill>
                <patternFill>
                  <bgColor rgb="FFD9D9D9"/>
                </patternFill>
              </fill>
            </x14:dxf>
          </x14:cfRule>
          <x14:cfRule type="expression" priority="6" id="{00000000-000E-0000-0500-000006000000}">
            <xm:f>AND(H2&lt;&gt;"", IFERROR(INDEX('Recommendations'!$H$2:$H$153, MATCH(H2,'Recommendations'!$A$2:$A$153,0))="N/A",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1960</v>
      </c>
      <c r="B1" s="148" t="s">
        <v>1014</v>
      </c>
      <c r="C1" s="148" t="s">
        <v>0</v>
      </c>
      <c r="D1" s="148" t="s">
        <v>1015</v>
      </c>
      <c r="E1" s="148" t="s">
        <v>1961</v>
      </c>
      <c r="F1" s="148" t="s">
        <v>1962</v>
      </c>
      <c r="G1" s="148" t="s">
        <v>1963</v>
      </c>
      <c r="H1" s="148" t="s">
        <v>1964</v>
      </c>
      <c r="I1" s="148" t="s">
        <v>1020</v>
      </c>
      <c r="J1" s="148" t="s">
        <v>1021</v>
      </c>
      <c r="K1" s="148" t="s">
        <v>1022</v>
      </c>
      <c r="L1" s="148" t="s">
        <v>1023</v>
      </c>
      <c r="M1" s="148" t="s">
        <v>1024</v>
      </c>
      <c r="N1" s="148" t="s">
        <v>1025</v>
      </c>
      <c r="O1" s="148" t="s">
        <v>1026</v>
      </c>
      <c r="P1" s="148" t="s">
        <v>1027</v>
      </c>
      <c r="Q1" s="148" t="s">
        <v>1028</v>
      </c>
      <c r="R1" s="148" t="s">
        <v>1029</v>
      </c>
      <c r="S1" s="148" t="s">
        <v>1030</v>
      </c>
      <c r="T1" s="148" t="s">
        <v>1031</v>
      </c>
      <c r="U1" s="148" t="s">
        <v>1032</v>
      </c>
      <c r="V1" s="148" t="s">
        <v>1033</v>
      </c>
      <c r="W1" s="148" t="s">
        <v>1034</v>
      </c>
      <c r="X1" s="148" t="s">
        <v>1035</v>
      </c>
      <c r="Y1" s="148" t="s">
        <v>1036</v>
      </c>
      <c r="Z1" s="148" t="s">
        <v>1037</v>
      </c>
      <c r="AA1" s="148" t="s">
        <v>1038</v>
      </c>
      <c r="AB1" s="148" t="s">
        <v>1039</v>
      </c>
      <c r="AC1" s="148" t="s">
        <v>1040</v>
      </c>
      <c r="AD1" s="148" t="s">
        <v>1041</v>
      </c>
      <c r="AE1" s="148" t="s">
        <v>1042</v>
      </c>
      <c r="AF1" s="148" t="s">
        <v>1043</v>
      </c>
      <c r="AG1" s="148" t="s">
        <v>1044</v>
      </c>
      <c r="AH1" s="148" t="s">
        <v>1045</v>
      </c>
      <c r="AI1" s="148" t="s">
        <v>1046</v>
      </c>
      <c r="AJ1" s="148" t="s">
        <v>1047</v>
      </c>
      <c r="AK1" s="148" t="s">
        <v>1048</v>
      </c>
      <c r="AL1" s="148" t="s">
        <v>1049</v>
      </c>
      <c r="AM1" s="148" t="s">
        <v>1050</v>
      </c>
      <c r="AN1" s="148" t="s">
        <v>1051</v>
      </c>
      <c r="AO1" s="148" t="s">
        <v>1052</v>
      </c>
      <c r="AP1" s="148" t="s">
        <v>1053</v>
      </c>
      <c r="AQ1" s="148" t="s">
        <v>1054</v>
      </c>
      <c r="AR1" s="148" t="s">
        <v>1055</v>
      </c>
      <c r="AS1" s="148" t="s">
        <v>1056</v>
      </c>
      <c r="AT1" s="148" t="s">
        <v>1057</v>
      </c>
      <c r="AU1" s="148" t="s">
        <v>1058</v>
      </c>
      <c r="AV1" s="148" t="s">
        <v>1059</v>
      </c>
      <c r="AW1" s="149" t="s">
        <v>1060</v>
      </c>
    </row>
    <row r="2" spans="1:49" ht="60" customHeight="1" outlineLevel="1" x14ac:dyDescent="0.35">
      <c r="A2" s="141" t="s">
        <v>1965</v>
      </c>
      <c r="B2" s="127"/>
      <c r="C2" s="126" t="s">
        <v>1966</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1965</v>
      </c>
      <c r="B3" s="128" t="s">
        <v>1231</v>
      </c>
      <c r="C3" s="129" t="s">
        <v>1967</v>
      </c>
      <c r="D3" s="131" t="s">
        <v>1968</v>
      </c>
      <c r="E3" s="131" t="s">
        <v>1969</v>
      </c>
      <c r="F3" s="131" t="s">
        <v>1970</v>
      </c>
      <c r="G3" s="131" t="s">
        <v>1971</v>
      </c>
      <c r="H3" s="131" t="s">
        <v>1972</v>
      </c>
      <c r="I3" s="133">
        <f>IF(COUNTIF(J3:AW3,"&lt;&gt;")=0,"",SUMPRODUCT(((Recommendations[ImplStatus]="Implemented")+(Recommendations[ImplStatus]="Compensated"))*ISNUMBER(MATCH(Recommendations[Id],J3:AW3,0)))/COUNTIF(J3:AW3,"&lt;&gt;"))</f>
        <v>0</v>
      </c>
      <c r="J3" s="135" t="s">
        <v>25</v>
      </c>
      <c r="K3" s="135" t="s">
        <v>30</v>
      </c>
      <c r="L3" s="135" t="s">
        <v>35</v>
      </c>
      <c r="M3" s="135" t="s">
        <v>40</v>
      </c>
      <c r="N3" s="135" t="s">
        <v>45</v>
      </c>
      <c r="O3" s="135" t="s">
        <v>140</v>
      </c>
      <c r="P3" s="135" t="s">
        <v>335</v>
      </c>
      <c r="Q3" s="135" t="s">
        <v>410</v>
      </c>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1965</v>
      </c>
      <c r="B4" s="128" t="s">
        <v>1973</v>
      </c>
      <c r="C4" s="129" t="s">
        <v>1974</v>
      </c>
      <c r="D4" s="131" t="s">
        <v>1975</v>
      </c>
      <c r="E4" s="131" t="s">
        <v>1976</v>
      </c>
      <c r="F4" s="131" t="s">
        <v>1977</v>
      </c>
      <c r="G4" s="131" t="s">
        <v>1978</v>
      </c>
      <c r="H4" s="131" t="s">
        <v>1979</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1965</v>
      </c>
      <c r="B5" s="128" t="s">
        <v>1980</v>
      </c>
      <c r="C5" s="129" t="s">
        <v>1981</v>
      </c>
      <c r="D5" s="131" t="s">
        <v>1982</v>
      </c>
      <c r="E5" s="131" t="s">
        <v>1983</v>
      </c>
      <c r="F5" s="131" t="s">
        <v>1984</v>
      </c>
      <c r="G5" s="131" t="s">
        <v>1985</v>
      </c>
      <c r="H5" s="131" t="s">
        <v>1986</v>
      </c>
      <c r="I5" s="133">
        <f>IF(COUNTIF(J5:AW5,"&lt;&gt;")=0,"",SUMPRODUCT(((Recommendations[ImplStatus]="Implemented")+(Recommendations[ImplStatus]="Compensated"))*ISNUMBER(MATCH(Recommendations[Id],J5:AW5,0)))/COUNTIF(J5:AW5,"&lt;&gt;"))</f>
        <v>0</v>
      </c>
      <c r="J5" s="135" t="s">
        <v>45</v>
      </c>
      <c r="K5" s="135" t="s">
        <v>335</v>
      </c>
      <c r="L5" s="135" t="s">
        <v>405</v>
      </c>
      <c r="M5" s="135" t="s">
        <v>410</v>
      </c>
      <c r="N5" s="135" t="s">
        <v>420</v>
      </c>
      <c r="O5" s="135" t="s">
        <v>430</v>
      </c>
      <c r="P5" s="135" t="s">
        <v>435</v>
      </c>
      <c r="Q5" s="135" t="s">
        <v>440</v>
      </c>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1965</v>
      </c>
      <c r="B6" s="128" t="s">
        <v>1987</v>
      </c>
      <c r="C6" s="129" t="s">
        <v>1988</v>
      </c>
      <c r="D6" s="131" t="s">
        <v>1989</v>
      </c>
      <c r="E6" s="131" t="s">
        <v>1990</v>
      </c>
      <c r="F6" s="131" t="s">
        <v>1991</v>
      </c>
      <c r="G6" s="131" t="s">
        <v>1992</v>
      </c>
      <c r="H6" s="131" t="s">
        <v>1993</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1965</v>
      </c>
      <c r="B7" s="128" t="s">
        <v>1994</v>
      </c>
      <c r="C7" s="129" t="s">
        <v>1995</v>
      </c>
      <c r="D7" s="131" t="s">
        <v>1996</v>
      </c>
      <c r="E7" s="131" t="s">
        <v>1997</v>
      </c>
      <c r="F7" s="131" t="s">
        <v>1998</v>
      </c>
      <c r="G7" s="131" t="s">
        <v>1999</v>
      </c>
      <c r="H7" s="131" t="s">
        <v>2000</v>
      </c>
      <c r="I7" s="133">
        <f>IF(COUNTIF(J7:AW7,"&lt;&gt;")=0,"",SUMPRODUCT(((Recommendations[ImplStatus]="Implemented")+(Recommendations[ImplStatus]="Compensated"))*ISNUMBER(MATCH(Recommendations[Id],J7:AW7,0)))/COUNTIF(J7:AW7,"&lt;&gt;"))</f>
        <v>0</v>
      </c>
      <c r="J7" s="135" t="s">
        <v>60</v>
      </c>
      <c r="K7" s="135" t="s">
        <v>88</v>
      </c>
      <c r="L7" s="135" t="s">
        <v>97</v>
      </c>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1965</v>
      </c>
      <c r="B8" s="128" t="s">
        <v>2001</v>
      </c>
      <c r="C8" s="129" t="s">
        <v>2002</v>
      </c>
      <c r="D8" s="131" t="s">
        <v>2003</v>
      </c>
      <c r="E8" s="131" t="s">
        <v>2004</v>
      </c>
      <c r="F8" s="131" t="s">
        <v>2005</v>
      </c>
      <c r="G8" s="131" t="s">
        <v>1999</v>
      </c>
      <c r="H8" s="131" t="s">
        <v>2006</v>
      </c>
      <c r="I8" s="133">
        <f>IF(COUNTIF(J8:AW8,"&lt;&gt;")=0,"",SUMPRODUCT(((Recommendations[ImplStatus]="Implemented")+(Recommendations[ImplStatus]="Compensated"))*ISNUMBER(MATCH(Recommendations[Id],J8:AW8,0)))/COUNTIF(J8:AW8,"&lt;&gt;"))</f>
        <v>0</v>
      </c>
      <c r="J8" s="135" t="s">
        <v>60</v>
      </c>
      <c r="K8" s="135" t="s">
        <v>88</v>
      </c>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1965</v>
      </c>
      <c r="B9" s="128" t="s">
        <v>2007</v>
      </c>
      <c r="C9" s="129" t="s">
        <v>2008</v>
      </c>
      <c r="D9" s="131" t="s">
        <v>2009</v>
      </c>
      <c r="E9" s="131" t="s">
        <v>2010</v>
      </c>
      <c r="F9" s="131" t="s">
        <v>2011</v>
      </c>
      <c r="G9" s="131" t="s">
        <v>2012</v>
      </c>
      <c r="H9" s="131" t="s">
        <v>2013</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1965</v>
      </c>
      <c r="B10" s="128" t="s">
        <v>2014</v>
      </c>
      <c r="C10" s="129" t="s">
        <v>2015</v>
      </c>
      <c r="D10" s="131" t="s">
        <v>2016</v>
      </c>
      <c r="E10" s="131" t="s">
        <v>2017</v>
      </c>
      <c r="F10" s="131" t="s">
        <v>2018</v>
      </c>
      <c r="G10" s="131" t="s">
        <v>2019</v>
      </c>
      <c r="H10" s="131" t="s">
        <v>2020</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1965</v>
      </c>
      <c r="B11" s="128" t="s">
        <v>2021</v>
      </c>
      <c r="C11" s="129" t="s">
        <v>2022</v>
      </c>
      <c r="D11" s="131" t="s">
        <v>2023</v>
      </c>
      <c r="E11" s="131" t="s">
        <v>2024</v>
      </c>
      <c r="F11" s="131" t="s">
        <v>2025</v>
      </c>
      <c r="G11" s="131" t="s">
        <v>2026</v>
      </c>
      <c r="H11" s="131" t="s">
        <v>2027</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1965</v>
      </c>
      <c r="B12" s="128" t="s">
        <v>2028</v>
      </c>
      <c r="C12" s="129" t="s">
        <v>2029</v>
      </c>
      <c r="D12" s="131" t="s">
        <v>2030</v>
      </c>
      <c r="E12" s="131" t="s">
        <v>2031</v>
      </c>
      <c r="F12" s="131" t="s">
        <v>2032</v>
      </c>
      <c r="G12" s="131" t="s">
        <v>2019</v>
      </c>
      <c r="H12" s="131" t="s">
        <v>2033</v>
      </c>
      <c r="I12" s="133">
        <f>IF(COUNTIF(J12:AW12,"&lt;&gt;")=0,"",SUMPRODUCT(((Recommendations[ImplStatus]="Implemented")+(Recommendations[ImplStatus]="Compensated"))*ISNUMBER(MATCH(Recommendations[Id],J12:AW12,0)))/COUNTIF(J12:AW12,"&lt;&gt;"))</f>
        <v>0</v>
      </c>
      <c r="J12" s="135" t="s">
        <v>14</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1965</v>
      </c>
      <c r="B13" s="128" t="s">
        <v>2034</v>
      </c>
      <c r="C13" s="129" t="s">
        <v>2035</v>
      </c>
      <c r="D13" s="131" t="s">
        <v>2036</v>
      </c>
      <c r="E13" s="131" t="s">
        <v>2037</v>
      </c>
      <c r="F13" s="131" t="s">
        <v>2038</v>
      </c>
      <c r="G13" s="131" t="s">
        <v>2019</v>
      </c>
      <c r="H13" s="131" t="s">
        <v>2039</v>
      </c>
      <c r="I13" s="133">
        <f>IF(COUNTIF(J13:AW13,"&lt;&gt;")=0,"",SUMPRODUCT(((Recommendations[ImplStatus]="Implemented")+(Recommendations[ImplStatus]="Compensated"))*ISNUMBER(MATCH(Recommendations[Id],J13:AW13,0)))/COUNTIF(J13:AW13,"&lt;&gt;"))</f>
        <v>0</v>
      </c>
      <c r="J13" s="135" t="s">
        <v>135</v>
      </c>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1965</v>
      </c>
      <c r="B14" s="128" t="s">
        <v>2040</v>
      </c>
      <c r="C14" s="129" t="s">
        <v>2041</v>
      </c>
      <c r="D14" s="131" t="s">
        <v>2042</v>
      </c>
      <c r="E14" s="131" t="s">
        <v>2043</v>
      </c>
      <c r="F14" s="131" t="s">
        <v>2044</v>
      </c>
      <c r="G14" s="131" t="s">
        <v>2045</v>
      </c>
      <c r="H14" s="131" t="s">
        <v>2046</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1965</v>
      </c>
      <c r="B15" s="128" t="s">
        <v>2047</v>
      </c>
      <c r="C15" s="129" t="s">
        <v>2048</v>
      </c>
      <c r="D15" s="131" t="s">
        <v>2049</v>
      </c>
      <c r="E15" s="131" t="s">
        <v>2050</v>
      </c>
      <c r="F15" s="131" t="s">
        <v>2051</v>
      </c>
      <c r="G15" s="131" t="s">
        <v>2052</v>
      </c>
      <c r="H15" s="131" t="s">
        <v>2053</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1965</v>
      </c>
      <c r="B16" s="128" t="s">
        <v>2054</v>
      </c>
      <c r="C16" s="129" t="s">
        <v>2055</v>
      </c>
      <c r="D16" s="131" t="s">
        <v>2056</v>
      </c>
      <c r="E16" s="131" t="s">
        <v>2057</v>
      </c>
      <c r="F16" s="131" t="s">
        <v>2058</v>
      </c>
      <c r="G16" s="131" t="s">
        <v>2059</v>
      </c>
      <c r="H16" s="131" t="s">
        <v>2060</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1965</v>
      </c>
      <c r="B17" s="128" t="s">
        <v>2061</v>
      </c>
      <c r="C17" s="129" t="s">
        <v>2062</v>
      </c>
      <c r="D17" s="131" t="s">
        <v>2063</v>
      </c>
      <c r="E17" s="131" t="s">
        <v>2064</v>
      </c>
      <c r="F17" s="131" t="s">
        <v>2065</v>
      </c>
      <c r="G17" s="131" t="s">
        <v>2066</v>
      </c>
      <c r="H17" s="131" t="s">
        <v>2067</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1965</v>
      </c>
      <c r="B18" s="128" t="s">
        <v>2068</v>
      </c>
      <c r="C18" s="129" t="s">
        <v>2069</v>
      </c>
      <c r="D18" s="131" t="s">
        <v>2070</v>
      </c>
      <c r="E18" s="131" t="s">
        <v>2071</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2072</v>
      </c>
      <c r="B19" s="127"/>
      <c r="C19" s="126" t="s">
        <v>2073</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2072</v>
      </c>
      <c r="B20" s="128" t="s">
        <v>2074</v>
      </c>
      <c r="C20" s="129" t="s">
        <v>2075</v>
      </c>
      <c r="D20" s="131" t="s">
        <v>2076</v>
      </c>
      <c r="E20" s="131" t="s">
        <v>2077</v>
      </c>
      <c r="F20" s="131" t="s">
        <v>2078</v>
      </c>
      <c r="G20" s="131" t="s">
        <v>2079</v>
      </c>
      <c r="H20" s="131" t="s">
        <v>2080</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2072</v>
      </c>
      <c r="B21" s="128" t="s">
        <v>2081</v>
      </c>
      <c r="C21" s="129" t="s">
        <v>2082</v>
      </c>
      <c r="D21" s="131" t="s">
        <v>2083</v>
      </c>
      <c r="E21" s="131" t="s">
        <v>2084</v>
      </c>
      <c r="F21" s="131" t="s">
        <v>2085</v>
      </c>
      <c r="G21" s="131" t="s">
        <v>2086</v>
      </c>
      <c r="H21" s="131" t="s">
        <v>2087</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2088</v>
      </c>
      <c r="B22" s="127"/>
      <c r="C22" s="126" t="s">
        <v>2089</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2088</v>
      </c>
      <c r="B23" s="128" t="s">
        <v>2090</v>
      </c>
      <c r="C23" s="129" t="s">
        <v>2091</v>
      </c>
      <c r="D23" s="131" t="s">
        <v>2092</v>
      </c>
      <c r="E23" s="131" t="s">
        <v>2093</v>
      </c>
      <c r="F23" s="131" t="s">
        <v>2094</v>
      </c>
      <c r="G23" s="131" t="s">
        <v>2095</v>
      </c>
      <c r="H23" s="131" t="s">
        <v>2096</v>
      </c>
      <c r="I23" s="133">
        <f>IF(COUNTIF(J23:AW23,"&lt;&gt;")=0,"",SUMPRODUCT(((Recommendations[ImplStatus]="Implemented")+(Recommendations[ImplStatus]="Compensated"))*ISNUMBER(MATCH(Recommendations[Id],J23:AW23,0)))/COUNTIF(J23:AW23,"&lt;&gt;"))</f>
        <v>0</v>
      </c>
      <c r="J23" s="135" t="s">
        <v>25</v>
      </c>
      <c r="K23" s="135" t="s">
        <v>30</v>
      </c>
      <c r="L23" s="135" t="s">
        <v>35</v>
      </c>
      <c r="M23" s="135" t="s">
        <v>40</v>
      </c>
      <c r="N23" s="135" t="s">
        <v>65</v>
      </c>
      <c r="O23" s="135" t="s">
        <v>70</v>
      </c>
      <c r="P23" s="135" t="s">
        <v>75</v>
      </c>
      <c r="Q23" s="135" t="s">
        <v>140</v>
      </c>
      <c r="R23" s="135" t="s">
        <v>145</v>
      </c>
      <c r="S23" s="135" t="s">
        <v>185</v>
      </c>
      <c r="T23" s="135" t="s">
        <v>190</v>
      </c>
      <c r="U23" s="135" t="s">
        <v>194</v>
      </c>
      <c r="V23" s="135" t="s">
        <v>213</v>
      </c>
      <c r="W23" s="135" t="s">
        <v>391</v>
      </c>
      <c r="X23" s="135" t="s">
        <v>396</v>
      </c>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2088</v>
      </c>
      <c r="B24" s="128" t="s">
        <v>2097</v>
      </c>
      <c r="C24" s="129" t="s">
        <v>2098</v>
      </c>
      <c r="D24" s="131" t="s">
        <v>2099</v>
      </c>
      <c r="E24" s="131" t="s">
        <v>2100</v>
      </c>
      <c r="F24" s="131" t="s">
        <v>2101</v>
      </c>
      <c r="G24" s="131" t="s">
        <v>2102</v>
      </c>
      <c r="H24" s="131" t="s">
        <v>2103</v>
      </c>
      <c r="I24" s="133">
        <f>IF(COUNTIF(J24:AW24,"&lt;&gt;")=0,"",SUMPRODUCT(((Recommendations[ImplStatus]="Implemented")+(Recommendations[ImplStatus]="Compensated"))*ISNUMBER(MATCH(Recommendations[Id],J24:AW24,0)))/COUNTIF(J24:AW24,"&lt;&gt;"))</f>
        <v>0</v>
      </c>
      <c r="J24" s="135" t="s">
        <v>60</v>
      </c>
      <c r="K24" s="135" t="s">
        <v>75</v>
      </c>
      <c r="L24" s="135" t="s">
        <v>88</v>
      </c>
      <c r="M24" s="135" t="s">
        <v>145</v>
      </c>
      <c r="N24" s="135" t="s">
        <v>185</v>
      </c>
      <c r="O24" s="135" t="s">
        <v>190</v>
      </c>
      <c r="P24" s="135" t="s">
        <v>194</v>
      </c>
      <c r="Q24" s="135" t="s">
        <v>396</v>
      </c>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2088</v>
      </c>
      <c r="B25" s="128" t="s">
        <v>2104</v>
      </c>
      <c r="C25" s="129" t="s">
        <v>2105</v>
      </c>
      <c r="D25" s="131" t="s">
        <v>2106</v>
      </c>
      <c r="E25" s="131" t="s">
        <v>2107</v>
      </c>
      <c r="F25" s="131" t="s">
        <v>2108</v>
      </c>
      <c r="G25" s="131" t="s">
        <v>2109</v>
      </c>
      <c r="H25" s="131" t="s">
        <v>2110</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2088</v>
      </c>
      <c r="B26" s="128" t="s">
        <v>2111</v>
      </c>
      <c r="C26" s="129" t="s">
        <v>2112</v>
      </c>
      <c r="D26" s="131" t="s">
        <v>2113</v>
      </c>
      <c r="E26" s="131" t="s">
        <v>2114</v>
      </c>
      <c r="F26" s="131" t="s">
        <v>2115</v>
      </c>
      <c r="G26" s="131" t="s">
        <v>2102</v>
      </c>
      <c r="H26" s="131" t="s">
        <v>2116</v>
      </c>
      <c r="I26" s="133">
        <f>IF(COUNTIF(J26:AW26,"&lt;&gt;")=0,"",SUMPRODUCT(((Recommendations[ImplStatus]="Implemented")+(Recommendations[ImplStatus]="Compensated"))*ISNUMBER(MATCH(Recommendations[Id],J26:AW26,0)))/COUNTIF(J26:AW26,"&lt;&gt;"))</f>
        <v>0</v>
      </c>
      <c r="J26" s="135" t="s">
        <v>150</v>
      </c>
      <c r="K26" s="135" t="s">
        <v>213</v>
      </c>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2088</v>
      </c>
      <c r="B27" s="128" t="s">
        <v>2117</v>
      </c>
      <c r="C27" s="129" t="s">
        <v>2118</v>
      </c>
      <c r="D27" s="131" t="s">
        <v>2119</v>
      </c>
      <c r="E27" s="131" t="s">
        <v>2120</v>
      </c>
      <c r="F27" s="131" t="s">
        <v>2121</v>
      </c>
      <c r="G27" s="131" t="s">
        <v>2122</v>
      </c>
      <c r="H27" s="131" t="s">
        <v>2123</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2088</v>
      </c>
      <c r="B28" s="128" t="s">
        <v>2124</v>
      </c>
      <c r="C28" s="129" t="s">
        <v>2125</v>
      </c>
      <c r="D28" s="131" t="s">
        <v>2126</v>
      </c>
      <c r="E28" s="131" t="s">
        <v>2127</v>
      </c>
      <c r="F28" s="131" t="s">
        <v>2128</v>
      </c>
      <c r="G28" s="131" t="s">
        <v>2129</v>
      </c>
      <c r="H28" s="131" t="s">
        <v>2130</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2088</v>
      </c>
      <c r="B29" s="128" t="s">
        <v>2131</v>
      </c>
      <c r="C29" s="129" t="s">
        <v>2132</v>
      </c>
      <c r="D29" s="131" t="s">
        <v>2133</v>
      </c>
      <c r="E29" s="131" t="s">
        <v>2134</v>
      </c>
      <c r="F29" s="131" t="s">
        <v>2135</v>
      </c>
      <c r="G29" s="131" t="s">
        <v>2019</v>
      </c>
      <c r="H29" s="131" t="s">
        <v>2136</v>
      </c>
      <c r="I29" s="133">
        <f>IF(COUNTIF(J29:AW29,"&lt;&gt;")=0,"",SUMPRODUCT(((Recommendations[ImplStatus]="Implemented")+(Recommendations[ImplStatus]="Compensated"))*ISNUMBER(MATCH(Recommendations[Id],J29:AW29,0)))/COUNTIF(J29:AW29,"&lt;&gt;"))</f>
        <v>0</v>
      </c>
      <c r="J29" s="135" t="s">
        <v>65</v>
      </c>
      <c r="K29" s="135" t="s">
        <v>155</v>
      </c>
      <c r="L29" s="135" t="s">
        <v>170</v>
      </c>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2088</v>
      </c>
      <c r="B30" s="128" t="s">
        <v>2137</v>
      </c>
      <c r="C30" s="129" t="s">
        <v>2138</v>
      </c>
      <c r="D30" s="131" t="s">
        <v>2139</v>
      </c>
      <c r="E30" s="131" t="s">
        <v>2140</v>
      </c>
      <c r="F30" s="131" t="s">
        <v>2141</v>
      </c>
      <c r="G30" s="131" t="s">
        <v>2102</v>
      </c>
      <c r="H30" s="131" t="s">
        <v>2142</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2143</v>
      </c>
      <c r="B31" s="127"/>
      <c r="C31" s="126" t="s">
        <v>2144</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2143</v>
      </c>
      <c r="B32" s="128" t="s">
        <v>2145</v>
      </c>
      <c r="C32" s="129" t="s">
        <v>2146</v>
      </c>
      <c r="D32" s="131" t="s">
        <v>2147</v>
      </c>
      <c r="E32" s="131" t="s">
        <v>2148</v>
      </c>
      <c r="F32" s="131" t="s">
        <v>2149</v>
      </c>
      <c r="G32" s="131" t="s">
        <v>2150</v>
      </c>
      <c r="H32" s="131" t="s">
        <v>2151</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2143</v>
      </c>
      <c r="B33" s="128" t="s">
        <v>2152</v>
      </c>
      <c r="C33" s="129" t="s">
        <v>2153</v>
      </c>
      <c r="D33" s="131" t="s">
        <v>2154</v>
      </c>
      <c r="E33" s="131" t="s">
        <v>2155</v>
      </c>
      <c r="F33" s="131" t="s">
        <v>2156</v>
      </c>
      <c r="G33" s="131" t="s">
        <v>2157</v>
      </c>
      <c r="H33" s="131" t="s">
        <v>2158</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2143</v>
      </c>
      <c r="B34" s="128" t="s">
        <v>2159</v>
      </c>
      <c r="C34" s="129" t="s">
        <v>2160</v>
      </c>
      <c r="D34" s="131" t="s">
        <v>2161</v>
      </c>
      <c r="E34" s="131" t="s">
        <v>2162</v>
      </c>
      <c r="F34" s="131" t="s">
        <v>2163</v>
      </c>
      <c r="G34" s="131" t="s">
        <v>2164</v>
      </c>
      <c r="H34" s="131" t="s">
        <v>2165</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2143</v>
      </c>
      <c r="B35" s="128" t="s">
        <v>2166</v>
      </c>
      <c r="C35" s="129" t="s">
        <v>2167</v>
      </c>
      <c r="D35" s="131" t="s">
        <v>2168</v>
      </c>
      <c r="E35" s="131" t="s">
        <v>2169</v>
      </c>
      <c r="F35" s="131" t="s">
        <v>2170</v>
      </c>
      <c r="G35" s="131" t="s">
        <v>2171</v>
      </c>
      <c r="H35" s="131" t="s">
        <v>2172</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2143</v>
      </c>
      <c r="B36" s="128" t="s">
        <v>2173</v>
      </c>
      <c r="C36" s="129" t="s">
        <v>2174</v>
      </c>
      <c r="D36" s="131" t="s">
        <v>2175</v>
      </c>
      <c r="E36" s="131" t="s">
        <v>2176</v>
      </c>
      <c r="F36" s="131" t="s">
        <v>2177</v>
      </c>
      <c r="G36" s="131" t="s">
        <v>2178</v>
      </c>
      <c r="H36" s="131" t="s">
        <v>2179</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2143</v>
      </c>
      <c r="B37" s="128" t="s">
        <v>2180</v>
      </c>
      <c r="C37" s="129" t="s">
        <v>2181</v>
      </c>
      <c r="D37" s="131" t="s">
        <v>2182</v>
      </c>
      <c r="E37" s="131" t="s">
        <v>2183</v>
      </c>
      <c r="F37" s="131" t="s">
        <v>2184</v>
      </c>
      <c r="G37" s="131" t="s">
        <v>2185</v>
      </c>
      <c r="H37" s="131" t="s">
        <v>2186</v>
      </c>
      <c r="I37" s="133">
        <f>IF(COUNTIF(J37:AW37,"&lt;&gt;")=0,"",SUMPRODUCT(((Recommendations[ImplStatus]="Implemented")+(Recommendations[ImplStatus]="Compensated"))*ISNUMBER(MATCH(Recommendations[Id],J37:AW37,0)))/COUNTIF(J37:AW37,"&lt;&gt;"))</f>
        <v>0</v>
      </c>
      <c r="J37" s="135" t="s">
        <v>91</v>
      </c>
      <c r="K37" s="135" t="s">
        <v>346</v>
      </c>
      <c r="L37" s="135" t="s">
        <v>351</v>
      </c>
      <c r="M37" s="135" t="s">
        <v>449</v>
      </c>
      <c r="N37" s="135" t="s">
        <v>454</v>
      </c>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2143</v>
      </c>
      <c r="B38" s="128" t="s">
        <v>2187</v>
      </c>
      <c r="C38" s="129" t="s">
        <v>2188</v>
      </c>
      <c r="D38" s="131" t="s">
        <v>2189</v>
      </c>
      <c r="E38" s="131" t="s">
        <v>2190</v>
      </c>
      <c r="F38" s="131" t="s">
        <v>2191</v>
      </c>
      <c r="G38" s="131" t="s">
        <v>2192</v>
      </c>
      <c r="H38" s="131" t="s">
        <v>2193</v>
      </c>
      <c r="I38" s="133">
        <f>IF(COUNTIF(J38:AW38,"&lt;&gt;")=0,"",SUMPRODUCT(((Recommendations[ImplStatus]="Implemented")+(Recommendations[ImplStatus]="Compensated"))*ISNUMBER(MATCH(Recommendations[Id],J38:AW38,0)))/COUNTIF(J38:AW38,"&lt;&gt;"))</f>
        <v>0</v>
      </c>
      <c r="J38" s="135" t="s">
        <v>91</v>
      </c>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2143</v>
      </c>
      <c r="B39" s="128" t="s">
        <v>2194</v>
      </c>
      <c r="C39" s="129" t="s">
        <v>2195</v>
      </c>
      <c r="D39" s="131" t="s">
        <v>2196</v>
      </c>
      <c r="E39" s="131" t="s">
        <v>2197</v>
      </c>
      <c r="F39" s="131" t="s">
        <v>2198</v>
      </c>
      <c r="G39" s="131" t="s">
        <v>2199</v>
      </c>
      <c r="H39" s="131" t="s">
        <v>2200</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2143</v>
      </c>
      <c r="B40" s="128" t="s">
        <v>2201</v>
      </c>
      <c r="C40" s="129" t="s">
        <v>2202</v>
      </c>
      <c r="D40" s="131" t="s">
        <v>2203</v>
      </c>
      <c r="E40" s="131" t="s">
        <v>2204</v>
      </c>
      <c r="F40" s="131" t="s">
        <v>2205</v>
      </c>
      <c r="G40" s="131" t="s">
        <v>2206</v>
      </c>
      <c r="H40" s="131" t="s">
        <v>2207</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2143</v>
      </c>
      <c r="B41" s="128" t="s">
        <v>2208</v>
      </c>
      <c r="C41" s="129" t="s">
        <v>2209</v>
      </c>
      <c r="D41" s="131" t="s">
        <v>2210</v>
      </c>
      <c r="E41" s="131" t="s">
        <v>2211</v>
      </c>
      <c r="F41" s="131" t="s">
        <v>2212</v>
      </c>
      <c r="G41" s="131" t="s">
        <v>2150</v>
      </c>
      <c r="H41" s="131" t="s">
        <v>2213</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2214</v>
      </c>
      <c r="B42" s="127"/>
      <c r="C42" s="126" t="s">
        <v>2215</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2214</v>
      </c>
      <c r="B43" s="128" t="s">
        <v>2216</v>
      </c>
      <c r="C43" s="129" t="s">
        <v>2217</v>
      </c>
      <c r="D43" s="131" t="s">
        <v>2218</v>
      </c>
      <c r="E43" s="131" t="s">
        <v>2219</v>
      </c>
      <c r="F43" s="131" t="s">
        <v>2220</v>
      </c>
      <c r="G43" s="131" t="s">
        <v>2221</v>
      </c>
      <c r="H43" s="131" t="s">
        <v>2222</v>
      </c>
      <c r="I43" s="133">
        <f>IF(COUNTIF(J43:AW43,"&lt;&gt;")=0,"",SUMPRODUCT(((Recommendations[ImplStatus]="Implemented")+(Recommendations[ImplStatus]="Compensated"))*ISNUMBER(MATCH(Recommendations[Id],J43:AW43,0)))/COUNTIF(J43:AW43,"&lt;&gt;"))</f>
        <v>0</v>
      </c>
      <c r="J43" s="135" t="s">
        <v>97</v>
      </c>
      <c r="K43" s="135" t="s">
        <v>198</v>
      </c>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2214</v>
      </c>
      <c r="B44" s="128" t="s">
        <v>2223</v>
      </c>
      <c r="C44" s="129" t="s">
        <v>2224</v>
      </c>
      <c r="D44" s="131" t="s">
        <v>2225</v>
      </c>
      <c r="E44" s="131" t="s">
        <v>2226</v>
      </c>
      <c r="F44" s="131" t="s">
        <v>2227</v>
      </c>
      <c r="G44" s="131" t="s">
        <v>2228</v>
      </c>
      <c r="H44" s="131" t="s">
        <v>2229</v>
      </c>
      <c r="I44" s="133">
        <f>IF(COUNTIF(J44:AW44,"&lt;&gt;")=0,"",SUMPRODUCT(((Recommendations[ImplStatus]="Implemented")+(Recommendations[ImplStatus]="Compensated"))*ISNUMBER(MATCH(Recommendations[Id],J44:AW44,0)))/COUNTIF(J44:AW44,"&lt;&gt;"))</f>
        <v>0</v>
      </c>
      <c r="J44" s="135" t="s">
        <v>198</v>
      </c>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2214</v>
      </c>
      <c r="B45" s="128" t="s">
        <v>2230</v>
      </c>
      <c r="C45" s="129" t="s">
        <v>2231</v>
      </c>
      <c r="D45" s="131" t="s">
        <v>2232</v>
      </c>
      <c r="E45" s="131" t="s">
        <v>2233</v>
      </c>
      <c r="F45" s="131" t="s">
        <v>2234</v>
      </c>
      <c r="G45" s="131" t="s">
        <v>2235</v>
      </c>
      <c r="H45" s="131" t="s">
        <v>2236</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2214</v>
      </c>
      <c r="B46" s="128" t="s">
        <v>2237</v>
      </c>
      <c r="C46" s="129" t="s">
        <v>2238</v>
      </c>
      <c r="D46" s="131" t="s">
        <v>2239</v>
      </c>
      <c r="E46" s="131" t="s">
        <v>2240</v>
      </c>
      <c r="F46" s="131" t="s">
        <v>2241</v>
      </c>
      <c r="G46" s="131" t="s">
        <v>2235</v>
      </c>
      <c r="H46" s="131" t="s">
        <v>2242</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2214</v>
      </c>
      <c r="B47" s="128" t="s">
        <v>2243</v>
      </c>
      <c r="C47" s="129" t="s">
        <v>2244</v>
      </c>
      <c r="D47" s="131" t="s">
        <v>2245</v>
      </c>
      <c r="E47" s="131" t="s">
        <v>2246</v>
      </c>
      <c r="F47" s="131" t="s">
        <v>2247</v>
      </c>
      <c r="G47" s="131" t="s">
        <v>2248</v>
      </c>
      <c r="H47" s="131" t="s">
        <v>2249</v>
      </c>
      <c r="I47" s="133">
        <f>IF(COUNTIF(J47:AW47,"&lt;&gt;")=0,"",SUMPRODUCT(((Recommendations[ImplStatus]="Implemented")+(Recommendations[ImplStatus]="Compensated"))*ISNUMBER(MATCH(Recommendations[Id],J47:AW47,0)))/COUNTIF(J47:AW47,"&lt;&gt;"))</f>
        <v>0</v>
      </c>
      <c r="J47" s="135" t="s">
        <v>50</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2214</v>
      </c>
      <c r="B48" s="128" t="s">
        <v>2250</v>
      </c>
      <c r="C48" s="129" t="s">
        <v>2251</v>
      </c>
      <c r="D48" s="131" t="s">
        <v>2252</v>
      </c>
      <c r="E48" s="131" t="s">
        <v>2253</v>
      </c>
      <c r="F48" s="131" t="s">
        <v>2254</v>
      </c>
      <c r="G48" s="131" t="s">
        <v>2255</v>
      </c>
      <c r="H48" s="131" t="s">
        <v>2256</v>
      </c>
      <c r="I48" s="133">
        <f>IF(COUNTIF(J48:AW48,"&lt;&gt;")=0,"",SUMPRODUCT(((Recommendations[ImplStatus]="Implemented")+(Recommendations[ImplStatus]="Compensated"))*ISNUMBER(MATCH(Recommendations[Id],J48:AW48,0)))/COUNTIF(J48:AW48,"&lt;&gt;"))</f>
        <v>0</v>
      </c>
      <c r="J48" s="135" t="s">
        <v>102</v>
      </c>
      <c r="K48" s="135" t="s">
        <v>107</v>
      </c>
      <c r="L48" s="135" t="s">
        <v>112</v>
      </c>
      <c r="M48" s="135" t="s">
        <v>117</v>
      </c>
      <c r="N48" s="135" t="s">
        <v>121</v>
      </c>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2214</v>
      </c>
      <c r="B49" s="128" t="s">
        <v>2257</v>
      </c>
      <c r="C49" s="129" t="s">
        <v>2258</v>
      </c>
      <c r="D49" s="131" t="s">
        <v>2259</v>
      </c>
      <c r="E49" s="131" t="s">
        <v>2260</v>
      </c>
      <c r="F49" s="131" t="s">
        <v>2261</v>
      </c>
      <c r="G49" s="131" t="s">
        <v>2019</v>
      </c>
      <c r="H49" s="131" t="s">
        <v>2262</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2214</v>
      </c>
      <c r="B50" s="128" t="s">
        <v>2263</v>
      </c>
      <c r="C50" s="129" t="s">
        <v>2264</v>
      </c>
      <c r="D50" s="131" t="s">
        <v>2265</v>
      </c>
      <c r="E50" s="131" t="s">
        <v>2266</v>
      </c>
      <c r="F50" s="131" t="s">
        <v>2267</v>
      </c>
      <c r="G50" s="131" t="s">
        <v>2268</v>
      </c>
      <c r="H50" s="131" t="s">
        <v>2269</v>
      </c>
      <c r="I50" s="133">
        <f>IF(COUNTIF(J50:AW50,"&lt;&gt;")=0,"",SUMPRODUCT(((Recommendations[ImplStatus]="Implemented")+(Recommendations[ImplStatus]="Compensated"))*ISNUMBER(MATCH(Recommendations[Id],J50:AW50,0)))/COUNTIF(J50:AW50,"&lt;&gt;"))</f>
        <v>0</v>
      </c>
      <c r="J50" s="135" t="s">
        <v>102</v>
      </c>
      <c r="K50" s="135" t="s">
        <v>107</v>
      </c>
      <c r="L50" s="135" t="s">
        <v>112</v>
      </c>
      <c r="M50" s="135" t="s">
        <v>117</v>
      </c>
      <c r="N50" s="135" t="s">
        <v>121</v>
      </c>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2270</v>
      </c>
      <c r="B51" s="127"/>
      <c r="C51" s="126" t="s">
        <v>2271</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2270</v>
      </c>
      <c r="B52" s="128" t="s">
        <v>2272</v>
      </c>
      <c r="C52" s="129" t="s">
        <v>2273</v>
      </c>
      <c r="D52" s="131" t="s">
        <v>2274</v>
      </c>
      <c r="E52" s="131" t="s">
        <v>2275</v>
      </c>
      <c r="F52" s="131" t="s">
        <v>2276</v>
      </c>
      <c r="G52" s="131" t="s">
        <v>2277</v>
      </c>
      <c r="H52" s="131" t="s">
        <v>2278</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2270</v>
      </c>
      <c r="B53" s="128" t="s">
        <v>2279</v>
      </c>
      <c r="C53" s="129" t="s">
        <v>2280</v>
      </c>
      <c r="D53" s="131" t="s">
        <v>2281</v>
      </c>
      <c r="E53" s="131" t="s">
        <v>2282</v>
      </c>
      <c r="F53" s="131" t="s">
        <v>2283</v>
      </c>
      <c r="G53" s="131" t="s">
        <v>2284</v>
      </c>
      <c r="H53" s="131" t="s">
        <v>2285</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2270</v>
      </c>
      <c r="B54" s="128" t="s">
        <v>2286</v>
      </c>
      <c r="C54" s="129" t="s">
        <v>2287</v>
      </c>
      <c r="D54" s="131" t="s">
        <v>2288</v>
      </c>
      <c r="E54" s="131" t="s">
        <v>2289</v>
      </c>
      <c r="F54" s="131" t="s">
        <v>2290</v>
      </c>
      <c r="G54" s="131" t="s">
        <v>2291</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2270</v>
      </c>
      <c r="B55" s="128" t="s">
        <v>2292</v>
      </c>
      <c r="C55" s="129" t="s">
        <v>2293</v>
      </c>
      <c r="D55" s="131" t="s">
        <v>2294</v>
      </c>
      <c r="E55" s="131" t="s">
        <v>2295</v>
      </c>
      <c r="F55" s="131" t="s">
        <v>2296</v>
      </c>
      <c r="G55" s="131" t="s">
        <v>2297</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2270</v>
      </c>
      <c r="B56" s="128" t="s">
        <v>2298</v>
      </c>
      <c r="C56" s="129" t="s">
        <v>2299</v>
      </c>
      <c r="D56" s="131" t="s">
        <v>2300</v>
      </c>
      <c r="E56" s="131" t="s">
        <v>2301</v>
      </c>
      <c r="F56" s="131" t="s">
        <v>2302</v>
      </c>
      <c r="G56" s="131" t="s">
        <v>2303</v>
      </c>
      <c r="H56" s="131" t="s">
        <v>2304</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2305</v>
      </c>
      <c r="B57" s="127"/>
      <c r="C57" s="126" t="s">
        <v>2306</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2305</v>
      </c>
      <c r="B58" s="128" t="s">
        <v>2307</v>
      </c>
      <c r="C58" s="129" t="s">
        <v>2308</v>
      </c>
      <c r="D58" s="131" t="s">
        <v>2309</v>
      </c>
      <c r="E58" s="131" t="s">
        <v>2310</v>
      </c>
      <c r="F58" s="131" t="s">
        <v>2311</v>
      </c>
      <c r="G58" s="131" t="s">
        <v>2312</v>
      </c>
      <c r="H58" s="131" t="s">
        <v>2313</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2305</v>
      </c>
      <c r="B59" s="128" t="s">
        <v>2314</v>
      </c>
      <c r="C59" s="129" t="s">
        <v>2315</v>
      </c>
      <c r="D59" s="131" t="s">
        <v>2316</v>
      </c>
      <c r="E59" s="131" t="s">
        <v>2317</v>
      </c>
      <c r="F59" s="131" t="s">
        <v>2318</v>
      </c>
      <c r="G59" s="131" t="s">
        <v>2319</v>
      </c>
      <c r="H59" s="131" t="s">
        <v>2320</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2305</v>
      </c>
      <c r="B60" s="128" t="s">
        <v>2321</v>
      </c>
      <c r="C60" s="129" t="s">
        <v>2322</v>
      </c>
      <c r="D60" s="131" t="s">
        <v>2323</v>
      </c>
      <c r="E60" s="131" t="s">
        <v>2324</v>
      </c>
      <c r="F60" s="131" t="s">
        <v>2325</v>
      </c>
      <c r="G60" s="131" t="s">
        <v>2326</v>
      </c>
      <c r="H60" s="131" t="s">
        <v>2327</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2328</v>
      </c>
      <c r="B61" s="127"/>
      <c r="C61" s="126" t="s">
        <v>2329</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2328</v>
      </c>
      <c r="B62" s="128" t="s">
        <v>2330</v>
      </c>
      <c r="C62" s="129" t="s">
        <v>2331</v>
      </c>
      <c r="D62" s="131" t="s">
        <v>2332</v>
      </c>
      <c r="E62" s="131" t="s">
        <v>2333</v>
      </c>
      <c r="F62" s="131" t="s">
        <v>2334</v>
      </c>
      <c r="G62" s="131" t="s">
        <v>2335</v>
      </c>
      <c r="H62" s="131" t="s">
        <v>2336</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2328</v>
      </c>
      <c r="B63" s="128" t="s">
        <v>2337</v>
      </c>
      <c r="C63" s="129" t="s">
        <v>2338</v>
      </c>
      <c r="D63" s="131" t="s">
        <v>2339</v>
      </c>
      <c r="E63" s="131" t="s">
        <v>2340</v>
      </c>
      <c r="F63" s="131" t="s">
        <v>2341</v>
      </c>
      <c r="G63" s="131" t="s">
        <v>2342</v>
      </c>
      <c r="H63" s="131" t="s">
        <v>2343</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2328</v>
      </c>
      <c r="B64" s="128" t="s">
        <v>2344</v>
      </c>
      <c r="C64" s="129" t="s">
        <v>2345</v>
      </c>
      <c r="D64" s="131" t="s">
        <v>2346</v>
      </c>
      <c r="E64" s="131" t="s">
        <v>2347</v>
      </c>
      <c r="F64" s="131" t="s">
        <v>2348</v>
      </c>
      <c r="G64" s="131" t="s">
        <v>2349</v>
      </c>
      <c r="H64" s="131" t="s">
        <v>2350</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2328</v>
      </c>
      <c r="B65" s="128" t="s">
        <v>2351</v>
      </c>
      <c r="C65" s="129" t="s">
        <v>2352</v>
      </c>
      <c r="D65" s="131" t="s">
        <v>2353</v>
      </c>
      <c r="E65" s="131" t="s">
        <v>2354</v>
      </c>
      <c r="F65" s="131" t="s">
        <v>2355</v>
      </c>
      <c r="G65" s="131" t="s">
        <v>2356</v>
      </c>
      <c r="H65" s="131" t="s">
        <v>2357</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2328</v>
      </c>
      <c r="B66" s="128" t="s">
        <v>2358</v>
      </c>
      <c r="C66" s="129" t="s">
        <v>2359</v>
      </c>
      <c r="D66" s="131" t="s">
        <v>2360</v>
      </c>
      <c r="E66" s="131" t="s">
        <v>2361</v>
      </c>
      <c r="F66" s="131" t="s">
        <v>2362</v>
      </c>
      <c r="G66" s="131" t="s">
        <v>2363</v>
      </c>
      <c r="H66" s="131" t="s">
        <v>2364</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2328</v>
      </c>
      <c r="B67" s="128" t="s">
        <v>2365</v>
      </c>
      <c r="C67" s="129" t="s">
        <v>2366</v>
      </c>
      <c r="D67" s="131" t="s">
        <v>2367</v>
      </c>
      <c r="E67" s="131" t="s">
        <v>2368</v>
      </c>
      <c r="F67" s="131" t="s">
        <v>2369</v>
      </c>
      <c r="G67" s="131" t="s">
        <v>2370</v>
      </c>
      <c r="H67" s="131" t="s">
        <v>2371</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2328</v>
      </c>
      <c r="B68" s="128" t="s">
        <v>2372</v>
      </c>
      <c r="C68" s="129" t="s">
        <v>2373</v>
      </c>
      <c r="D68" s="131" t="s">
        <v>2374</v>
      </c>
      <c r="E68" s="131" t="s">
        <v>2375</v>
      </c>
      <c r="F68" s="131" t="s">
        <v>2376</v>
      </c>
      <c r="G68" s="131" t="s">
        <v>2377</v>
      </c>
      <c r="H68" s="131" t="s">
        <v>2378</v>
      </c>
      <c r="I68" s="133">
        <f>IF(COUNTIF(J68:AW68,"&lt;&gt;")=0,"",SUMPRODUCT(((Recommendations[ImplStatus]="Implemented")+(Recommendations[ImplStatus]="Compensated"))*ISNUMBER(MATCH(Recommendations[Id],J68:AW68,0)))/COUNTIF(J68:AW68,"&lt;&gt;"))</f>
        <v>0</v>
      </c>
      <c r="J68" s="135" t="s">
        <v>203</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2379</v>
      </c>
      <c r="B69" s="127"/>
      <c r="C69" s="126" t="s">
        <v>2380</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2379</v>
      </c>
      <c r="B70" s="128" t="s">
        <v>2381</v>
      </c>
      <c r="C70" s="129" t="s">
        <v>2382</v>
      </c>
      <c r="D70" s="131" t="s">
        <v>2383</v>
      </c>
      <c r="E70" s="131" t="s">
        <v>2384</v>
      </c>
      <c r="F70" s="131" t="s">
        <v>2385</v>
      </c>
      <c r="G70" s="131" t="s">
        <v>2386</v>
      </c>
      <c r="H70" s="131" t="s">
        <v>2387</v>
      </c>
      <c r="I70" s="133">
        <f>IF(COUNTIF(J70:AW70,"&lt;&gt;")=0,"",SUMPRODUCT(((Recommendations[ImplStatus]="Implemented")+(Recommendations[ImplStatus]="Compensated"))*ISNUMBER(MATCH(Recommendations[Id],J70:AW70,0)))/COUNTIF(J70:AW70,"&lt;&gt;"))</f>
        <v>0</v>
      </c>
      <c r="J70" s="135" t="s">
        <v>55</v>
      </c>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2379</v>
      </c>
      <c r="B71" s="128" t="s">
        <v>2388</v>
      </c>
      <c r="C71" s="129" t="s">
        <v>2389</v>
      </c>
      <c r="D71" s="131" t="s">
        <v>2390</v>
      </c>
      <c r="E71" s="131" t="s">
        <v>2391</v>
      </c>
      <c r="F71" s="131" t="s">
        <v>2392</v>
      </c>
      <c r="G71" s="131" t="s">
        <v>2393</v>
      </c>
      <c r="H71" s="131" t="s">
        <v>2394</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2395</v>
      </c>
      <c r="B72" s="127"/>
      <c r="C72" s="126" t="s">
        <v>2396</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2395</v>
      </c>
      <c r="B73" s="128" t="s">
        <v>2397</v>
      </c>
      <c r="C73" s="129" t="s">
        <v>2398</v>
      </c>
      <c r="D73" s="131" t="s">
        <v>2399</v>
      </c>
      <c r="E73" s="131" t="s">
        <v>2400</v>
      </c>
      <c r="F73" s="131" t="s">
        <v>2401</v>
      </c>
      <c r="G73" s="131" t="s">
        <v>2402</v>
      </c>
      <c r="H73" s="131" t="s">
        <v>2403</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2395</v>
      </c>
      <c r="B74" s="128" t="s">
        <v>2404</v>
      </c>
      <c r="C74" s="129" t="s">
        <v>2405</v>
      </c>
      <c r="D74" s="131" t="s">
        <v>2406</v>
      </c>
      <c r="E74" s="131" t="s">
        <v>2407</v>
      </c>
      <c r="F74" s="131" t="s">
        <v>2408</v>
      </c>
      <c r="G74" s="131" t="s">
        <v>2409</v>
      </c>
      <c r="H74" s="131" t="s">
        <v>2410</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2395</v>
      </c>
      <c r="B75" s="128" t="s">
        <v>2411</v>
      </c>
      <c r="C75" s="129" t="s">
        <v>2412</v>
      </c>
      <c r="D75" s="131" t="s">
        <v>2413</v>
      </c>
      <c r="E75" s="131" t="s">
        <v>2414</v>
      </c>
      <c r="F75" s="131" t="s">
        <v>2415</v>
      </c>
      <c r="G75" s="131" t="s">
        <v>2416</v>
      </c>
      <c r="H75" s="131" t="s">
        <v>2417</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2395</v>
      </c>
      <c r="B76" s="128" t="s">
        <v>2418</v>
      </c>
      <c r="C76" s="129" t="s">
        <v>2419</v>
      </c>
      <c r="D76" s="131" t="s">
        <v>2420</v>
      </c>
      <c r="E76" s="131" t="s">
        <v>2421</v>
      </c>
      <c r="F76" s="131" t="s">
        <v>2422</v>
      </c>
      <c r="G76" s="131" t="s">
        <v>2423</v>
      </c>
      <c r="H76" s="131" t="s">
        <v>2424</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2395</v>
      </c>
      <c r="B77" s="128" t="s">
        <v>2425</v>
      </c>
      <c r="C77" s="129" t="s">
        <v>2426</v>
      </c>
      <c r="D77" s="131" t="s">
        <v>2427</v>
      </c>
      <c r="E77" s="131" t="s">
        <v>2428</v>
      </c>
      <c r="F77" s="131" t="s">
        <v>2429</v>
      </c>
      <c r="G77" s="131" t="s">
        <v>2423</v>
      </c>
      <c r="H77" s="131" t="s">
        <v>2430</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2431</v>
      </c>
      <c r="B78" s="127"/>
      <c r="C78" s="126" t="s">
        <v>2432</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2431</v>
      </c>
      <c r="B79" s="128" t="s">
        <v>2431</v>
      </c>
      <c r="C79" s="129" t="s">
        <v>2433</v>
      </c>
      <c r="D79" s="131" t="s">
        <v>2434</v>
      </c>
      <c r="E79" s="131" t="s">
        <v>2435</v>
      </c>
      <c r="F79" s="131" t="s">
        <v>2436</v>
      </c>
      <c r="G79" s="131" t="s">
        <v>2437</v>
      </c>
      <c r="H79" s="131" t="s">
        <v>2438</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2431</v>
      </c>
      <c r="B80" s="128" t="s">
        <v>2439</v>
      </c>
      <c r="C80" s="129" t="s">
        <v>2440</v>
      </c>
      <c r="D80" s="131" t="s">
        <v>2441</v>
      </c>
      <c r="E80" s="131" t="s">
        <v>2442</v>
      </c>
      <c r="F80" s="131" t="s">
        <v>2443</v>
      </c>
      <c r="G80" s="131" t="s">
        <v>2444</v>
      </c>
      <c r="H80" s="131" t="s">
        <v>2445</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2431</v>
      </c>
      <c r="B81" s="128" t="s">
        <v>2446</v>
      </c>
      <c r="C81" s="129" t="s">
        <v>2447</v>
      </c>
      <c r="D81" s="131" t="s">
        <v>2448</v>
      </c>
      <c r="E81" s="131" t="s">
        <v>2449</v>
      </c>
      <c r="F81" s="131" t="s">
        <v>2450</v>
      </c>
      <c r="G81" s="131" t="s">
        <v>2451</v>
      </c>
      <c r="H81" s="131" t="s">
        <v>2452</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2453</v>
      </c>
      <c r="B82" s="127"/>
      <c r="C82" s="126" t="s">
        <v>2454</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2453</v>
      </c>
      <c r="B83" s="128" t="s">
        <v>2455</v>
      </c>
      <c r="C83" s="129" t="s">
        <v>2456</v>
      </c>
      <c r="D83" s="131" t="s">
        <v>2457</v>
      </c>
      <c r="E83" s="131" t="s">
        <v>2458</v>
      </c>
      <c r="F83" s="131" t="s">
        <v>2459</v>
      </c>
      <c r="G83" s="131" t="s">
        <v>2460</v>
      </c>
      <c r="H83" s="131" t="s">
        <v>2461</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2453</v>
      </c>
      <c r="B84" s="128" t="s">
        <v>2462</v>
      </c>
      <c r="C84" s="129" t="s">
        <v>2463</v>
      </c>
      <c r="D84" s="131" t="s">
        <v>2464</v>
      </c>
      <c r="E84" s="131" t="s">
        <v>2465</v>
      </c>
      <c r="F84" s="131" t="s">
        <v>2466</v>
      </c>
      <c r="G84" s="131" t="s">
        <v>2467</v>
      </c>
      <c r="H84" s="131" t="s">
        <v>2468</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2453</v>
      </c>
      <c r="B85" s="128" t="s">
        <v>2469</v>
      </c>
      <c r="C85" s="129" t="s">
        <v>2470</v>
      </c>
      <c r="D85" s="131" t="s">
        <v>2471</v>
      </c>
      <c r="E85" s="131" t="s">
        <v>2472</v>
      </c>
      <c r="F85" s="131" t="s">
        <v>2473</v>
      </c>
      <c r="G85" s="131" t="s">
        <v>2474</v>
      </c>
      <c r="H85" s="131" t="s">
        <v>2475</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2453</v>
      </c>
      <c r="B86" s="128" t="s">
        <v>2476</v>
      </c>
      <c r="C86" s="129" t="s">
        <v>2477</v>
      </c>
      <c r="D86" s="131" t="s">
        <v>2478</v>
      </c>
      <c r="E86" s="131" t="s">
        <v>2479</v>
      </c>
      <c r="F86" s="131" t="s">
        <v>2480</v>
      </c>
      <c r="G86" s="131" t="s">
        <v>2481</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2482</v>
      </c>
      <c r="B87" s="127"/>
      <c r="C87" s="126" t="s">
        <v>2483</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2482</v>
      </c>
      <c r="B88" s="128" t="s">
        <v>2484</v>
      </c>
      <c r="C88" s="129" t="s">
        <v>2485</v>
      </c>
      <c r="D88" s="131" t="s">
        <v>2486</v>
      </c>
      <c r="E88" s="131" t="s">
        <v>2487</v>
      </c>
      <c r="F88" s="131" t="s">
        <v>2488</v>
      </c>
      <c r="G88" s="131" t="s">
        <v>2489</v>
      </c>
      <c r="H88" s="131" t="s">
        <v>2490</v>
      </c>
      <c r="I88" s="133">
        <f>IF(COUNTIF(J88:AW88,"&lt;&gt;")=0,"",SUMPRODUCT(((Recommendations[ImplStatus]="Implemented")+(Recommendations[ImplStatus]="Compensated"))*ISNUMBER(MATCH(Recommendations[Id],J88:AW88,0)))/COUNTIF(J88:AW88,"&lt;&gt;"))</f>
        <v>0</v>
      </c>
      <c r="J88" s="135" t="s">
        <v>223</v>
      </c>
      <c r="K88" s="135" t="s">
        <v>239</v>
      </c>
      <c r="L88" s="135" t="s">
        <v>245</v>
      </c>
      <c r="M88" s="135" t="s">
        <v>250</v>
      </c>
      <c r="N88" s="135" t="s">
        <v>260</v>
      </c>
      <c r="O88" s="135" t="s">
        <v>265</v>
      </c>
      <c r="P88" s="135" t="s">
        <v>270</v>
      </c>
      <c r="Q88" s="135" t="s">
        <v>280</v>
      </c>
      <c r="R88" s="135" t="s">
        <v>285</v>
      </c>
      <c r="S88" s="135" t="s">
        <v>290</v>
      </c>
      <c r="T88" s="135" t="s">
        <v>295</v>
      </c>
      <c r="U88" s="135" t="s">
        <v>300</v>
      </c>
      <c r="V88" s="135" t="s">
        <v>305</v>
      </c>
      <c r="W88" s="135" t="s">
        <v>310</v>
      </c>
      <c r="X88" s="135" t="s">
        <v>315</v>
      </c>
      <c r="Y88" s="135" t="s">
        <v>320</v>
      </c>
      <c r="Z88" s="135" t="s">
        <v>325</v>
      </c>
      <c r="AA88" s="135" t="s">
        <v>330</v>
      </c>
      <c r="AB88" s="135" t="s">
        <v>361</v>
      </c>
      <c r="AC88" s="135" t="s">
        <v>366</v>
      </c>
      <c r="AD88" s="135" t="s">
        <v>371</v>
      </c>
      <c r="AE88" s="135" t="s">
        <v>376</v>
      </c>
      <c r="AF88" s="135" t="s">
        <v>381</v>
      </c>
      <c r="AG88" s="135" t="s">
        <v>405</v>
      </c>
      <c r="AH88" s="135" t="s">
        <v>415</v>
      </c>
      <c r="AI88" s="135" t="s">
        <v>420</v>
      </c>
      <c r="AJ88" s="135" t="s">
        <v>425</v>
      </c>
      <c r="AK88" s="135" t="s">
        <v>430</v>
      </c>
      <c r="AL88" s="135" t="s">
        <v>435</v>
      </c>
      <c r="AM88" s="135" t="s">
        <v>440</v>
      </c>
      <c r="AN88" s="135" t="s">
        <v>444</v>
      </c>
      <c r="AO88" s="135" t="s">
        <v>459</v>
      </c>
      <c r="AP88" s="135" t="s">
        <v>464</v>
      </c>
      <c r="AQ88" s="135" t="s">
        <v>469</v>
      </c>
      <c r="AR88" s="135" t="s">
        <v>474</v>
      </c>
      <c r="AS88" s="135" t="s">
        <v>484</v>
      </c>
      <c r="AT88" s="135" t="s">
        <v>489</v>
      </c>
      <c r="AU88" s="135" t="s">
        <v>494</v>
      </c>
      <c r="AV88" s="135" t="s">
        <v>499</v>
      </c>
      <c r="AW88" s="145" t="s">
        <v>504</v>
      </c>
    </row>
    <row r="89" spans="1:49" ht="60" customHeight="1" x14ac:dyDescent="0.35">
      <c r="A89" s="142" t="s">
        <v>2482</v>
      </c>
      <c r="B89" s="128" t="s">
        <v>2491</v>
      </c>
      <c r="C89" s="129" t="s">
        <v>2492</v>
      </c>
      <c r="D89" s="131" t="s">
        <v>2493</v>
      </c>
      <c r="E89" s="131" t="s">
        <v>2494</v>
      </c>
      <c r="F89" s="131" t="s">
        <v>2495</v>
      </c>
      <c r="G89" s="131" t="s">
        <v>2019</v>
      </c>
      <c r="H89" s="131" t="s">
        <v>2496</v>
      </c>
      <c r="I89" s="133">
        <f>IF(COUNTIF(J89:AW89,"&lt;&gt;")=0,"",SUMPRODUCT(((Recommendations[ImplStatus]="Implemented")+(Recommendations[ImplStatus]="Compensated"))*ISNUMBER(MATCH(Recommendations[Id],J89:AW89,0)))/COUNTIF(J89:AW89,"&lt;&gt;"))</f>
        <v>0</v>
      </c>
      <c r="J89" s="135" t="s">
        <v>280</v>
      </c>
      <c r="K89" s="135" t="s">
        <v>285</v>
      </c>
      <c r="L89" s="135" t="s">
        <v>300</v>
      </c>
      <c r="M89" s="135" t="s">
        <v>305</v>
      </c>
      <c r="N89" s="135" t="s">
        <v>310</v>
      </c>
      <c r="O89" s="135" t="s">
        <v>330</v>
      </c>
      <c r="P89" s="135" t="s">
        <v>579</v>
      </c>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2482</v>
      </c>
      <c r="B90" s="128" t="s">
        <v>2497</v>
      </c>
      <c r="C90" s="129" t="s">
        <v>2498</v>
      </c>
      <c r="D90" s="131" t="s">
        <v>2499</v>
      </c>
      <c r="E90" s="131" t="s">
        <v>2500</v>
      </c>
      <c r="F90" s="131" t="s">
        <v>2501</v>
      </c>
      <c r="G90" s="131" t="s">
        <v>2489</v>
      </c>
      <c r="H90" s="131" t="s">
        <v>2502</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2482</v>
      </c>
      <c r="B91" s="128" t="s">
        <v>2503</v>
      </c>
      <c r="C91" s="129" t="s">
        <v>2504</v>
      </c>
      <c r="D91" s="131" t="s">
        <v>2505</v>
      </c>
      <c r="E91" s="131" t="s">
        <v>2506</v>
      </c>
      <c r="F91" s="131" t="s">
        <v>2507</v>
      </c>
      <c r="G91" s="131" t="s">
        <v>2019</v>
      </c>
      <c r="H91" s="131" t="s">
        <v>2508</v>
      </c>
      <c r="I91" s="133">
        <f>IF(COUNTIF(J91:AW91,"&lt;&gt;")=0,"",SUMPRODUCT(((Recommendations[ImplStatus]="Implemented")+(Recommendations[ImplStatus]="Compensated"))*ISNUMBER(MATCH(Recommendations[Id],J91:AW91,0)))/COUNTIF(J91:AW91,"&lt;&gt;"))</f>
        <v>0</v>
      </c>
      <c r="J91" s="135" t="s">
        <v>160</v>
      </c>
      <c r="K91" s="135" t="s">
        <v>165</v>
      </c>
      <c r="L91" s="135" t="s">
        <v>175</v>
      </c>
      <c r="M91" s="135" t="s">
        <v>180</v>
      </c>
      <c r="N91" s="135" t="s">
        <v>229</v>
      </c>
      <c r="O91" s="135" t="s">
        <v>341</v>
      </c>
      <c r="P91" s="135" t="s">
        <v>479</v>
      </c>
      <c r="Q91" s="135" t="s">
        <v>569</v>
      </c>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2482</v>
      </c>
      <c r="B92" s="128" t="s">
        <v>2509</v>
      </c>
      <c r="C92" s="129" t="s">
        <v>2510</v>
      </c>
      <c r="D92" s="131" t="s">
        <v>2511</v>
      </c>
      <c r="E92" s="131" t="s">
        <v>2512</v>
      </c>
      <c r="F92" s="131" t="s">
        <v>2513</v>
      </c>
      <c r="G92" s="131" t="s">
        <v>2019</v>
      </c>
      <c r="H92" s="131" t="s">
        <v>2514</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2482</v>
      </c>
      <c r="B93" s="128" t="s">
        <v>2515</v>
      </c>
      <c r="C93" s="129" t="s">
        <v>2516</v>
      </c>
      <c r="D93" s="131" t="s">
        <v>2517</v>
      </c>
      <c r="E93" s="131" t="s">
        <v>2518</v>
      </c>
      <c r="F93" s="131" t="s">
        <v>2519</v>
      </c>
      <c r="G93" s="131" t="s">
        <v>2520</v>
      </c>
      <c r="H93" s="131" t="s">
        <v>2521</v>
      </c>
      <c r="I93" s="133">
        <f>IF(COUNTIF(J93:AW93,"&lt;&gt;")=0,"",SUMPRODUCT(((Recommendations[ImplStatus]="Implemented")+(Recommendations[ImplStatus]="Compensated"))*ISNUMBER(MATCH(Recommendations[Id],J93:AW93,0)))/COUNTIF(J93:AW93,"&lt;&gt;"))</f>
        <v>0</v>
      </c>
      <c r="J93" s="135" t="s">
        <v>160</v>
      </c>
      <c r="K93" s="135" t="s">
        <v>165</v>
      </c>
      <c r="L93" s="135" t="s">
        <v>175</v>
      </c>
      <c r="M93" s="135" t="s">
        <v>180</v>
      </c>
      <c r="N93" s="135" t="s">
        <v>208</v>
      </c>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2482</v>
      </c>
      <c r="B94" s="128" t="s">
        <v>2522</v>
      </c>
      <c r="C94" s="129" t="s">
        <v>2523</v>
      </c>
      <c r="D94" s="131" t="s">
        <v>2524</v>
      </c>
      <c r="E94" s="131" t="s">
        <v>2525</v>
      </c>
      <c r="F94" s="131" t="s">
        <v>2526</v>
      </c>
      <c r="G94" s="131" t="s">
        <v>2527</v>
      </c>
      <c r="H94" s="131" t="s">
        <v>2528</v>
      </c>
      <c r="I94" s="133">
        <f>IF(COUNTIF(J94:AW94,"&lt;&gt;")=0,"",SUMPRODUCT(((Recommendations[ImplStatus]="Implemented")+(Recommendations[ImplStatus]="Compensated"))*ISNUMBER(MATCH(Recommendations[Id],J94:AW94,0)))/COUNTIF(J94:AW94,"&lt;&gt;"))</f>
        <v>0</v>
      </c>
      <c r="J94" s="135" t="s">
        <v>130</v>
      </c>
      <c r="K94" s="135" t="s">
        <v>160</v>
      </c>
      <c r="L94" s="135" t="s">
        <v>165</v>
      </c>
      <c r="M94" s="135" t="s">
        <v>175</v>
      </c>
      <c r="N94" s="135" t="s">
        <v>180</v>
      </c>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2482</v>
      </c>
      <c r="B95" s="128" t="s">
        <v>2529</v>
      </c>
      <c r="C95" s="129" t="s">
        <v>2530</v>
      </c>
      <c r="D95" s="131" t="s">
        <v>2531</v>
      </c>
      <c r="E95" s="131" t="s">
        <v>2532</v>
      </c>
      <c r="F95" s="131" t="s">
        <v>2533</v>
      </c>
      <c r="G95" s="131" t="s">
        <v>2534</v>
      </c>
      <c r="H95" s="131" t="s">
        <v>2535</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2482</v>
      </c>
      <c r="B96" s="128" t="s">
        <v>2536</v>
      </c>
      <c r="C96" s="129" t="s">
        <v>2537</v>
      </c>
      <c r="D96" s="131" t="s">
        <v>2538</v>
      </c>
      <c r="E96" s="131" t="s">
        <v>2539</v>
      </c>
      <c r="F96" s="131" t="s">
        <v>2540</v>
      </c>
      <c r="G96" s="131" t="s">
        <v>2541</v>
      </c>
      <c r="H96" s="131" t="s">
        <v>2542</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2482</v>
      </c>
      <c r="B97" s="128" t="s">
        <v>2543</v>
      </c>
      <c r="C97" s="129" t="s">
        <v>2544</v>
      </c>
      <c r="D97" s="131" t="s">
        <v>2545</v>
      </c>
      <c r="E97" s="131" t="s">
        <v>2546</v>
      </c>
      <c r="F97" s="131" t="s">
        <v>2547</v>
      </c>
      <c r="G97" s="131" t="s">
        <v>2548</v>
      </c>
      <c r="H97" s="131" t="s">
        <v>2549</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2550</v>
      </c>
      <c r="B98" s="127"/>
      <c r="C98" s="126" t="s">
        <v>2551</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2550</v>
      </c>
      <c r="B99" s="128" t="s">
        <v>2552</v>
      </c>
      <c r="C99" s="129" t="s">
        <v>2553</v>
      </c>
      <c r="D99" s="131" t="s">
        <v>2554</v>
      </c>
      <c r="E99" s="131" t="s">
        <v>2555</v>
      </c>
      <c r="F99" s="131" t="s">
        <v>2556</v>
      </c>
      <c r="G99" s="131" t="s">
        <v>2557</v>
      </c>
      <c r="H99" s="131" t="s">
        <v>2558</v>
      </c>
      <c r="I99" s="133">
        <f>IF(COUNTIF(J99:AW99,"&lt;&gt;")=0,"",SUMPRODUCT(((Recommendations[ImplStatus]="Implemented")+(Recommendations[ImplStatus]="Compensated"))*ISNUMBER(MATCH(Recommendations[Id],J99:AW99,0)))/COUNTIF(J99:AW99,"&lt;&gt;"))</f>
        <v>0</v>
      </c>
      <c r="J99" s="135" t="s">
        <v>218</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2550</v>
      </c>
      <c r="B100" s="128" t="s">
        <v>2559</v>
      </c>
      <c r="C100" s="129" t="s">
        <v>2560</v>
      </c>
      <c r="D100" s="131" t="s">
        <v>2561</v>
      </c>
      <c r="E100" s="131" t="s">
        <v>2562</v>
      </c>
      <c r="F100" s="131" t="s">
        <v>2563</v>
      </c>
      <c r="G100" s="131" t="s">
        <v>2564</v>
      </c>
      <c r="H100" s="131" t="s">
        <v>2565</v>
      </c>
      <c r="I100" s="133">
        <f>IF(COUNTIF(J100:AW100,"&lt;&gt;")=0,"",SUMPRODUCT(((Recommendations[ImplStatus]="Implemented")+(Recommendations[ImplStatus]="Compensated"))*ISNUMBER(MATCH(Recommendations[Id],J100:AW100,0)))/COUNTIF(J100:AW100,"&lt;&gt;"))</f>
        <v>0</v>
      </c>
      <c r="J100" s="135" t="s">
        <v>234</v>
      </c>
      <c r="K100" s="135" t="s">
        <v>255</v>
      </c>
      <c r="L100" s="135" t="s">
        <v>275</v>
      </c>
      <c r="M100" s="135" t="s">
        <v>356</v>
      </c>
      <c r="N100" s="135" t="s">
        <v>519</v>
      </c>
      <c r="O100" s="135" t="s">
        <v>589</v>
      </c>
      <c r="P100" s="135" t="s">
        <v>624</v>
      </c>
      <c r="Q100" s="135" t="s">
        <v>627</v>
      </c>
      <c r="R100" s="135" t="s">
        <v>662</v>
      </c>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2550</v>
      </c>
      <c r="B101" s="128" t="s">
        <v>2566</v>
      </c>
      <c r="C101" s="129" t="s">
        <v>2567</v>
      </c>
      <c r="D101" s="131" t="s">
        <v>2568</v>
      </c>
      <c r="E101" s="131" t="s">
        <v>2569</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2550</v>
      </c>
      <c r="B102" s="128" t="s">
        <v>2570</v>
      </c>
      <c r="C102" s="129" t="s">
        <v>2571</v>
      </c>
      <c r="D102" s="131" t="s">
        <v>2572</v>
      </c>
      <c r="E102" s="131" t="s">
        <v>2573</v>
      </c>
      <c r="F102" s="131" t="s">
        <v>2574</v>
      </c>
      <c r="G102" s="131" t="s">
        <v>2575</v>
      </c>
      <c r="H102" s="131" t="s">
        <v>2576</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2550</v>
      </c>
      <c r="B103" s="128" t="s">
        <v>2577</v>
      </c>
      <c r="C103" s="129" t="s">
        <v>2578</v>
      </c>
      <c r="D103" s="131" t="s">
        <v>2579</v>
      </c>
      <c r="E103" s="131" t="s">
        <v>2580</v>
      </c>
      <c r="F103" s="131" t="s">
        <v>2581</v>
      </c>
      <c r="G103" s="131" t="s">
        <v>2582</v>
      </c>
      <c r="H103" s="131" t="s">
        <v>2583</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2584</v>
      </c>
      <c r="B104" s="127"/>
      <c r="C104" s="126" t="s">
        <v>2585</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2584</v>
      </c>
      <c r="B105" s="128" t="s">
        <v>2586</v>
      </c>
      <c r="C105" s="129" t="s">
        <v>2587</v>
      </c>
      <c r="D105" s="131" t="s">
        <v>2588</v>
      </c>
      <c r="E105" s="131" t="s">
        <v>2589</v>
      </c>
      <c r="F105" s="131" t="s">
        <v>2590</v>
      </c>
      <c r="G105" s="131" t="s">
        <v>2591</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2584</v>
      </c>
      <c r="B106" s="128" t="s">
        <v>2592</v>
      </c>
      <c r="C106" s="129" t="s">
        <v>2593</v>
      </c>
      <c r="D106" s="131" t="s">
        <v>2594</v>
      </c>
      <c r="E106" s="131" t="s">
        <v>2595</v>
      </c>
      <c r="F106" s="131" t="s">
        <v>2596</v>
      </c>
      <c r="G106" s="131" t="s">
        <v>2597</v>
      </c>
      <c r="H106" s="131" t="s">
        <v>2598</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2584</v>
      </c>
      <c r="B107" s="128" t="s">
        <v>2599</v>
      </c>
      <c r="C107" s="129" t="s">
        <v>2600</v>
      </c>
      <c r="D107" s="131" t="s">
        <v>2601</v>
      </c>
      <c r="E107" s="131" t="s">
        <v>2602</v>
      </c>
      <c r="F107" s="131" t="s">
        <v>2603</v>
      </c>
      <c r="G107" s="131" t="s">
        <v>2604</v>
      </c>
      <c r="H107" s="131" t="s">
        <v>2605</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2606</v>
      </c>
      <c r="B108" s="127"/>
      <c r="C108" s="126" t="s">
        <v>2607</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2606</v>
      </c>
      <c r="B109" s="128" t="s">
        <v>2608</v>
      </c>
      <c r="C109" s="129" t="s">
        <v>2609</v>
      </c>
      <c r="D109" s="131" t="s">
        <v>2610</v>
      </c>
      <c r="E109" s="131" t="s">
        <v>2611</v>
      </c>
      <c r="F109" s="131" t="s">
        <v>2612</v>
      </c>
      <c r="G109" s="131" t="s">
        <v>2613</v>
      </c>
      <c r="H109" s="131" t="s">
        <v>2614</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2606</v>
      </c>
      <c r="B110" s="128" t="s">
        <v>2615</v>
      </c>
      <c r="C110" s="129" t="s">
        <v>2616</v>
      </c>
      <c r="D110" s="131" t="s">
        <v>2617</v>
      </c>
      <c r="E110" s="131" t="s">
        <v>2618</v>
      </c>
      <c r="F110" s="131" t="s">
        <v>2619</v>
      </c>
      <c r="G110" s="131" t="s">
        <v>2620</v>
      </c>
      <c r="H110" s="131" t="s">
        <v>2621</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2606</v>
      </c>
      <c r="B111" s="128" t="s">
        <v>2622</v>
      </c>
      <c r="C111" s="129" t="s">
        <v>2623</v>
      </c>
      <c r="D111" s="131" t="s">
        <v>2624</v>
      </c>
      <c r="E111" s="131" t="s">
        <v>2625</v>
      </c>
      <c r="F111" s="131" t="s">
        <v>2626</v>
      </c>
      <c r="G111" s="131" t="s">
        <v>2627</v>
      </c>
      <c r="H111" s="131" t="s">
        <v>2628</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2629</v>
      </c>
      <c r="B112" s="127"/>
      <c r="C112" s="126" t="s">
        <v>2630</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2629</v>
      </c>
      <c r="B113" s="128" t="s">
        <v>2631</v>
      </c>
      <c r="C113" s="129" t="s">
        <v>2632</v>
      </c>
      <c r="D113" s="131" t="s">
        <v>2633</v>
      </c>
      <c r="E113" s="131" t="s">
        <v>2634</v>
      </c>
      <c r="F113" s="131" t="s">
        <v>2635</v>
      </c>
      <c r="G113" s="131" t="s">
        <v>2636</v>
      </c>
      <c r="H113" s="131" t="s">
        <v>2637</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2629</v>
      </c>
      <c r="B114" s="128" t="s">
        <v>2638</v>
      </c>
      <c r="C114" s="129" t="s">
        <v>2639</v>
      </c>
      <c r="D114" s="131" t="s">
        <v>2640</v>
      </c>
      <c r="E114" s="131" t="s">
        <v>2641</v>
      </c>
      <c r="F114" s="131" t="s">
        <v>2642</v>
      </c>
      <c r="G114" s="131" t="s">
        <v>2636</v>
      </c>
      <c r="H114" s="131" t="s">
        <v>2643</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2629</v>
      </c>
      <c r="B115" s="136" t="s">
        <v>2644</v>
      </c>
      <c r="C115" s="137" t="s">
        <v>2645</v>
      </c>
      <c r="D115" s="138" t="s">
        <v>2646</v>
      </c>
      <c r="E115" s="138" t="s">
        <v>2647</v>
      </c>
      <c r="F115" s="138" t="s">
        <v>2648</v>
      </c>
      <c r="G115" s="138" t="s">
        <v>2649</v>
      </c>
      <c r="H115" s="138" t="s">
        <v>2650</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770</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IFERROR(INDEX('Recommendations'!$H$2:$H$153, MATCH(J2,'Recommendations'!$A$2:$A$153,0))="Implemented", FALSE))</xm:f>
            <x14:dxf>
              <font>
                <color rgb="FF000000"/>
              </font>
              <fill>
                <patternFill>
                  <bgColor rgb="FF3C7D22"/>
                </patternFill>
              </fill>
            </x14:dxf>
          </x14:cfRule>
          <x14:cfRule type="expression" priority="2" id="{00000000-000E-0000-0600-000002000000}">
            <xm:f>AND(J2&lt;&gt;"", IFERROR(INDEX('Recommendations'!$H$2:$H$153, MATCH(J2,'Recommendations'!$A$2:$A$153,0))="Compensated", FALSE))</xm:f>
            <x14:dxf>
              <font>
                <color rgb="FF000000"/>
              </font>
              <fill>
                <patternFill>
                  <bgColor rgb="FFC6E0B4"/>
                </patternFill>
              </fill>
            </x14:dxf>
          </x14:cfRule>
          <x14:cfRule type="expression" priority="3" id="{00000000-000E-0000-0600-000003000000}">
            <xm:f>AND(J2&lt;&gt;"", IFERROR(INDEX('Recommendations'!$H$2:$H$153, MATCH(J2,'Recommendations'!$A$2:$A$153,0))="Testing", FALSE))</xm:f>
            <x14:dxf>
              <font>
                <color rgb="FF000000"/>
              </font>
              <fill>
                <patternFill>
                  <bgColor rgb="FFFFC000"/>
                </patternFill>
              </fill>
            </x14:dxf>
          </x14:cfRule>
          <x14:cfRule type="expression" priority="4" id="{00000000-000E-0000-0600-000004000000}">
            <xm:f>AND(J2&lt;&gt;"", IFERROR(INDEX('Recommendations'!$H$2:$H$153, MATCH(J2,'Recommendations'!$A$2:$A$153,0))="Failed", FALSE))</xm:f>
            <x14:dxf>
              <font>
                <color rgb="FF000000"/>
              </font>
              <fill>
                <patternFill>
                  <bgColor rgb="FFD82891"/>
                </patternFill>
              </fill>
            </x14:dxf>
          </x14:cfRule>
          <x14:cfRule type="expression" priority="5" id="{00000000-000E-0000-0600-000005000000}">
            <xm:f>AND(J2&lt;&gt;"", IFERROR(INDEX('Recommendations'!$H$2:$H$153, MATCH(J2,'Recommendations'!$A$2:$A$153,0))="Risk Accepted", FALSE))</xm:f>
            <x14:dxf>
              <font>
                <color rgb="FF000000"/>
              </font>
              <fill>
                <patternFill>
                  <bgColor rgb="FFD9D9D9"/>
                </patternFill>
              </fill>
            </x14:dxf>
          </x14:cfRule>
          <x14:cfRule type="expression" priority="6" id="{00000000-000E-0000-0600-000006000000}">
            <xm:f>AND(J2&lt;&gt;"", IFERROR(INDEX('Recommendations'!$H$2:$H$153, MATCH(J2,'Recommendations'!$A$2:$A$153,0))="N/A",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2651</v>
      </c>
      <c r="B1" s="187" t="s">
        <v>2652</v>
      </c>
      <c r="C1" s="187" t="s">
        <v>0</v>
      </c>
      <c r="D1" s="187" t="s">
        <v>2653</v>
      </c>
      <c r="E1" s="187" t="s">
        <v>2654</v>
      </c>
      <c r="F1" s="187" t="s">
        <v>2655</v>
      </c>
      <c r="G1" s="187" t="s">
        <v>1020</v>
      </c>
      <c r="H1" s="187" t="s">
        <v>1021</v>
      </c>
      <c r="I1" s="187" t="s">
        <v>1022</v>
      </c>
      <c r="J1" s="187" t="s">
        <v>1023</v>
      </c>
      <c r="K1" s="187" t="s">
        <v>1024</v>
      </c>
      <c r="L1" s="187" t="s">
        <v>1025</v>
      </c>
      <c r="M1" s="187" t="s">
        <v>1026</v>
      </c>
      <c r="N1" s="187" t="s">
        <v>1027</v>
      </c>
      <c r="O1" s="187" t="s">
        <v>1028</v>
      </c>
      <c r="P1" s="187" t="s">
        <v>1029</v>
      </c>
      <c r="Q1" s="187" t="s">
        <v>1030</v>
      </c>
      <c r="R1" s="187" t="s">
        <v>1031</v>
      </c>
      <c r="S1" s="187" t="s">
        <v>1032</v>
      </c>
      <c r="T1" s="187" t="s">
        <v>1033</v>
      </c>
      <c r="U1" s="187" t="s">
        <v>1034</v>
      </c>
      <c r="V1" s="187" t="s">
        <v>1035</v>
      </c>
      <c r="W1" s="187" t="s">
        <v>1036</v>
      </c>
      <c r="X1" s="187" t="s">
        <v>1037</v>
      </c>
      <c r="Y1" s="187" t="s">
        <v>1038</v>
      </c>
      <c r="Z1" s="187" t="s">
        <v>1039</v>
      </c>
      <c r="AA1" s="187" t="s">
        <v>1040</v>
      </c>
      <c r="AB1" s="187" t="s">
        <v>1041</v>
      </c>
      <c r="AC1" s="187" t="s">
        <v>1042</v>
      </c>
      <c r="AD1" s="187" t="s">
        <v>1043</v>
      </c>
      <c r="AE1" s="187" t="s">
        <v>1044</v>
      </c>
      <c r="AF1" s="187" t="s">
        <v>1045</v>
      </c>
      <c r="AG1" s="187" t="s">
        <v>1046</v>
      </c>
      <c r="AH1" s="187" t="s">
        <v>1047</v>
      </c>
      <c r="AI1" s="187" t="s">
        <v>1048</v>
      </c>
      <c r="AJ1" s="187" t="s">
        <v>1049</v>
      </c>
      <c r="AK1" s="187" t="s">
        <v>1050</v>
      </c>
      <c r="AL1" s="187" t="s">
        <v>1051</v>
      </c>
      <c r="AM1" s="187" t="s">
        <v>1052</v>
      </c>
      <c r="AN1" s="187" t="s">
        <v>1053</v>
      </c>
      <c r="AO1" s="187" t="s">
        <v>1054</v>
      </c>
      <c r="AP1" s="187" t="s">
        <v>1055</v>
      </c>
      <c r="AQ1" s="187" t="s">
        <v>1056</v>
      </c>
      <c r="AR1" s="187" t="s">
        <v>1057</v>
      </c>
      <c r="AS1" s="187" t="s">
        <v>1058</v>
      </c>
      <c r="AT1" s="187" t="s">
        <v>1059</v>
      </c>
      <c r="AU1" s="188" t="s">
        <v>1060</v>
      </c>
    </row>
    <row r="2" spans="1:47" ht="60" customHeight="1" outlineLevel="1" x14ac:dyDescent="0.35">
      <c r="A2" s="178" t="s">
        <v>2656</v>
      </c>
      <c r="B2" s="152" t="s">
        <v>21</v>
      </c>
      <c r="C2" s="150" t="s">
        <v>2657</v>
      </c>
      <c r="D2" s="156" t="s">
        <v>2658</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2656</v>
      </c>
      <c r="B3" s="153" t="s">
        <v>2659</v>
      </c>
      <c r="C3" s="151" t="s">
        <v>2660</v>
      </c>
      <c r="D3" s="157" t="s">
        <v>2661</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2656</v>
      </c>
      <c r="B4" s="154" t="s">
        <v>2659</v>
      </c>
      <c r="C4" s="155" t="s">
        <v>2662</v>
      </c>
      <c r="D4" s="158" t="s">
        <v>2663</v>
      </c>
      <c r="E4" s="161" t="s">
        <v>2664</v>
      </c>
      <c r="F4" s="164" t="s">
        <v>2665</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2656</v>
      </c>
      <c r="B5" s="154" t="s">
        <v>2659</v>
      </c>
      <c r="C5" s="155" t="s">
        <v>2666</v>
      </c>
      <c r="D5" s="158" t="s">
        <v>2667</v>
      </c>
      <c r="E5" s="161" t="s">
        <v>2668</v>
      </c>
      <c r="F5" s="164" t="s">
        <v>2669</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2656</v>
      </c>
      <c r="B6" s="154" t="s">
        <v>2659</v>
      </c>
      <c r="C6" s="155" t="s">
        <v>2670</v>
      </c>
      <c r="D6" s="158" t="s">
        <v>2671</v>
      </c>
      <c r="E6" s="161" t="s">
        <v>2672</v>
      </c>
      <c r="F6" s="164" t="s">
        <v>2669</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2656</v>
      </c>
      <c r="B7" s="154" t="s">
        <v>2659</v>
      </c>
      <c r="C7" s="155" t="s">
        <v>2673</v>
      </c>
      <c r="D7" s="158" t="s">
        <v>2674</v>
      </c>
      <c r="E7" s="161" t="s">
        <v>2675</v>
      </c>
      <c r="F7" s="164" t="s">
        <v>2669</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2656</v>
      </c>
      <c r="B8" s="154" t="s">
        <v>2659</v>
      </c>
      <c r="C8" s="155" t="s">
        <v>2676</v>
      </c>
      <c r="D8" s="158" t="s">
        <v>2677</v>
      </c>
      <c r="E8" s="161" t="s">
        <v>2678</v>
      </c>
      <c r="F8" s="164" t="s">
        <v>2679</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2656</v>
      </c>
      <c r="B9" s="153" t="s">
        <v>2680</v>
      </c>
      <c r="C9" s="151" t="s">
        <v>2681</v>
      </c>
      <c r="D9" s="157" t="s">
        <v>2682</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2656</v>
      </c>
      <c r="B10" s="154" t="s">
        <v>2680</v>
      </c>
      <c r="C10" s="155" t="s">
        <v>2683</v>
      </c>
      <c r="D10" s="158" t="s">
        <v>2684</v>
      </c>
      <c r="E10" s="161" t="s">
        <v>2685</v>
      </c>
      <c r="F10" s="164" t="s">
        <v>2665</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2656</v>
      </c>
      <c r="B11" s="154" t="s">
        <v>2680</v>
      </c>
      <c r="C11" s="155" t="s">
        <v>2686</v>
      </c>
      <c r="D11" s="158" t="s">
        <v>2687</v>
      </c>
      <c r="E11" s="161" t="s">
        <v>2688</v>
      </c>
      <c r="F11" s="164" t="s">
        <v>2665</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2656</v>
      </c>
      <c r="B12" s="154" t="s">
        <v>2680</v>
      </c>
      <c r="C12" s="155" t="s">
        <v>2689</v>
      </c>
      <c r="D12" s="158" t="s">
        <v>2690</v>
      </c>
      <c r="E12" s="161" t="s">
        <v>2691</v>
      </c>
      <c r="F12" s="164" t="s">
        <v>2665</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2656</v>
      </c>
      <c r="B13" s="153" t="s">
        <v>2692</v>
      </c>
      <c r="C13" s="151" t="s">
        <v>2693</v>
      </c>
      <c r="D13" s="157" t="s">
        <v>2694</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2656</v>
      </c>
      <c r="B14" s="154" t="s">
        <v>2692</v>
      </c>
      <c r="C14" s="155" t="s">
        <v>2695</v>
      </c>
      <c r="D14" s="158" t="s">
        <v>2696</v>
      </c>
      <c r="E14" s="161" t="s">
        <v>2697</v>
      </c>
      <c r="F14" s="164" t="s">
        <v>2665</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2656</v>
      </c>
      <c r="B15" s="154" t="s">
        <v>2692</v>
      </c>
      <c r="C15" s="155" t="s">
        <v>2698</v>
      </c>
      <c r="D15" s="158" t="s">
        <v>2699</v>
      </c>
      <c r="E15" s="161" t="s">
        <v>2700</v>
      </c>
      <c r="F15" s="164" t="s">
        <v>2665</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2656</v>
      </c>
      <c r="B16" s="153" t="s">
        <v>2701</v>
      </c>
      <c r="C16" s="151" t="s">
        <v>2702</v>
      </c>
      <c r="D16" s="157" t="s">
        <v>2703</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2656</v>
      </c>
      <c r="B17" s="154" t="s">
        <v>2701</v>
      </c>
      <c r="C17" s="155" t="s">
        <v>2704</v>
      </c>
      <c r="D17" s="158" t="s">
        <v>2705</v>
      </c>
      <c r="E17" s="161" t="s">
        <v>2706</v>
      </c>
      <c r="F17" s="164" t="s">
        <v>2665</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2656</v>
      </c>
      <c r="B18" s="154" t="s">
        <v>2701</v>
      </c>
      <c r="C18" s="155" t="s">
        <v>2707</v>
      </c>
      <c r="D18" s="158" t="s">
        <v>2708</v>
      </c>
      <c r="E18" s="161" t="s">
        <v>2709</v>
      </c>
      <c r="F18" s="164" t="s">
        <v>2669</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2656</v>
      </c>
      <c r="B19" s="154" t="s">
        <v>2701</v>
      </c>
      <c r="C19" s="155" t="s">
        <v>2710</v>
      </c>
      <c r="D19" s="158" t="s">
        <v>2711</v>
      </c>
      <c r="E19" s="161" t="s">
        <v>2712</v>
      </c>
      <c r="F19" s="164" t="s">
        <v>2665</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2656</v>
      </c>
      <c r="B20" s="154" t="s">
        <v>2701</v>
      </c>
      <c r="C20" s="155" t="s">
        <v>2713</v>
      </c>
      <c r="D20" s="158" t="s">
        <v>2714</v>
      </c>
      <c r="E20" s="161" t="s">
        <v>2715</v>
      </c>
      <c r="F20" s="164" t="s">
        <v>2665</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2656</v>
      </c>
      <c r="B21" s="154" t="s">
        <v>2701</v>
      </c>
      <c r="C21" s="155" t="s">
        <v>2716</v>
      </c>
      <c r="D21" s="158" t="s">
        <v>2717</v>
      </c>
      <c r="E21" s="161" t="s">
        <v>2718</v>
      </c>
      <c r="F21" s="164" t="s">
        <v>2669</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2656</v>
      </c>
      <c r="B22" s="154" t="s">
        <v>2701</v>
      </c>
      <c r="C22" s="155" t="s">
        <v>2719</v>
      </c>
      <c r="D22" s="158" t="s">
        <v>2720</v>
      </c>
      <c r="E22" s="161" t="s">
        <v>2721</v>
      </c>
      <c r="F22" s="164" t="s">
        <v>2665</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2656</v>
      </c>
      <c r="B23" s="154" t="s">
        <v>2701</v>
      </c>
      <c r="C23" s="155" t="s">
        <v>2722</v>
      </c>
      <c r="D23" s="158" t="s">
        <v>2723</v>
      </c>
      <c r="E23" s="161" t="s">
        <v>2724</v>
      </c>
      <c r="F23" s="164" t="s">
        <v>2665</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2656</v>
      </c>
      <c r="B24" s="153" t="s">
        <v>2725</v>
      </c>
      <c r="C24" s="151" t="s">
        <v>2726</v>
      </c>
      <c r="D24" s="157" t="s">
        <v>2727</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2656</v>
      </c>
      <c r="B25" s="154" t="s">
        <v>2725</v>
      </c>
      <c r="C25" s="155" t="s">
        <v>2728</v>
      </c>
      <c r="D25" s="158" t="s">
        <v>2729</v>
      </c>
      <c r="E25" s="161" t="s">
        <v>2730</v>
      </c>
      <c r="F25" s="164" t="s">
        <v>2665</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2656</v>
      </c>
      <c r="B26" s="154" t="s">
        <v>2725</v>
      </c>
      <c r="C26" s="155" t="s">
        <v>2731</v>
      </c>
      <c r="D26" s="158" t="s">
        <v>2732</v>
      </c>
      <c r="E26" s="161" t="s">
        <v>2733</v>
      </c>
      <c r="F26" s="164" t="s">
        <v>2665</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2656</v>
      </c>
      <c r="B27" s="154" t="s">
        <v>2725</v>
      </c>
      <c r="C27" s="155" t="s">
        <v>2734</v>
      </c>
      <c r="D27" s="158" t="s">
        <v>2735</v>
      </c>
      <c r="E27" s="161" t="s">
        <v>2736</v>
      </c>
      <c r="F27" s="164" t="s">
        <v>2669</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2656</v>
      </c>
      <c r="B28" s="154" t="s">
        <v>2725</v>
      </c>
      <c r="C28" s="155" t="s">
        <v>2737</v>
      </c>
      <c r="D28" s="158" t="s">
        <v>2738</v>
      </c>
      <c r="E28" s="161" t="s">
        <v>2739</v>
      </c>
      <c r="F28" s="164" t="s">
        <v>2665</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2656</v>
      </c>
      <c r="B29" s="153" t="s">
        <v>2740</v>
      </c>
      <c r="C29" s="151" t="s">
        <v>2741</v>
      </c>
      <c r="D29" s="157" t="s">
        <v>2742</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2656</v>
      </c>
      <c r="B30" s="154" t="s">
        <v>2740</v>
      </c>
      <c r="C30" s="155" t="s">
        <v>2743</v>
      </c>
      <c r="D30" s="158" t="s">
        <v>2744</v>
      </c>
      <c r="E30" s="161" t="s">
        <v>2745</v>
      </c>
      <c r="F30" s="164" t="s">
        <v>2679</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2656</v>
      </c>
      <c r="B31" s="154" t="s">
        <v>2740</v>
      </c>
      <c r="C31" s="155" t="s">
        <v>2746</v>
      </c>
      <c r="D31" s="158" t="s">
        <v>2747</v>
      </c>
      <c r="E31" s="161" t="s">
        <v>2748</v>
      </c>
      <c r="F31" s="164" t="s">
        <v>2679</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2656</v>
      </c>
      <c r="B32" s="154" t="s">
        <v>2740</v>
      </c>
      <c r="C32" s="155" t="s">
        <v>2749</v>
      </c>
      <c r="D32" s="158" t="s">
        <v>2750</v>
      </c>
      <c r="E32" s="161" t="s">
        <v>2751</v>
      </c>
      <c r="F32" s="164" t="s">
        <v>2679</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2656</v>
      </c>
      <c r="B33" s="154" t="s">
        <v>2740</v>
      </c>
      <c r="C33" s="155" t="s">
        <v>2752</v>
      </c>
      <c r="D33" s="158" t="s">
        <v>2753</v>
      </c>
      <c r="E33" s="161" t="s">
        <v>2754</v>
      </c>
      <c r="F33" s="164" t="s">
        <v>2679</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2656</v>
      </c>
      <c r="B34" s="154" t="s">
        <v>2740</v>
      </c>
      <c r="C34" s="155" t="s">
        <v>2755</v>
      </c>
      <c r="D34" s="158" t="s">
        <v>2756</v>
      </c>
      <c r="E34" s="161" t="s">
        <v>2757</v>
      </c>
      <c r="F34" s="164" t="s">
        <v>2679</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2656</v>
      </c>
      <c r="B35" s="154" t="s">
        <v>2740</v>
      </c>
      <c r="C35" s="155" t="s">
        <v>2758</v>
      </c>
      <c r="D35" s="158" t="s">
        <v>2759</v>
      </c>
      <c r="E35" s="161" t="s">
        <v>2760</v>
      </c>
      <c r="F35" s="164" t="s">
        <v>2679</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2656</v>
      </c>
      <c r="B36" s="154" t="s">
        <v>2740</v>
      </c>
      <c r="C36" s="155" t="s">
        <v>2761</v>
      </c>
      <c r="D36" s="158" t="s">
        <v>2762</v>
      </c>
      <c r="E36" s="161" t="s">
        <v>2763</v>
      </c>
      <c r="F36" s="164" t="s">
        <v>2679</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2656</v>
      </c>
      <c r="B37" s="154" t="s">
        <v>2740</v>
      </c>
      <c r="C37" s="155" t="s">
        <v>2764</v>
      </c>
      <c r="D37" s="158" t="s">
        <v>2765</v>
      </c>
      <c r="E37" s="161" t="s">
        <v>2766</v>
      </c>
      <c r="F37" s="164" t="s">
        <v>2679</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2656</v>
      </c>
      <c r="B38" s="154" t="s">
        <v>2740</v>
      </c>
      <c r="C38" s="155" t="s">
        <v>2767</v>
      </c>
      <c r="D38" s="158" t="s">
        <v>2768</v>
      </c>
      <c r="E38" s="161" t="s">
        <v>2769</v>
      </c>
      <c r="F38" s="164" t="s">
        <v>2679</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2656</v>
      </c>
      <c r="B39" s="154" t="s">
        <v>2740</v>
      </c>
      <c r="C39" s="155" t="s">
        <v>2770</v>
      </c>
      <c r="D39" s="158" t="s">
        <v>2771</v>
      </c>
      <c r="E39" s="161" t="s">
        <v>2772</v>
      </c>
      <c r="F39" s="164" t="s">
        <v>2679</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2773</v>
      </c>
      <c r="B40" s="152" t="s">
        <v>21</v>
      </c>
      <c r="C40" s="150" t="s">
        <v>2774</v>
      </c>
      <c r="D40" s="156" t="s">
        <v>2775</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2773</v>
      </c>
      <c r="B41" s="153" t="s">
        <v>2776</v>
      </c>
      <c r="C41" s="151" t="s">
        <v>2777</v>
      </c>
      <c r="D41" s="157" t="s">
        <v>2778</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2773</v>
      </c>
      <c r="B42" s="154" t="s">
        <v>2776</v>
      </c>
      <c r="C42" s="155" t="s">
        <v>2779</v>
      </c>
      <c r="D42" s="158" t="s">
        <v>2780</v>
      </c>
      <c r="E42" s="161" t="s">
        <v>2781</v>
      </c>
      <c r="F42" s="164" t="s">
        <v>2665</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2773</v>
      </c>
      <c r="B43" s="154" t="s">
        <v>2776</v>
      </c>
      <c r="C43" s="155" t="s">
        <v>2782</v>
      </c>
      <c r="D43" s="158" t="s">
        <v>2783</v>
      </c>
      <c r="E43" s="161" t="s">
        <v>2784</v>
      </c>
      <c r="F43" s="164" t="s">
        <v>2665</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2773</v>
      </c>
      <c r="B44" s="154" t="s">
        <v>2776</v>
      </c>
      <c r="C44" s="155" t="s">
        <v>2785</v>
      </c>
      <c r="D44" s="158" t="s">
        <v>2786</v>
      </c>
      <c r="E44" s="161" t="s">
        <v>2787</v>
      </c>
      <c r="F44" s="164" t="s">
        <v>2669</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2773</v>
      </c>
      <c r="B45" s="154" t="s">
        <v>2776</v>
      </c>
      <c r="C45" s="155" t="s">
        <v>2788</v>
      </c>
      <c r="D45" s="158" t="s">
        <v>2789</v>
      </c>
      <c r="E45" s="161" t="s">
        <v>2790</v>
      </c>
      <c r="F45" s="164" t="s">
        <v>2679</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2773</v>
      </c>
      <c r="B46" s="154" t="s">
        <v>2776</v>
      </c>
      <c r="C46" s="155" t="s">
        <v>2791</v>
      </c>
      <c r="D46" s="158" t="s">
        <v>2792</v>
      </c>
      <c r="E46" s="161" t="s">
        <v>2793</v>
      </c>
      <c r="F46" s="164" t="s">
        <v>2665</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2773</v>
      </c>
      <c r="B47" s="154" t="s">
        <v>2776</v>
      </c>
      <c r="C47" s="155" t="s">
        <v>2794</v>
      </c>
      <c r="D47" s="158" t="s">
        <v>2795</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2773</v>
      </c>
      <c r="B48" s="154" t="s">
        <v>2776</v>
      </c>
      <c r="C48" s="155" t="s">
        <v>2796</v>
      </c>
      <c r="D48" s="158" t="s">
        <v>2797</v>
      </c>
      <c r="E48" s="161" t="s">
        <v>2798</v>
      </c>
      <c r="F48" s="164" t="s">
        <v>2665</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2773</v>
      </c>
      <c r="B49" s="154" t="s">
        <v>2776</v>
      </c>
      <c r="C49" s="155" t="s">
        <v>2799</v>
      </c>
      <c r="D49" s="158" t="s">
        <v>2800</v>
      </c>
      <c r="E49" s="161" t="s">
        <v>2801</v>
      </c>
      <c r="F49" s="164" t="s">
        <v>2669</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2773</v>
      </c>
      <c r="B50" s="153" t="s">
        <v>2802</v>
      </c>
      <c r="C50" s="151" t="s">
        <v>2803</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2773</v>
      </c>
      <c r="B51" s="154" t="s">
        <v>2802</v>
      </c>
      <c r="C51" s="155" t="s">
        <v>2804</v>
      </c>
      <c r="D51" s="158" t="s">
        <v>2805</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2773</v>
      </c>
      <c r="B52" s="154" t="s">
        <v>2802</v>
      </c>
      <c r="C52" s="155" t="s">
        <v>2806</v>
      </c>
      <c r="D52" s="158" t="s">
        <v>2807</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2773</v>
      </c>
      <c r="B53" s="154" t="s">
        <v>2802</v>
      </c>
      <c r="C53" s="155" t="s">
        <v>2808</v>
      </c>
      <c r="D53" s="158" t="s">
        <v>2809</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2773</v>
      </c>
      <c r="B54" s="154" t="s">
        <v>2802</v>
      </c>
      <c r="C54" s="155" t="s">
        <v>2810</v>
      </c>
      <c r="D54" s="158" t="s">
        <v>2811</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2773</v>
      </c>
      <c r="B55" s="154" t="s">
        <v>2802</v>
      </c>
      <c r="C55" s="155" t="s">
        <v>2812</v>
      </c>
      <c r="D55" s="158" t="s">
        <v>2813</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2773</v>
      </c>
      <c r="B56" s="153" t="s">
        <v>927</v>
      </c>
      <c r="C56" s="151" t="s">
        <v>2814</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2773</v>
      </c>
      <c r="B57" s="154" t="s">
        <v>927</v>
      </c>
      <c r="C57" s="155" t="s">
        <v>2815</v>
      </c>
      <c r="D57" s="158" t="s">
        <v>2816</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2773</v>
      </c>
      <c r="B58" s="154" t="s">
        <v>927</v>
      </c>
      <c r="C58" s="155" t="s">
        <v>2817</v>
      </c>
      <c r="D58" s="158" t="s">
        <v>2818</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2773</v>
      </c>
      <c r="B59" s="154" t="s">
        <v>927</v>
      </c>
      <c r="C59" s="155" t="s">
        <v>2819</v>
      </c>
      <c r="D59" s="158" t="s">
        <v>2820</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2773</v>
      </c>
      <c r="B60" s="154" t="s">
        <v>927</v>
      </c>
      <c r="C60" s="155" t="s">
        <v>2821</v>
      </c>
      <c r="D60" s="158" t="s">
        <v>2822</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2773</v>
      </c>
      <c r="B61" s="153" t="s">
        <v>2823</v>
      </c>
      <c r="C61" s="151" t="s">
        <v>2824</v>
      </c>
      <c r="D61" s="157" t="s">
        <v>2825</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2773</v>
      </c>
      <c r="B62" s="154" t="s">
        <v>2823</v>
      </c>
      <c r="C62" s="155" t="s">
        <v>2826</v>
      </c>
      <c r="D62" s="158" t="s">
        <v>2827</v>
      </c>
      <c r="E62" s="161" t="s">
        <v>2828</v>
      </c>
      <c r="F62" s="164" t="s">
        <v>2665</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2773</v>
      </c>
      <c r="B63" s="154" t="s">
        <v>2823</v>
      </c>
      <c r="C63" s="155" t="s">
        <v>2829</v>
      </c>
      <c r="D63" s="158" t="s">
        <v>2830</v>
      </c>
      <c r="E63" s="161" t="s">
        <v>2831</v>
      </c>
      <c r="F63" s="164" t="s">
        <v>2669</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2773</v>
      </c>
      <c r="B64" s="154" t="s">
        <v>2823</v>
      </c>
      <c r="C64" s="155" t="s">
        <v>2832</v>
      </c>
      <c r="D64" s="158" t="s">
        <v>2833</v>
      </c>
      <c r="E64" s="161" t="s">
        <v>2834</v>
      </c>
      <c r="F64" s="164" t="s">
        <v>2665</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2773</v>
      </c>
      <c r="B65" s="154" t="s">
        <v>2823</v>
      </c>
      <c r="C65" s="155" t="s">
        <v>2835</v>
      </c>
      <c r="D65" s="158" t="s">
        <v>2836</v>
      </c>
      <c r="E65" s="161" t="s">
        <v>2837</v>
      </c>
      <c r="F65" s="164" t="s">
        <v>2665</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2773</v>
      </c>
      <c r="B66" s="153" t="s">
        <v>2431</v>
      </c>
      <c r="C66" s="151" t="s">
        <v>2838</v>
      </c>
      <c r="D66" s="157" t="s">
        <v>2839</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2773</v>
      </c>
      <c r="B67" s="154" t="s">
        <v>2431</v>
      </c>
      <c r="C67" s="155" t="s">
        <v>2840</v>
      </c>
      <c r="D67" s="158" t="s">
        <v>2841</v>
      </c>
      <c r="E67" s="161" t="s">
        <v>2842</v>
      </c>
      <c r="F67" s="164" t="s">
        <v>2665</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2773</v>
      </c>
      <c r="B68" s="154" t="s">
        <v>2431</v>
      </c>
      <c r="C68" s="155" t="s">
        <v>2843</v>
      </c>
      <c r="D68" s="158" t="s">
        <v>2844</v>
      </c>
      <c r="E68" s="161" t="s">
        <v>2845</v>
      </c>
      <c r="F68" s="164" t="s">
        <v>2665</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2773</v>
      </c>
      <c r="B69" s="154" t="s">
        <v>2431</v>
      </c>
      <c r="C69" s="155" t="s">
        <v>2846</v>
      </c>
      <c r="D69" s="158" t="s">
        <v>2847</v>
      </c>
      <c r="E69" s="161" t="s">
        <v>2848</v>
      </c>
      <c r="F69" s="164" t="s">
        <v>2669</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2773</v>
      </c>
      <c r="B70" s="154" t="s">
        <v>2431</v>
      </c>
      <c r="C70" s="155" t="s">
        <v>2849</v>
      </c>
      <c r="D70" s="158" t="s">
        <v>2850</v>
      </c>
      <c r="E70" s="161" t="s">
        <v>2851</v>
      </c>
      <c r="F70" s="164" t="s">
        <v>2665</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2773</v>
      </c>
      <c r="B71" s="154" t="s">
        <v>2431</v>
      </c>
      <c r="C71" s="155" t="s">
        <v>2852</v>
      </c>
      <c r="D71" s="158" t="s">
        <v>2853</v>
      </c>
      <c r="E71" s="161" t="s">
        <v>2854</v>
      </c>
      <c r="F71" s="164" t="s">
        <v>2665</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2773</v>
      </c>
      <c r="B72" s="154" t="s">
        <v>2431</v>
      </c>
      <c r="C72" s="155" t="s">
        <v>2855</v>
      </c>
      <c r="D72" s="158" t="s">
        <v>2856</v>
      </c>
      <c r="E72" s="161" t="s">
        <v>2857</v>
      </c>
      <c r="F72" s="164" t="s">
        <v>2665</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2773</v>
      </c>
      <c r="B73" s="154" t="s">
        <v>2431</v>
      </c>
      <c r="C73" s="155" t="s">
        <v>2858</v>
      </c>
      <c r="D73" s="158" t="s">
        <v>2859</v>
      </c>
      <c r="E73" s="161" t="s">
        <v>2860</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2773</v>
      </c>
      <c r="B74" s="154" t="s">
        <v>2431</v>
      </c>
      <c r="C74" s="155" t="s">
        <v>2861</v>
      </c>
      <c r="D74" s="158" t="s">
        <v>2862</v>
      </c>
      <c r="E74" s="161" t="s">
        <v>2863</v>
      </c>
      <c r="F74" s="164" t="s">
        <v>2669</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2773</v>
      </c>
      <c r="B75" s="154" t="s">
        <v>2431</v>
      </c>
      <c r="C75" s="155" t="s">
        <v>2864</v>
      </c>
      <c r="D75" s="158" t="s">
        <v>2865</v>
      </c>
      <c r="E75" s="161" t="s">
        <v>2866</v>
      </c>
      <c r="F75" s="164" t="s">
        <v>2679</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2773</v>
      </c>
      <c r="B76" s="154" t="s">
        <v>2431</v>
      </c>
      <c r="C76" s="155" t="s">
        <v>2867</v>
      </c>
      <c r="D76" s="158" t="s">
        <v>2868</v>
      </c>
      <c r="E76" s="161" t="s">
        <v>2869</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2773</v>
      </c>
      <c r="B77" s="153" t="s">
        <v>2701</v>
      </c>
      <c r="C77" s="151" t="s">
        <v>2870</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2773</v>
      </c>
      <c r="B78" s="154" t="s">
        <v>2701</v>
      </c>
      <c r="C78" s="155" t="s">
        <v>2871</v>
      </c>
      <c r="D78" s="158" t="s">
        <v>2872</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2773</v>
      </c>
      <c r="B79" s="154" t="s">
        <v>2701</v>
      </c>
      <c r="C79" s="155" t="s">
        <v>2873</v>
      </c>
      <c r="D79" s="158" t="s">
        <v>2874</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2773</v>
      </c>
      <c r="B80" s="154" t="s">
        <v>2701</v>
      </c>
      <c r="C80" s="155" t="s">
        <v>2875</v>
      </c>
      <c r="D80" s="158" t="s">
        <v>2876</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2773</v>
      </c>
      <c r="B81" s="153" t="s">
        <v>2629</v>
      </c>
      <c r="C81" s="151" t="s">
        <v>2877</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2773</v>
      </c>
      <c r="B82" s="154" t="s">
        <v>2629</v>
      </c>
      <c r="C82" s="155" t="s">
        <v>2878</v>
      </c>
      <c r="D82" s="158" t="s">
        <v>2879</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2773</v>
      </c>
      <c r="B83" s="154" t="s">
        <v>2629</v>
      </c>
      <c r="C83" s="155" t="s">
        <v>2880</v>
      </c>
      <c r="D83" s="158" t="s">
        <v>2881</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2773</v>
      </c>
      <c r="B84" s="154" t="s">
        <v>2629</v>
      </c>
      <c r="C84" s="155" t="s">
        <v>2882</v>
      </c>
      <c r="D84" s="158" t="s">
        <v>2883</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2773</v>
      </c>
      <c r="B85" s="154" t="s">
        <v>2629</v>
      </c>
      <c r="C85" s="155" t="s">
        <v>2884</v>
      </c>
      <c r="D85" s="158" t="s">
        <v>2885</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2773</v>
      </c>
      <c r="B86" s="154" t="s">
        <v>2629</v>
      </c>
      <c r="C86" s="155" t="s">
        <v>2886</v>
      </c>
      <c r="D86" s="158" t="s">
        <v>2887</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2888</v>
      </c>
      <c r="B87" s="152" t="s">
        <v>21</v>
      </c>
      <c r="C87" s="150" t="s">
        <v>2889</v>
      </c>
      <c r="D87" s="156" t="s">
        <v>2890</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2888</v>
      </c>
      <c r="B88" s="153" t="s">
        <v>2891</v>
      </c>
      <c r="C88" s="151" t="s">
        <v>2892</v>
      </c>
      <c r="D88" s="157" t="s">
        <v>2893</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2888</v>
      </c>
      <c r="B89" s="154" t="s">
        <v>2891</v>
      </c>
      <c r="C89" s="155" t="s">
        <v>2894</v>
      </c>
      <c r="D89" s="158" t="s">
        <v>2895</v>
      </c>
      <c r="E89" s="161" t="s">
        <v>2896</v>
      </c>
      <c r="F89" s="164" t="s">
        <v>2665</v>
      </c>
      <c r="G89" s="167">
        <f>IF(COUNTIF(H89:AU89,"&lt;&gt;")=0,"",SUMPRODUCT(((Recommendations[ImplStatus]="Implemented")+(Recommendations[ImplStatus]="Compensated"))*ISNUMBER(MATCH(Recommendations[Id],H89:AU89,0)))/COUNTIF(H89:AU89,"&lt;&gt;"))</f>
        <v>0</v>
      </c>
      <c r="H89" s="170" t="s">
        <v>50</v>
      </c>
      <c r="I89" s="170" t="s">
        <v>102</v>
      </c>
      <c r="J89" s="170" t="s">
        <v>107</v>
      </c>
      <c r="K89" s="170" t="s">
        <v>112</v>
      </c>
      <c r="L89" s="170" t="s">
        <v>117</v>
      </c>
      <c r="M89" s="170" t="s">
        <v>121</v>
      </c>
      <c r="N89" s="170" t="s">
        <v>130</v>
      </c>
      <c r="O89" s="170" t="s">
        <v>135</v>
      </c>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2888</v>
      </c>
      <c r="B90" s="154" t="s">
        <v>2891</v>
      </c>
      <c r="C90" s="155" t="s">
        <v>2897</v>
      </c>
      <c r="D90" s="158" t="s">
        <v>2898</v>
      </c>
      <c r="E90" s="161" t="s">
        <v>2899</v>
      </c>
      <c r="F90" s="164" t="s">
        <v>2669</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2888</v>
      </c>
      <c r="B91" s="154" t="s">
        <v>2891</v>
      </c>
      <c r="C91" s="155" t="s">
        <v>2900</v>
      </c>
      <c r="D91" s="158" t="s">
        <v>2901</v>
      </c>
      <c r="E91" s="161" t="s">
        <v>2902</v>
      </c>
      <c r="F91" s="164" t="s">
        <v>2665</v>
      </c>
      <c r="G91" s="167">
        <f>IF(COUNTIF(H91:AU91,"&lt;&gt;")=0,"",SUMPRODUCT(((Recommendations[ImplStatus]="Implemented")+(Recommendations[ImplStatus]="Compensated"))*ISNUMBER(MATCH(Recommendations[Id],H91:AU91,0)))/COUNTIF(H91:AU91,"&lt;&gt;"))</f>
        <v>0</v>
      </c>
      <c r="H91" s="170" t="s">
        <v>55</v>
      </c>
      <c r="I91" s="170" t="s">
        <v>160</v>
      </c>
      <c r="J91" s="170" t="s">
        <v>165</v>
      </c>
      <c r="K91" s="170" t="s">
        <v>175</v>
      </c>
      <c r="L91" s="170" t="s">
        <v>180</v>
      </c>
      <c r="M91" s="170" t="s">
        <v>198</v>
      </c>
      <c r="N91" s="170" t="s">
        <v>208</v>
      </c>
      <c r="O91" s="170" t="s">
        <v>223</v>
      </c>
      <c r="P91" s="170" t="s">
        <v>229</v>
      </c>
      <c r="Q91" s="170" t="s">
        <v>341</v>
      </c>
      <c r="R91" s="170" t="s">
        <v>479</v>
      </c>
      <c r="S91" s="170" t="s">
        <v>569</v>
      </c>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2888</v>
      </c>
      <c r="B92" s="154" t="s">
        <v>2891</v>
      </c>
      <c r="C92" s="155" t="s">
        <v>2903</v>
      </c>
      <c r="D92" s="158" t="s">
        <v>2904</v>
      </c>
      <c r="E92" s="161" t="s">
        <v>2905</v>
      </c>
      <c r="F92" s="164" t="s">
        <v>2665</v>
      </c>
      <c r="G92" s="167">
        <f>IF(COUNTIF(H92:AU92,"&lt;&gt;")=0,"",SUMPRODUCT(((Recommendations[ImplStatus]="Implemented")+(Recommendations[ImplStatus]="Compensated"))*ISNUMBER(MATCH(Recommendations[Id],H92:AU92,0)))/COUNTIF(H92:AU92,"&lt;&gt;"))</f>
        <v>0</v>
      </c>
      <c r="H92" s="170" t="s">
        <v>223</v>
      </c>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2888</v>
      </c>
      <c r="B93" s="154" t="s">
        <v>2891</v>
      </c>
      <c r="C93" s="155" t="s">
        <v>2906</v>
      </c>
      <c r="D93" s="158" t="s">
        <v>2907</v>
      </c>
      <c r="E93" s="161" t="s">
        <v>2908</v>
      </c>
      <c r="F93" s="164" t="s">
        <v>2665</v>
      </c>
      <c r="G93" s="167">
        <f>IF(COUNTIF(H93:AU93,"&lt;&gt;")=0,"",SUMPRODUCT(((Recommendations[ImplStatus]="Implemented")+(Recommendations[ImplStatus]="Compensated"))*ISNUMBER(MATCH(Recommendations[Id],H93:AU93,0)))/COUNTIF(H93:AU93,"&lt;&gt;"))</f>
        <v>0</v>
      </c>
      <c r="H93" s="170" t="s">
        <v>14</v>
      </c>
      <c r="I93" s="170" t="s">
        <v>25</v>
      </c>
      <c r="J93" s="170" t="s">
        <v>30</v>
      </c>
      <c r="K93" s="170" t="s">
        <v>35</v>
      </c>
      <c r="L93" s="170" t="s">
        <v>40</v>
      </c>
      <c r="M93" s="170" t="s">
        <v>45</v>
      </c>
      <c r="N93" s="170" t="s">
        <v>60</v>
      </c>
      <c r="O93" s="170" t="s">
        <v>88</v>
      </c>
      <c r="P93" s="170" t="s">
        <v>97</v>
      </c>
      <c r="Q93" s="170" t="s">
        <v>140</v>
      </c>
      <c r="R93" s="170" t="s">
        <v>335</v>
      </c>
      <c r="S93" s="170" t="s">
        <v>410</v>
      </c>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2888</v>
      </c>
      <c r="B94" s="154" t="s">
        <v>2891</v>
      </c>
      <c r="C94" s="155" t="s">
        <v>2909</v>
      </c>
      <c r="D94" s="158" t="s">
        <v>2910</v>
      </c>
      <c r="E94" s="161" t="s">
        <v>2911</v>
      </c>
      <c r="F94" s="164" t="s">
        <v>2669</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2888</v>
      </c>
      <c r="B95" s="153" t="s">
        <v>2912</v>
      </c>
      <c r="C95" s="151" t="s">
        <v>2913</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2888</v>
      </c>
      <c r="B96" s="154" t="s">
        <v>2912</v>
      </c>
      <c r="C96" s="155" t="s">
        <v>2914</v>
      </c>
      <c r="D96" s="158" t="s">
        <v>2915</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2888</v>
      </c>
      <c r="B97" s="154" t="s">
        <v>2912</v>
      </c>
      <c r="C97" s="155" t="s">
        <v>2916</v>
      </c>
      <c r="D97" s="158" t="s">
        <v>2917</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2888</v>
      </c>
      <c r="B98" s="154" t="s">
        <v>2912</v>
      </c>
      <c r="C98" s="155" t="s">
        <v>2918</v>
      </c>
      <c r="D98" s="158" t="s">
        <v>2919</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2888</v>
      </c>
      <c r="B99" s="154" t="s">
        <v>2912</v>
      </c>
      <c r="C99" s="155" t="s">
        <v>2920</v>
      </c>
      <c r="D99" s="158" t="s">
        <v>2921</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2888</v>
      </c>
      <c r="B100" s="154" t="s">
        <v>2912</v>
      </c>
      <c r="C100" s="155" t="s">
        <v>2922</v>
      </c>
      <c r="D100" s="158" t="s">
        <v>2923</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2888</v>
      </c>
      <c r="B101" s="154" t="s">
        <v>2912</v>
      </c>
      <c r="C101" s="155" t="s">
        <v>2924</v>
      </c>
      <c r="D101" s="158" t="s">
        <v>2925</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2888</v>
      </c>
      <c r="B102" s="154" t="s">
        <v>2912</v>
      </c>
      <c r="C102" s="155" t="s">
        <v>2926</v>
      </c>
      <c r="D102" s="158" t="s">
        <v>2927</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2888</v>
      </c>
      <c r="B103" s="153" t="s">
        <v>2072</v>
      </c>
      <c r="C103" s="151" t="s">
        <v>2928</v>
      </c>
      <c r="D103" s="157" t="s">
        <v>2929</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2888</v>
      </c>
      <c r="B104" s="154" t="s">
        <v>2072</v>
      </c>
      <c r="C104" s="155" t="s">
        <v>2930</v>
      </c>
      <c r="D104" s="158" t="s">
        <v>2931</v>
      </c>
      <c r="E104" s="161" t="s">
        <v>2932</v>
      </c>
      <c r="F104" s="164" t="s">
        <v>2665</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2888</v>
      </c>
      <c r="B105" s="154" t="s">
        <v>2072</v>
      </c>
      <c r="C105" s="155" t="s">
        <v>2933</v>
      </c>
      <c r="D105" s="158" t="s">
        <v>2934</v>
      </c>
      <c r="E105" s="161" t="s">
        <v>2935</v>
      </c>
      <c r="F105" s="164" t="s">
        <v>2669</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2888</v>
      </c>
      <c r="B106" s="154" t="s">
        <v>2072</v>
      </c>
      <c r="C106" s="155" t="s">
        <v>2936</v>
      </c>
      <c r="D106" s="158" t="s">
        <v>2937</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2888</v>
      </c>
      <c r="B107" s="154" t="s">
        <v>2072</v>
      </c>
      <c r="C107" s="155" t="s">
        <v>2938</v>
      </c>
      <c r="D107" s="158" t="s">
        <v>2939</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2888</v>
      </c>
      <c r="B108" s="154" t="s">
        <v>2072</v>
      </c>
      <c r="C108" s="155" t="s">
        <v>2940</v>
      </c>
      <c r="D108" s="158" t="s">
        <v>2941</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2888</v>
      </c>
      <c r="B109" s="153" t="s">
        <v>2942</v>
      </c>
      <c r="C109" s="151" t="s">
        <v>2943</v>
      </c>
      <c r="D109" s="157" t="s">
        <v>2944</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2888</v>
      </c>
      <c r="B110" s="154" t="s">
        <v>2942</v>
      </c>
      <c r="C110" s="155" t="s">
        <v>2945</v>
      </c>
      <c r="D110" s="158" t="s">
        <v>2946</v>
      </c>
      <c r="E110" s="161" t="s">
        <v>2947</v>
      </c>
      <c r="F110" s="164" t="s">
        <v>2665</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2888</v>
      </c>
      <c r="B111" s="154" t="s">
        <v>2942</v>
      </c>
      <c r="C111" s="155" t="s">
        <v>2948</v>
      </c>
      <c r="D111" s="158" t="s">
        <v>2949</v>
      </c>
      <c r="E111" s="161" t="s">
        <v>2950</v>
      </c>
      <c r="F111" s="164" t="s">
        <v>2665</v>
      </c>
      <c r="G111" s="167">
        <f>IF(COUNTIF(H111:AU111,"&lt;&gt;")=0,"",SUMPRODUCT(((Recommendations[ImplStatus]="Implemented")+(Recommendations[ImplStatus]="Compensated"))*ISNUMBER(MATCH(Recommendations[Id],H111:AU111,0)))/COUNTIF(H111:AU111,"&lt;&gt;"))</f>
        <v>0</v>
      </c>
      <c r="H111" s="170" t="s">
        <v>160</v>
      </c>
      <c r="I111" s="170" t="s">
        <v>165</v>
      </c>
      <c r="J111" s="170" t="s">
        <v>175</v>
      </c>
      <c r="K111" s="170" t="s">
        <v>180</v>
      </c>
      <c r="L111" s="170" t="s">
        <v>569</v>
      </c>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2888</v>
      </c>
      <c r="B112" s="154" t="s">
        <v>2942</v>
      </c>
      <c r="C112" s="155" t="s">
        <v>2951</v>
      </c>
      <c r="D112" s="158" t="s">
        <v>2952</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2888</v>
      </c>
      <c r="B113" s="154" t="s">
        <v>2942</v>
      </c>
      <c r="C113" s="155" t="s">
        <v>2953</v>
      </c>
      <c r="D113" s="158" t="s">
        <v>2954</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2888</v>
      </c>
      <c r="B114" s="154" t="s">
        <v>2942</v>
      </c>
      <c r="C114" s="155" t="s">
        <v>2955</v>
      </c>
      <c r="D114" s="158" t="s">
        <v>2956</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2888</v>
      </c>
      <c r="B115" s="154" t="s">
        <v>2942</v>
      </c>
      <c r="C115" s="155" t="s">
        <v>2957</v>
      </c>
      <c r="D115" s="158" t="s">
        <v>2958</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2888</v>
      </c>
      <c r="B116" s="154" t="s">
        <v>2942</v>
      </c>
      <c r="C116" s="155" t="s">
        <v>2959</v>
      </c>
      <c r="D116" s="158" t="s">
        <v>2960</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2888</v>
      </c>
      <c r="B117" s="154" t="s">
        <v>2942</v>
      </c>
      <c r="C117" s="155" t="s">
        <v>2961</v>
      </c>
      <c r="D117" s="158" t="s">
        <v>2962</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2888</v>
      </c>
      <c r="B118" s="154" t="s">
        <v>2942</v>
      </c>
      <c r="C118" s="155" t="s">
        <v>2963</v>
      </c>
      <c r="D118" s="158" t="s">
        <v>2964</v>
      </c>
      <c r="E118" s="161" t="s">
        <v>2965</v>
      </c>
      <c r="F118" s="164" t="s">
        <v>2665</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2888</v>
      </c>
      <c r="B119" s="154" t="s">
        <v>2942</v>
      </c>
      <c r="C119" s="155" t="s">
        <v>2966</v>
      </c>
      <c r="D119" s="158" t="s">
        <v>2967</v>
      </c>
      <c r="E119" s="161" t="s">
        <v>2968</v>
      </c>
      <c r="F119" s="164" t="s">
        <v>2665</v>
      </c>
      <c r="G119" s="167">
        <f>IF(COUNTIF(H119:AU119,"&lt;&gt;")=0,"",SUMPRODUCT(((Recommendations[ImplStatus]="Implemented")+(Recommendations[ImplStatus]="Compensated"))*ISNUMBER(MATCH(Recommendations[Id],H119:AU119,0)))/COUNTIF(H119:AU119,"&lt;&gt;"))</f>
        <v>0</v>
      </c>
      <c r="H119" s="170" t="s">
        <v>203</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2888</v>
      </c>
      <c r="B120" s="153" t="s">
        <v>2969</v>
      </c>
      <c r="C120" s="151" t="s">
        <v>2970</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2888</v>
      </c>
      <c r="B121" s="154" t="s">
        <v>2969</v>
      </c>
      <c r="C121" s="155" t="s">
        <v>2971</v>
      </c>
      <c r="D121" s="158" t="s">
        <v>2972</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2888</v>
      </c>
      <c r="B122" s="154" t="s">
        <v>2969</v>
      </c>
      <c r="C122" s="155" t="s">
        <v>2973</v>
      </c>
      <c r="D122" s="158" t="s">
        <v>2974</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2888</v>
      </c>
      <c r="B123" s="154" t="s">
        <v>2969</v>
      </c>
      <c r="C123" s="155" t="s">
        <v>2975</v>
      </c>
      <c r="D123" s="158" t="s">
        <v>2976</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2888</v>
      </c>
      <c r="B124" s="154" t="s">
        <v>2969</v>
      </c>
      <c r="C124" s="155" t="s">
        <v>2977</v>
      </c>
      <c r="D124" s="158" t="s">
        <v>2978</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2888</v>
      </c>
      <c r="B125" s="154" t="s">
        <v>2969</v>
      </c>
      <c r="C125" s="155" t="s">
        <v>2979</v>
      </c>
      <c r="D125" s="158" t="s">
        <v>2980</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2888</v>
      </c>
      <c r="B126" s="154" t="s">
        <v>2969</v>
      </c>
      <c r="C126" s="155" t="s">
        <v>2981</v>
      </c>
      <c r="D126" s="158" t="s">
        <v>2982</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2888</v>
      </c>
      <c r="B127" s="154" t="s">
        <v>2969</v>
      </c>
      <c r="C127" s="155" t="s">
        <v>2983</v>
      </c>
      <c r="D127" s="158" t="s">
        <v>2984</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2888</v>
      </c>
      <c r="B128" s="154" t="s">
        <v>2969</v>
      </c>
      <c r="C128" s="155" t="s">
        <v>2985</v>
      </c>
      <c r="D128" s="158" t="s">
        <v>2986</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2888</v>
      </c>
      <c r="B129" s="154" t="s">
        <v>2969</v>
      </c>
      <c r="C129" s="155" t="s">
        <v>2987</v>
      </c>
      <c r="D129" s="158" t="s">
        <v>2988</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2888</v>
      </c>
      <c r="B130" s="154" t="s">
        <v>2969</v>
      </c>
      <c r="C130" s="155" t="s">
        <v>2989</v>
      </c>
      <c r="D130" s="158" t="s">
        <v>2990</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2888</v>
      </c>
      <c r="B131" s="154" t="s">
        <v>2969</v>
      </c>
      <c r="C131" s="155" t="s">
        <v>2991</v>
      </c>
      <c r="D131" s="158" t="s">
        <v>2992</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2888</v>
      </c>
      <c r="B132" s="154" t="s">
        <v>2969</v>
      </c>
      <c r="C132" s="155" t="s">
        <v>2993</v>
      </c>
      <c r="D132" s="158" t="s">
        <v>2994</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2888</v>
      </c>
      <c r="B133" s="153" t="s">
        <v>2995</v>
      </c>
      <c r="C133" s="151" t="s">
        <v>2996</v>
      </c>
      <c r="D133" s="157" t="s">
        <v>2997</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2888</v>
      </c>
      <c r="B134" s="154" t="s">
        <v>2995</v>
      </c>
      <c r="C134" s="155" t="s">
        <v>2998</v>
      </c>
      <c r="D134" s="158" t="s">
        <v>2999</v>
      </c>
      <c r="E134" s="161" t="s">
        <v>3000</v>
      </c>
      <c r="F134" s="164" t="s">
        <v>2669</v>
      </c>
      <c r="G134" s="167">
        <f>IF(COUNTIF(H134:AU134,"&lt;&gt;")=0,"",SUMPRODUCT(((Recommendations[ImplStatus]="Implemented")+(Recommendations[ImplStatus]="Compensated"))*ISNUMBER(MATCH(Recommendations[Id],H134:AU134,0)))/COUNTIF(H134:AU134,"&lt;&gt;"))</f>
        <v>0</v>
      </c>
      <c r="H134" s="170" t="s">
        <v>45</v>
      </c>
      <c r="I134" s="170" t="s">
        <v>80</v>
      </c>
      <c r="J134" s="170" t="s">
        <v>85</v>
      </c>
      <c r="K134" s="170" t="s">
        <v>125</v>
      </c>
      <c r="L134" s="170" t="s">
        <v>239</v>
      </c>
      <c r="M134" s="170" t="s">
        <v>245</v>
      </c>
      <c r="N134" s="170" t="s">
        <v>250</v>
      </c>
      <c r="O134" s="170" t="s">
        <v>260</v>
      </c>
      <c r="P134" s="170" t="s">
        <v>265</v>
      </c>
      <c r="Q134" s="170" t="s">
        <v>270</v>
      </c>
      <c r="R134" s="170" t="s">
        <v>275</v>
      </c>
      <c r="S134" s="170" t="s">
        <v>280</v>
      </c>
      <c r="T134" s="170" t="s">
        <v>285</v>
      </c>
      <c r="U134" s="170" t="s">
        <v>290</v>
      </c>
      <c r="V134" s="170" t="s">
        <v>295</v>
      </c>
      <c r="W134" s="170" t="s">
        <v>300</v>
      </c>
      <c r="X134" s="170" t="s">
        <v>305</v>
      </c>
      <c r="Y134" s="170" t="s">
        <v>310</v>
      </c>
      <c r="Z134" s="170" t="s">
        <v>315</v>
      </c>
      <c r="AA134" s="170" t="s">
        <v>320</v>
      </c>
      <c r="AB134" s="170" t="s">
        <v>325</v>
      </c>
      <c r="AC134" s="170" t="s">
        <v>330</v>
      </c>
      <c r="AD134" s="170" t="s">
        <v>335</v>
      </c>
      <c r="AE134" s="170" t="s">
        <v>361</v>
      </c>
      <c r="AF134" s="170" t="s">
        <v>366</v>
      </c>
      <c r="AG134" s="170" t="s">
        <v>371</v>
      </c>
      <c r="AH134" s="170" t="s">
        <v>376</v>
      </c>
      <c r="AI134" s="170" t="s">
        <v>381</v>
      </c>
      <c r="AJ134" s="170" t="s">
        <v>386</v>
      </c>
      <c r="AK134" s="170" t="s">
        <v>405</v>
      </c>
      <c r="AL134" s="170" t="s">
        <v>410</v>
      </c>
      <c r="AM134" s="170" t="s">
        <v>415</v>
      </c>
      <c r="AN134" s="170" t="s">
        <v>420</v>
      </c>
      <c r="AO134" s="170" t="s">
        <v>430</v>
      </c>
      <c r="AP134" s="170" t="s">
        <v>435</v>
      </c>
      <c r="AQ134" s="170" t="s">
        <v>440</v>
      </c>
      <c r="AR134" s="170" t="s">
        <v>444</v>
      </c>
      <c r="AS134" s="170" t="s">
        <v>459</v>
      </c>
      <c r="AT134" s="170" t="s">
        <v>464</v>
      </c>
      <c r="AU134" s="184" t="s">
        <v>469</v>
      </c>
    </row>
    <row r="135" spans="1:47" ht="60" customHeight="1" x14ac:dyDescent="0.35">
      <c r="A135" s="180" t="s">
        <v>2888</v>
      </c>
      <c r="B135" s="154" t="s">
        <v>2995</v>
      </c>
      <c r="C135" s="155" t="s">
        <v>3001</v>
      </c>
      <c r="D135" s="158" t="s">
        <v>3002</v>
      </c>
      <c r="E135" s="161" t="s">
        <v>3003</v>
      </c>
      <c r="F135" s="164" t="s">
        <v>2669</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2888</v>
      </c>
      <c r="B136" s="154" t="s">
        <v>2995</v>
      </c>
      <c r="C136" s="155" t="s">
        <v>3004</v>
      </c>
      <c r="D136" s="158" t="s">
        <v>3005</v>
      </c>
      <c r="E136" s="161" t="s">
        <v>3006</v>
      </c>
      <c r="F136" s="164" t="s">
        <v>2665</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2888</v>
      </c>
      <c r="B137" s="154" t="s">
        <v>2995</v>
      </c>
      <c r="C137" s="155" t="s">
        <v>3007</v>
      </c>
      <c r="D137" s="158" t="s">
        <v>3008</v>
      </c>
      <c r="E137" s="161" t="s">
        <v>3009</v>
      </c>
      <c r="F137" s="164" t="s">
        <v>21</v>
      </c>
      <c r="G137" s="167">
        <f>IF(COUNTIF(H137:AU137,"&lt;&gt;")=0,"",SUMPRODUCT(((Recommendations[ImplStatus]="Implemented")+(Recommendations[ImplStatus]="Compensated"))*ISNUMBER(MATCH(Recommendations[Id],H137:AU137,0)))/COUNTIF(H137:AU137,"&lt;&gt;"))</f>
        <v>0</v>
      </c>
      <c r="H137" s="170" t="s">
        <v>234</v>
      </c>
      <c r="I137" s="170" t="s">
        <v>255</v>
      </c>
      <c r="J137" s="170" t="s">
        <v>275</v>
      </c>
      <c r="K137" s="170" t="s">
        <v>356</v>
      </c>
      <c r="L137" s="170" t="s">
        <v>519</v>
      </c>
      <c r="M137" s="170" t="s">
        <v>589</v>
      </c>
      <c r="N137" s="170" t="s">
        <v>624</v>
      </c>
      <c r="O137" s="170" t="s">
        <v>627</v>
      </c>
      <c r="P137" s="170" t="s">
        <v>662</v>
      </c>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2888</v>
      </c>
      <c r="B138" s="153" t="s">
        <v>2305</v>
      </c>
      <c r="C138" s="151" t="s">
        <v>3010</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2888</v>
      </c>
      <c r="B139" s="154" t="s">
        <v>2305</v>
      </c>
      <c r="C139" s="155" t="s">
        <v>3011</v>
      </c>
      <c r="D139" s="158" t="s">
        <v>3012</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2888</v>
      </c>
      <c r="B140" s="154" t="s">
        <v>2305</v>
      </c>
      <c r="C140" s="155" t="s">
        <v>3013</v>
      </c>
      <c r="D140" s="158" t="s">
        <v>3014</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2888</v>
      </c>
      <c r="B141" s="153" t="s">
        <v>3015</v>
      </c>
      <c r="C141" s="151" t="s">
        <v>3016</v>
      </c>
      <c r="D141" s="157" t="s">
        <v>3017</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2888</v>
      </c>
      <c r="B142" s="154" t="s">
        <v>3015</v>
      </c>
      <c r="C142" s="155" t="s">
        <v>3018</v>
      </c>
      <c r="D142" s="158" t="s">
        <v>3019</v>
      </c>
      <c r="E142" s="161" t="s">
        <v>3020</v>
      </c>
      <c r="F142" s="164" t="s">
        <v>2665</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2888</v>
      </c>
      <c r="B143" s="154" t="s">
        <v>3015</v>
      </c>
      <c r="C143" s="155" t="s">
        <v>3021</v>
      </c>
      <c r="D143" s="158" t="s">
        <v>3022</v>
      </c>
      <c r="E143" s="161" t="s">
        <v>3023</v>
      </c>
      <c r="F143" s="164" t="s">
        <v>2665</v>
      </c>
      <c r="G143" s="167">
        <f>IF(COUNTIF(H143:AU143,"&lt;&gt;")=0,"",SUMPRODUCT(((Recommendations[ImplStatus]="Implemented")+(Recommendations[ImplStatus]="Compensated"))*ISNUMBER(MATCH(Recommendations[Id],H143:AU143,0)))/COUNTIF(H143:AU143,"&lt;&gt;"))</f>
        <v>0</v>
      </c>
      <c r="H143" s="170" t="s">
        <v>218</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2888</v>
      </c>
      <c r="B144" s="154" t="s">
        <v>3015</v>
      </c>
      <c r="C144" s="155" t="s">
        <v>3024</v>
      </c>
      <c r="D144" s="158" t="s">
        <v>3025</v>
      </c>
      <c r="E144" s="161" t="s">
        <v>3026</v>
      </c>
      <c r="F144" s="164" t="s">
        <v>2669</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2888</v>
      </c>
      <c r="B145" s="154" t="s">
        <v>3015</v>
      </c>
      <c r="C145" s="155" t="s">
        <v>3027</v>
      </c>
      <c r="D145" s="158" t="s">
        <v>3028</v>
      </c>
      <c r="E145" s="161" t="s">
        <v>3029</v>
      </c>
      <c r="F145" s="164" t="s">
        <v>2665</v>
      </c>
      <c r="G145" s="167">
        <f>IF(COUNTIF(H145:AU145,"&lt;&gt;")=0,"",SUMPRODUCT(((Recommendations[ImplStatus]="Implemented")+(Recommendations[ImplStatus]="Compensated"))*ISNUMBER(MATCH(Recommendations[Id],H145:AU145,0)))/COUNTIF(H145:AU145,"&lt;&gt;"))</f>
        <v>0</v>
      </c>
      <c r="H145" s="170" t="s">
        <v>91</v>
      </c>
      <c r="I145" s="170" t="s">
        <v>346</v>
      </c>
      <c r="J145" s="170" t="s">
        <v>351</v>
      </c>
      <c r="K145" s="170" t="s">
        <v>400</v>
      </c>
      <c r="L145" s="170" t="s">
        <v>405</v>
      </c>
      <c r="M145" s="170" t="s">
        <v>420</v>
      </c>
      <c r="N145" s="170" t="s">
        <v>430</v>
      </c>
      <c r="O145" s="170" t="s">
        <v>435</v>
      </c>
      <c r="P145" s="170" t="s">
        <v>440</v>
      </c>
      <c r="Q145" s="170" t="s">
        <v>449</v>
      </c>
      <c r="R145" s="170" t="s">
        <v>454</v>
      </c>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2888</v>
      </c>
      <c r="B146" s="154" t="s">
        <v>3015</v>
      </c>
      <c r="C146" s="155" t="s">
        <v>3030</v>
      </c>
      <c r="D146" s="158" t="s">
        <v>3031</v>
      </c>
      <c r="E146" s="161" t="s">
        <v>3032</v>
      </c>
      <c r="F146" s="164" t="s">
        <v>2665</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2888</v>
      </c>
      <c r="B147" s="154" t="s">
        <v>3015</v>
      </c>
      <c r="C147" s="155" t="s">
        <v>3033</v>
      </c>
      <c r="D147" s="158" t="s">
        <v>3034</v>
      </c>
      <c r="E147" s="161" t="s">
        <v>3035</v>
      </c>
      <c r="F147" s="164" t="s">
        <v>2665</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2888</v>
      </c>
      <c r="B148" s="153" t="s">
        <v>3036</v>
      </c>
      <c r="C148" s="151" t="s">
        <v>3037</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2888</v>
      </c>
      <c r="B149" s="154" t="s">
        <v>3036</v>
      </c>
      <c r="C149" s="155" t="s">
        <v>3038</v>
      </c>
      <c r="D149" s="158" t="s">
        <v>3039</v>
      </c>
      <c r="E149" s="161"/>
      <c r="F149" s="164" t="s">
        <v>21</v>
      </c>
      <c r="G149" s="167">
        <f>IF(COUNTIF(H149:AU149,"&lt;&gt;")=0,"",SUMPRODUCT(((Recommendations[ImplStatus]="Implemented")+(Recommendations[ImplStatus]="Compensated"))*ISNUMBER(MATCH(Recommendations[Id],H149:AU149,0)))/COUNTIF(H149:AU149,"&lt;&gt;"))</f>
        <v>0</v>
      </c>
      <c r="H149" s="170" t="s">
        <v>25</v>
      </c>
      <c r="I149" s="170" t="s">
        <v>30</v>
      </c>
      <c r="J149" s="170" t="s">
        <v>35</v>
      </c>
      <c r="K149" s="170" t="s">
        <v>40</v>
      </c>
      <c r="L149" s="170" t="s">
        <v>60</v>
      </c>
      <c r="M149" s="170" t="s">
        <v>65</v>
      </c>
      <c r="N149" s="170" t="s">
        <v>70</v>
      </c>
      <c r="O149" s="170" t="s">
        <v>75</v>
      </c>
      <c r="P149" s="170" t="s">
        <v>88</v>
      </c>
      <c r="Q149" s="170" t="s">
        <v>140</v>
      </c>
      <c r="R149" s="170" t="s">
        <v>145</v>
      </c>
      <c r="S149" s="170" t="s">
        <v>155</v>
      </c>
      <c r="T149" s="170" t="s">
        <v>170</v>
      </c>
      <c r="U149" s="170" t="s">
        <v>185</v>
      </c>
      <c r="V149" s="170" t="s">
        <v>190</v>
      </c>
      <c r="W149" s="170" t="s">
        <v>194</v>
      </c>
      <c r="X149" s="170" t="s">
        <v>213</v>
      </c>
      <c r="Y149" s="170" t="s">
        <v>391</v>
      </c>
      <c r="Z149" s="170" t="s">
        <v>396</v>
      </c>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2888</v>
      </c>
      <c r="B150" s="154" t="s">
        <v>3036</v>
      </c>
      <c r="C150" s="155" t="s">
        <v>3040</v>
      </c>
      <c r="D150" s="158" t="s">
        <v>3041</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2888</v>
      </c>
      <c r="B151" s="154" t="s">
        <v>3036</v>
      </c>
      <c r="C151" s="155" t="s">
        <v>3042</v>
      </c>
      <c r="D151" s="158" t="s">
        <v>3043</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2888</v>
      </c>
      <c r="B152" s="154" t="s">
        <v>3036</v>
      </c>
      <c r="C152" s="155" t="s">
        <v>3044</v>
      </c>
      <c r="D152" s="158" t="s">
        <v>3045</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2888</v>
      </c>
      <c r="B153" s="154" t="s">
        <v>3036</v>
      </c>
      <c r="C153" s="155" t="s">
        <v>3046</v>
      </c>
      <c r="D153" s="158" t="s">
        <v>3047</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3048</v>
      </c>
      <c r="B154" s="152" t="s">
        <v>21</v>
      </c>
      <c r="C154" s="150" t="s">
        <v>3049</v>
      </c>
      <c r="D154" s="156" t="s">
        <v>3050</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3048</v>
      </c>
      <c r="B155" s="153" t="s">
        <v>3051</v>
      </c>
      <c r="C155" s="151" t="s">
        <v>3052</v>
      </c>
      <c r="D155" s="157" t="s">
        <v>3053</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3048</v>
      </c>
      <c r="B156" s="154" t="s">
        <v>3051</v>
      </c>
      <c r="C156" s="155" t="s">
        <v>3054</v>
      </c>
      <c r="D156" s="158" t="s">
        <v>3055</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3048</v>
      </c>
      <c r="B157" s="154" t="s">
        <v>3051</v>
      </c>
      <c r="C157" s="155" t="s">
        <v>3056</v>
      </c>
      <c r="D157" s="158" t="s">
        <v>3057</v>
      </c>
      <c r="E157" s="161" t="s">
        <v>3058</v>
      </c>
      <c r="F157" s="164" t="s">
        <v>2665</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3048</v>
      </c>
      <c r="B158" s="154" t="s">
        <v>3051</v>
      </c>
      <c r="C158" s="155" t="s">
        <v>3059</v>
      </c>
      <c r="D158" s="158" t="s">
        <v>3060</v>
      </c>
      <c r="E158" s="161" t="s">
        <v>3061</v>
      </c>
      <c r="F158" s="164" t="s">
        <v>2665</v>
      </c>
      <c r="G158" s="167">
        <f>IF(COUNTIF(H158:AU158,"&lt;&gt;")=0,"",SUMPRODUCT(((Recommendations[ImplStatus]="Implemented")+(Recommendations[ImplStatus]="Compensated"))*ISNUMBER(MATCH(Recommendations[Id],H158:AU158,0)))/COUNTIF(H158:AU158,"&lt;&gt;"))</f>
        <v>0</v>
      </c>
      <c r="H158" s="170" t="s">
        <v>65</v>
      </c>
      <c r="I158" s="170" t="s">
        <v>70</v>
      </c>
      <c r="J158" s="170" t="s">
        <v>75</v>
      </c>
      <c r="K158" s="170" t="s">
        <v>145</v>
      </c>
      <c r="L158" s="170" t="s">
        <v>185</v>
      </c>
      <c r="M158" s="170" t="s">
        <v>190</v>
      </c>
      <c r="N158" s="170" t="s">
        <v>194</v>
      </c>
      <c r="O158" s="170" t="s">
        <v>213</v>
      </c>
      <c r="P158" s="170" t="s">
        <v>391</v>
      </c>
      <c r="Q158" s="170" t="s">
        <v>396</v>
      </c>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3048</v>
      </c>
      <c r="B159" s="154" t="s">
        <v>3051</v>
      </c>
      <c r="C159" s="155" t="s">
        <v>3062</v>
      </c>
      <c r="D159" s="158" t="s">
        <v>3063</v>
      </c>
      <c r="E159" s="161" t="s">
        <v>3064</v>
      </c>
      <c r="F159" s="164" t="s">
        <v>2665</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3048</v>
      </c>
      <c r="B160" s="154" t="s">
        <v>3051</v>
      </c>
      <c r="C160" s="155" t="s">
        <v>3065</v>
      </c>
      <c r="D160" s="158" t="s">
        <v>3066</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3048</v>
      </c>
      <c r="B161" s="154" t="s">
        <v>3051</v>
      </c>
      <c r="C161" s="155" t="s">
        <v>3067</v>
      </c>
      <c r="D161" s="158" t="s">
        <v>3068</v>
      </c>
      <c r="E161" s="161" t="s">
        <v>3069</v>
      </c>
      <c r="F161" s="164" t="s">
        <v>2665</v>
      </c>
      <c r="G161" s="167">
        <f>IF(COUNTIF(H161:AU161,"&lt;&gt;")=0,"",SUMPRODUCT(((Recommendations[ImplStatus]="Implemented")+(Recommendations[ImplStatus]="Compensated"))*ISNUMBER(MATCH(Recommendations[Id],H161:AU161,0)))/COUNTIF(H161:AU161,"&lt;&gt;"))</f>
        <v>0</v>
      </c>
      <c r="H161" s="170" t="s">
        <v>150</v>
      </c>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3048</v>
      </c>
      <c r="B162" s="154" t="s">
        <v>3051</v>
      </c>
      <c r="C162" s="155" t="s">
        <v>3070</v>
      </c>
      <c r="D162" s="158" t="s">
        <v>3071</v>
      </c>
      <c r="E162" s="161" t="s">
        <v>3072</v>
      </c>
      <c r="F162" s="164" t="s">
        <v>2665</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3048</v>
      </c>
      <c r="B163" s="154" t="s">
        <v>3051</v>
      </c>
      <c r="C163" s="155" t="s">
        <v>3073</v>
      </c>
      <c r="D163" s="158" t="s">
        <v>3074</v>
      </c>
      <c r="E163" s="161" t="s">
        <v>3075</v>
      </c>
      <c r="F163" s="164" t="s">
        <v>2665</v>
      </c>
      <c r="G163" s="167">
        <f>IF(COUNTIF(H163:AU163,"&lt;&gt;")=0,"",SUMPRODUCT(((Recommendations[ImplStatus]="Implemented")+(Recommendations[ImplStatus]="Compensated"))*ISNUMBER(MATCH(Recommendations[Id],H163:AU163,0)))/COUNTIF(H163:AU163,"&lt;&gt;"))</f>
        <v>0</v>
      </c>
      <c r="H163" s="170" t="s">
        <v>150</v>
      </c>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3048</v>
      </c>
      <c r="B164" s="153" t="s">
        <v>2469</v>
      </c>
      <c r="C164" s="151" t="s">
        <v>3076</v>
      </c>
      <c r="D164" s="157" t="s">
        <v>3077</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3048</v>
      </c>
      <c r="B165" s="154" t="s">
        <v>2469</v>
      </c>
      <c r="C165" s="155" t="s">
        <v>3078</v>
      </c>
      <c r="D165" s="158" t="s">
        <v>3079</v>
      </c>
      <c r="E165" s="161" t="s">
        <v>3080</v>
      </c>
      <c r="F165" s="164" t="s">
        <v>2665</v>
      </c>
      <c r="G165" s="167">
        <f>IF(COUNTIF(H165:AU165,"&lt;&gt;")=0,"",SUMPRODUCT(((Recommendations[ImplStatus]="Implemented")+(Recommendations[ImplStatus]="Compensated"))*ISNUMBER(MATCH(Recommendations[Id],H165:AU165,0)))/COUNTIF(H165:AU165,"&lt;&gt;"))</f>
        <v>0</v>
      </c>
      <c r="H165" s="170" t="s">
        <v>234</v>
      </c>
      <c r="I165" s="170" t="s">
        <v>255</v>
      </c>
      <c r="J165" s="170" t="s">
        <v>315</v>
      </c>
      <c r="K165" s="170" t="s">
        <v>356</v>
      </c>
      <c r="L165" s="170" t="s">
        <v>425</v>
      </c>
      <c r="M165" s="170" t="s">
        <v>464</v>
      </c>
      <c r="N165" s="170" t="s">
        <v>469</v>
      </c>
      <c r="O165" s="170" t="s">
        <v>519</v>
      </c>
      <c r="P165" s="170" t="s">
        <v>609</v>
      </c>
      <c r="Q165" s="170" t="s">
        <v>627</v>
      </c>
      <c r="R165" s="170" t="s">
        <v>662</v>
      </c>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3048</v>
      </c>
      <c r="B166" s="154" t="s">
        <v>2469</v>
      </c>
      <c r="C166" s="155" t="s">
        <v>3081</v>
      </c>
      <c r="D166" s="158" t="s">
        <v>3082</v>
      </c>
      <c r="E166" s="161" t="s">
        <v>3083</v>
      </c>
      <c r="F166" s="164" t="s">
        <v>2665</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3048</v>
      </c>
      <c r="B167" s="154" t="s">
        <v>2469</v>
      </c>
      <c r="C167" s="155" t="s">
        <v>3084</v>
      </c>
      <c r="D167" s="158" t="s">
        <v>3085</v>
      </c>
      <c r="E167" s="161" t="s">
        <v>3086</v>
      </c>
      <c r="F167" s="164" t="s">
        <v>2665</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3048</v>
      </c>
      <c r="B168" s="154" t="s">
        <v>2469</v>
      </c>
      <c r="C168" s="155" t="s">
        <v>3087</v>
      </c>
      <c r="D168" s="158" t="s">
        <v>3088</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3048</v>
      </c>
      <c r="B169" s="154" t="s">
        <v>2469</v>
      </c>
      <c r="C169" s="155" t="s">
        <v>3089</v>
      </c>
      <c r="D169" s="158" t="s">
        <v>3090</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3048</v>
      </c>
      <c r="B170" s="154" t="s">
        <v>2469</v>
      </c>
      <c r="C170" s="155" t="s">
        <v>3091</v>
      </c>
      <c r="D170" s="158" t="s">
        <v>3092</v>
      </c>
      <c r="E170" s="161" t="s">
        <v>3093</v>
      </c>
      <c r="F170" s="164" t="s">
        <v>2679</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3048</v>
      </c>
      <c r="B171" s="154" t="s">
        <v>2469</v>
      </c>
      <c r="C171" s="155" t="s">
        <v>3094</v>
      </c>
      <c r="D171" s="158" t="s">
        <v>3095</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3048</v>
      </c>
      <c r="B172" s="154" t="s">
        <v>2469</v>
      </c>
      <c r="C172" s="155" t="s">
        <v>3096</v>
      </c>
      <c r="D172" s="158" t="s">
        <v>3097</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3048</v>
      </c>
      <c r="B173" s="154" t="s">
        <v>2469</v>
      </c>
      <c r="C173" s="155" t="s">
        <v>3098</v>
      </c>
      <c r="D173" s="158" t="s">
        <v>3099</v>
      </c>
      <c r="E173" s="161" t="s">
        <v>3100</v>
      </c>
      <c r="F173" s="164" t="s">
        <v>2665</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3048</v>
      </c>
      <c r="B174" s="153" t="s">
        <v>3101</v>
      </c>
      <c r="C174" s="151" t="s">
        <v>3102</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3048</v>
      </c>
      <c r="B175" s="154" t="s">
        <v>3101</v>
      </c>
      <c r="C175" s="155" t="s">
        <v>3103</v>
      </c>
      <c r="D175" s="158" t="s">
        <v>3104</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3048</v>
      </c>
      <c r="B176" s="154" t="s">
        <v>3101</v>
      </c>
      <c r="C176" s="155" t="s">
        <v>3105</v>
      </c>
      <c r="D176" s="158" t="s">
        <v>3106</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3048</v>
      </c>
      <c r="B177" s="154" t="s">
        <v>3101</v>
      </c>
      <c r="C177" s="155" t="s">
        <v>3107</v>
      </c>
      <c r="D177" s="158" t="s">
        <v>3108</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3048</v>
      </c>
      <c r="B178" s="154" t="s">
        <v>3101</v>
      </c>
      <c r="C178" s="155" t="s">
        <v>3109</v>
      </c>
      <c r="D178" s="158" t="s">
        <v>3110</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3048</v>
      </c>
      <c r="B179" s="154" t="s">
        <v>3101</v>
      </c>
      <c r="C179" s="155" t="s">
        <v>3111</v>
      </c>
      <c r="D179" s="158" t="s">
        <v>3112</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3113</v>
      </c>
      <c r="B180" s="152" t="s">
        <v>21</v>
      </c>
      <c r="C180" s="150" t="s">
        <v>3114</v>
      </c>
      <c r="D180" s="156" t="s">
        <v>3115</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3113</v>
      </c>
      <c r="B181" s="153" t="s">
        <v>3116</v>
      </c>
      <c r="C181" s="151" t="s">
        <v>3117</v>
      </c>
      <c r="D181" s="157" t="s">
        <v>3118</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3113</v>
      </c>
      <c r="B182" s="154" t="s">
        <v>3116</v>
      </c>
      <c r="C182" s="155" t="s">
        <v>3119</v>
      </c>
      <c r="D182" s="158" t="s">
        <v>3120</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3113</v>
      </c>
      <c r="B183" s="154" t="s">
        <v>3116</v>
      </c>
      <c r="C183" s="155" t="s">
        <v>3121</v>
      </c>
      <c r="D183" s="158" t="s">
        <v>3122</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3113</v>
      </c>
      <c r="B184" s="154" t="s">
        <v>3116</v>
      </c>
      <c r="C184" s="155" t="s">
        <v>3123</v>
      </c>
      <c r="D184" s="158" t="s">
        <v>3124</v>
      </c>
      <c r="E184" s="161" t="s">
        <v>3125</v>
      </c>
      <c r="F184" s="164" t="s">
        <v>2665</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3113</v>
      </c>
      <c r="B185" s="154" t="s">
        <v>3116</v>
      </c>
      <c r="C185" s="155" t="s">
        <v>3126</v>
      </c>
      <c r="D185" s="158" t="s">
        <v>3127</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3113</v>
      </c>
      <c r="B186" s="154" t="s">
        <v>3116</v>
      </c>
      <c r="C186" s="155" t="s">
        <v>3128</v>
      </c>
      <c r="D186" s="158" t="s">
        <v>3129</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3113</v>
      </c>
      <c r="B187" s="154" t="s">
        <v>3116</v>
      </c>
      <c r="C187" s="155" t="s">
        <v>3130</v>
      </c>
      <c r="D187" s="158" t="s">
        <v>3131</v>
      </c>
      <c r="E187" s="161" t="s">
        <v>3132</v>
      </c>
      <c r="F187" s="164" t="s">
        <v>2665</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3113</v>
      </c>
      <c r="B188" s="154" t="s">
        <v>3116</v>
      </c>
      <c r="C188" s="155" t="s">
        <v>3133</v>
      </c>
      <c r="D188" s="158" t="s">
        <v>3134</v>
      </c>
      <c r="E188" s="161" t="s">
        <v>3135</v>
      </c>
      <c r="F188" s="164" t="s">
        <v>2665</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3113</v>
      </c>
      <c r="B189" s="154" t="s">
        <v>3116</v>
      </c>
      <c r="C189" s="155" t="s">
        <v>3136</v>
      </c>
      <c r="D189" s="158" t="s">
        <v>3137</v>
      </c>
      <c r="E189" s="161" t="s">
        <v>3138</v>
      </c>
      <c r="F189" s="164" t="s">
        <v>2665</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3113</v>
      </c>
      <c r="B190" s="153" t="s">
        <v>3139</v>
      </c>
      <c r="C190" s="151" t="s">
        <v>3140</v>
      </c>
      <c r="D190" s="157" t="s">
        <v>3141</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3113</v>
      </c>
      <c r="B191" s="154" t="s">
        <v>3139</v>
      </c>
      <c r="C191" s="155" t="s">
        <v>3142</v>
      </c>
      <c r="D191" s="158" t="s">
        <v>3143</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3113</v>
      </c>
      <c r="B192" s="154" t="s">
        <v>3139</v>
      </c>
      <c r="C192" s="155" t="s">
        <v>3144</v>
      </c>
      <c r="D192" s="158" t="s">
        <v>3145</v>
      </c>
      <c r="E192" s="161" t="s">
        <v>3146</v>
      </c>
      <c r="F192" s="164" t="s">
        <v>2669</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3113</v>
      </c>
      <c r="B193" s="154" t="s">
        <v>3139</v>
      </c>
      <c r="C193" s="155" t="s">
        <v>3147</v>
      </c>
      <c r="D193" s="158" t="s">
        <v>3148</v>
      </c>
      <c r="E193" s="161" t="s">
        <v>3149</v>
      </c>
      <c r="F193" s="164" t="s">
        <v>2669</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3113</v>
      </c>
      <c r="B194" s="154" t="s">
        <v>3139</v>
      </c>
      <c r="C194" s="155" t="s">
        <v>3150</v>
      </c>
      <c r="D194" s="158" t="s">
        <v>3151</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3113</v>
      </c>
      <c r="B195" s="154" t="s">
        <v>3139</v>
      </c>
      <c r="C195" s="155" t="s">
        <v>3152</v>
      </c>
      <c r="D195" s="158" t="s">
        <v>3153</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3113</v>
      </c>
      <c r="B196" s="153" t="s">
        <v>3154</v>
      </c>
      <c r="C196" s="151" t="s">
        <v>3155</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3113</v>
      </c>
      <c r="B197" s="154" t="s">
        <v>3154</v>
      </c>
      <c r="C197" s="155" t="s">
        <v>3156</v>
      </c>
      <c r="D197" s="158" t="s">
        <v>3157</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3113</v>
      </c>
      <c r="B198" s="154" t="s">
        <v>3154</v>
      </c>
      <c r="C198" s="155" t="s">
        <v>3158</v>
      </c>
      <c r="D198" s="158" t="s">
        <v>3159</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3113</v>
      </c>
      <c r="B199" s="153" t="s">
        <v>3160</v>
      </c>
      <c r="C199" s="151" t="s">
        <v>3161</v>
      </c>
      <c r="D199" s="157" t="s">
        <v>3162</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3113</v>
      </c>
      <c r="B200" s="154" t="s">
        <v>3160</v>
      </c>
      <c r="C200" s="155" t="s">
        <v>3163</v>
      </c>
      <c r="D200" s="158" t="s">
        <v>3164</v>
      </c>
      <c r="E200" s="161" t="s">
        <v>3165</v>
      </c>
      <c r="F200" s="164" t="s">
        <v>2679</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3113</v>
      </c>
      <c r="B201" s="154" t="s">
        <v>3160</v>
      </c>
      <c r="C201" s="155" t="s">
        <v>3166</v>
      </c>
      <c r="D201" s="158" t="s">
        <v>3167</v>
      </c>
      <c r="E201" s="161" t="s">
        <v>3168</v>
      </c>
      <c r="F201" s="164" t="s">
        <v>2665</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3113</v>
      </c>
      <c r="B202" s="154" t="s">
        <v>3160</v>
      </c>
      <c r="C202" s="155" t="s">
        <v>3169</v>
      </c>
      <c r="D202" s="158" t="s">
        <v>3170</v>
      </c>
      <c r="E202" s="161" t="s">
        <v>3171</v>
      </c>
      <c r="F202" s="164" t="s">
        <v>2665</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3113</v>
      </c>
      <c r="B203" s="154" t="s">
        <v>3160</v>
      </c>
      <c r="C203" s="155" t="s">
        <v>3172</v>
      </c>
      <c r="D203" s="158" t="s">
        <v>3173</v>
      </c>
      <c r="E203" s="161" t="s">
        <v>3174</v>
      </c>
      <c r="F203" s="164" t="s">
        <v>2665</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3113</v>
      </c>
      <c r="B204" s="154" t="s">
        <v>3160</v>
      </c>
      <c r="C204" s="155" t="s">
        <v>3175</v>
      </c>
      <c r="D204" s="158" t="s">
        <v>3176</v>
      </c>
      <c r="E204" s="161" t="s">
        <v>3177</v>
      </c>
      <c r="F204" s="164" t="s">
        <v>2665</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3113</v>
      </c>
      <c r="B205" s="153" t="s">
        <v>3178</v>
      </c>
      <c r="C205" s="151" t="s">
        <v>3179</v>
      </c>
      <c r="D205" s="157" t="s">
        <v>3180</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3113</v>
      </c>
      <c r="B206" s="154" t="s">
        <v>3178</v>
      </c>
      <c r="C206" s="155" t="s">
        <v>3181</v>
      </c>
      <c r="D206" s="158" t="s">
        <v>3182</v>
      </c>
      <c r="E206" s="161" t="s">
        <v>3183</v>
      </c>
      <c r="F206" s="164" t="s">
        <v>2669</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3113</v>
      </c>
      <c r="B207" s="154" t="s">
        <v>3178</v>
      </c>
      <c r="C207" s="155" t="s">
        <v>3184</v>
      </c>
      <c r="D207" s="158" t="s">
        <v>3185</v>
      </c>
      <c r="E207" s="161" t="s">
        <v>3186</v>
      </c>
      <c r="F207" s="164" t="s">
        <v>2669</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3113</v>
      </c>
      <c r="B208" s="154" t="s">
        <v>3178</v>
      </c>
      <c r="C208" s="155" t="s">
        <v>3187</v>
      </c>
      <c r="D208" s="158" t="s">
        <v>3188</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3113</v>
      </c>
      <c r="B209" s="153" t="s">
        <v>3189</v>
      </c>
      <c r="C209" s="151" t="s">
        <v>3190</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3113</v>
      </c>
      <c r="B210" s="154" t="s">
        <v>3189</v>
      </c>
      <c r="C210" s="155" t="s">
        <v>3191</v>
      </c>
      <c r="D210" s="158" t="s">
        <v>3192</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3193</v>
      </c>
      <c r="B211" s="152" t="s">
        <v>21</v>
      </c>
      <c r="C211" s="150" t="s">
        <v>3194</v>
      </c>
      <c r="D211" s="156" t="s">
        <v>3195</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3193</v>
      </c>
      <c r="B212" s="153" t="s">
        <v>3196</v>
      </c>
      <c r="C212" s="151" t="s">
        <v>3197</v>
      </c>
      <c r="D212" s="157" t="s">
        <v>3198</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3193</v>
      </c>
      <c r="B213" s="154" t="s">
        <v>3196</v>
      </c>
      <c r="C213" s="155" t="s">
        <v>3199</v>
      </c>
      <c r="D213" s="158" t="s">
        <v>3200</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3193</v>
      </c>
      <c r="B214" s="154" t="s">
        <v>3196</v>
      </c>
      <c r="C214" s="155" t="s">
        <v>3201</v>
      </c>
      <c r="D214" s="158" t="s">
        <v>3202</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3193</v>
      </c>
      <c r="B215" s="154" t="s">
        <v>3196</v>
      </c>
      <c r="C215" s="155" t="s">
        <v>3203</v>
      </c>
      <c r="D215" s="158" t="s">
        <v>3204</v>
      </c>
      <c r="E215" s="161" t="s">
        <v>3205</v>
      </c>
      <c r="F215" s="164" t="s">
        <v>2669</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3193</v>
      </c>
      <c r="B216" s="154" t="s">
        <v>3196</v>
      </c>
      <c r="C216" s="155" t="s">
        <v>3206</v>
      </c>
      <c r="D216" s="158" t="s">
        <v>3207</v>
      </c>
      <c r="E216" s="161" t="s">
        <v>3208</v>
      </c>
      <c r="F216" s="164" t="s">
        <v>2665</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3193</v>
      </c>
      <c r="B217" s="153" t="s">
        <v>3154</v>
      </c>
      <c r="C217" s="151" t="s">
        <v>3209</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3193</v>
      </c>
      <c r="B218" s="154" t="s">
        <v>3154</v>
      </c>
      <c r="C218" s="155" t="s">
        <v>3210</v>
      </c>
      <c r="D218" s="158" t="s">
        <v>3211</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3193</v>
      </c>
      <c r="B219" s="154" t="s">
        <v>3154</v>
      </c>
      <c r="C219" s="155" t="s">
        <v>3212</v>
      </c>
      <c r="D219" s="158" t="s">
        <v>3213</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3193</v>
      </c>
      <c r="B220" s="153" t="s">
        <v>3214</v>
      </c>
      <c r="C220" s="151" t="s">
        <v>3215</v>
      </c>
      <c r="D220" s="157" t="s">
        <v>3216</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3193</v>
      </c>
      <c r="B221" s="154" t="s">
        <v>3214</v>
      </c>
      <c r="C221" s="155" t="s">
        <v>3217</v>
      </c>
      <c r="D221" s="158" t="s">
        <v>3218</v>
      </c>
      <c r="E221" s="161" t="s">
        <v>3219</v>
      </c>
      <c r="F221" s="164" t="s">
        <v>2665</v>
      </c>
      <c r="G221" s="167">
        <f>IF(COUNTIF(H221:AU221,"&lt;&gt;")=0,"",SUMPRODUCT(((Recommendations[ImplStatus]="Implemented")+(Recommendations[ImplStatus]="Compensated"))*ISNUMBER(MATCH(Recommendations[Id],H221:AU221,0)))/COUNTIF(H221:AU221,"&lt;&gt;"))</f>
        <v>0</v>
      </c>
      <c r="H221" s="170" t="s">
        <v>203</v>
      </c>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3193</v>
      </c>
      <c r="B222" s="154" t="s">
        <v>3214</v>
      </c>
      <c r="C222" s="155" t="s">
        <v>3220</v>
      </c>
      <c r="D222" s="158" t="s">
        <v>3221</v>
      </c>
      <c r="E222" s="161" t="s">
        <v>3222</v>
      </c>
      <c r="F222" s="164" t="s">
        <v>2665</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3193</v>
      </c>
      <c r="B223" s="154" t="s">
        <v>3214</v>
      </c>
      <c r="C223" s="155" t="s">
        <v>3223</v>
      </c>
      <c r="D223" s="158" t="s">
        <v>3224</v>
      </c>
      <c r="E223" s="161" t="s">
        <v>3225</v>
      </c>
      <c r="F223" s="164" t="s">
        <v>2665</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3193</v>
      </c>
      <c r="B224" s="154" t="s">
        <v>3214</v>
      </c>
      <c r="C224" s="155" t="s">
        <v>3226</v>
      </c>
      <c r="D224" s="158" t="s">
        <v>3227</v>
      </c>
      <c r="E224" s="161" t="s">
        <v>3228</v>
      </c>
      <c r="F224" s="164" t="s">
        <v>2665</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3193</v>
      </c>
      <c r="B225" s="154" t="s">
        <v>3214</v>
      </c>
      <c r="C225" s="155" t="s">
        <v>3229</v>
      </c>
      <c r="D225" s="158" t="s">
        <v>3230</v>
      </c>
      <c r="E225" s="161" t="s">
        <v>3231</v>
      </c>
      <c r="F225" s="164" t="s">
        <v>2665</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3193</v>
      </c>
      <c r="B226" s="171" t="s">
        <v>3214</v>
      </c>
      <c r="C226" s="172" t="s">
        <v>3232</v>
      </c>
      <c r="D226" s="173" t="s">
        <v>3233</v>
      </c>
      <c r="E226" s="174" t="s">
        <v>3234</v>
      </c>
      <c r="F226" s="175" t="s">
        <v>2665</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770</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IFERROR(INDEX('Recommendations'!$H$2:$H$153, MATCH(H2,'Recommendations'!$A$2:$A$153,0))="Implemented", FALSE))</xm:f>
            <x14:dxf>
              <font>
                <color rgb="FF000000"/>
              </font>
              <fill>
                <patternFill>
                  <bgColor rgb="FF3C7D22"/>
                </patternFill>
              </fill>
            </x14:dxf>
          </x14:cfRule>
          <x14:cfRule type="expression" priority="2" id="{00000000-000E-0000-0700-000002000000}">
            <xm:f>AND(H2&lt;&gt;"", IFERROR(INDEX('Recommendations'!$H$2:$H$153, MATCH(H2,'Recommendations'!$A$2:$A$153,0))="Compensated", FALSE))</xm:f>
            <x14:dxf>
              <font>
                <color rgb="FF000000"/>
              </font>
              <fill>
                <patternFill>
                  <bgColor rgb="FFC6E0B4"/>
                </patternFill>
              </fill>
            </x14:dxf>
          </x14:cfRule>
          <x14:cfRule type="expression" priority="3" id="{00000000-000E-0000-0700-000003000000}">
            <xm:f>AND(H2&lt;&gt;"", IFERROR(INDEX('Recommendations'!$H$2:$H$153, MATCH(H2,'Recommendations'!$A$2:$A$153,0))="Testing", FALSE))</xm:f>
            <x14:dxf>
              <font>
                <color rgb="FF000000"/>
              </font>
              <fill>
                <patternFill>
                  <bgColor rgb="FFFFC000"/>
                </patternFill>
              </fill>
            </x14:dxf>
          </x14:cfRule>
          <x14:cfRule type="expression" priority="4" id="{00000000-000E-0000-0700-000004000000}">
            <xm:f>AND(H2&lt;&gt;"", IFERROR(INDEX('Recommendations'!$H$2:$H$153, MATCH(H2,'Recommendations'!$A$2:$A$153,0))="Failed", FALSE))</xm:f>
            <x14:dxf>
              <font>
                <color rgb="FF000000"/>
              </font>
              <fill>
                <patternFill>
                  <bgColor rgb="FFD82891"/>
                </patternFill>
              </fill>
            </x14:dxf>
          </x14:cfRule>
          <x14:cfRule type="expression" priority="5" id="{00000000-000E-0000-0700-000005000000}">
            <xm:f>AND(H2&lt;&gt;"", IFERROR(INDEX('Recommendations'!$H$2:$H$153, MATCH(H2,'Recommendations'!$A$2:$A$153,0))="Risk Accepted", FALSE))</xm:f>
            <x14:dxf>
              <font>
                <color rgb="FF000000"/>
              </font>
              <fill>
                <patternFill>
                  <bgColor rgb="FFD9D9D9"/>
                </patternFill>
              </fill>
            </x14:dxf>
          </x14:cfRule>
          <x14:cfRule type="expression" priority="6" id="{00000000-000E-0000-0700-000006000000}">
            <xm:f>AND(H2&lt;&gt;"", IFERROR(INDEX('Recommendations'!$H$2:$H$153, MATCH(H2,'Recommendations'!$A$2:$A$153,0))="N/A",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2652</v>
      </c>
      <c r="B1" s="210" t="s">
        <v>3235</v>
      </c>
      <c r="C1" s="210" t="s">
        <v>3236</v>
      </c>
      <c r="D1" s="210" t="s">
        <v>3237</v>
      </c>
      <c r="E1" s="210" t="s">
        <v>1961</v>
      </c>
      <c r="F1" s="210" t="s">
        <v>1020</v>
      </c>
      <c r="G1" s="210" t="s">
        <v>1021</v>
      </c>
      <c r="H1" s="210" t="s">
        <v>1022</v>
      </c>
      <c r="I1" s="210" t="s">
        <v>1023</v>
      </c>
      <c r="J1" s="210" t="s">
        <v>1024</v>
      </c>
      <c r="K1" s="210" t="s">
        <v>1025</v>
      </c>
      <c r="L1" s="210" t="s">
        <v>1026</v>
      </c>
      <c r="M1" s="210" t="s">
        <v>1027</v>
      </c>
      <c r="N1" s="210" t="s">
        <v>1028</v>
      </c>
      <c r="O1" s="210" t="s">
        <v>1029</v>
      </c>
      <c r="P1" s="210" t="s">
        <v>1030</v>
      </c>
      <c r="Q1" s="210" t="s">
        <v>1031</v>
      </c>
      <c r="R1" s="210" t="s">
        <v>1032</v>
      </c>
      <c r="S1" s="210" t="s">
        <v>1033</v>
      </c>
      <c r="T1" s="210" t="s">
        <v>1034</v>
      </c>
      <c r="U1" s="210" t="s">
        <v>1035</v>
      </c>
      <c r="V1" s="210" t="s">
        <v>1036</v>
      </c>
      <c r="W1" s="210" t="s">
        <v>1037</v>
      </c>
      <c r="X1" s="210" t="s">
        <v>1038</v>
      </c>
      <c r="Y1" s="210" t="s">
        <v>1039</v>
      </c>
      <c r="Z1" s="210" t="s">
        <v>1040</v>
      </c>
      <c r="AA1" s="210" t="s">
        <v>1041</v>
      </c>
      <c r="AB1" s="210" t="s">
        <v>1042</v>
      </c>
      <c r="AC1" s="210" t="s">
        <v>1043</v>
      </c>
      <c r="AD1" s="210" t="s">
        <v>1044</v>
      </c>
      <c r="AE1" s="210" t="s">
        <v>1045</v>
      </c>
      <c r="AF1" s="210" t="s">
        <v>1046</v>
      </c>
      <c r="AG1" s="210" t="s">
        <v>1047</v>
      </c>
      <c r="AH1" s="210" t="s">
        <v>1048</v>
      </c>
      <c r="AI1" s="210" t="s">
        <v>1049</v>
      </c>
      <c r="AJ1" s="210" t="s">
        <v>1050</v>
      </c>
      <c r="AK1" s="210" t="s">
        <v>1051</v>
      </c>
      <c r="AL1" s="210" t="s">
        <v>1052</v>
      </c>
      <c r="AM1" s="210" t="s">
        <v>1053</v>
      </c>
      <c r="AN1" s="210" t="s">
        <v>1054</v>
      </c>
      <c r="AO1" s="210" t="s">
        <v>1055</v>
      </c>
      <c r="AP1" s="210" t="s">
        <v>1056</v>
      </c>
      <c r="AQ1" s="210" t="s">
        <v>1057</v>
      </c>
      <c r="AR1" s="210" t="s">
        <v>1058</v>
      </c>
      <c r="AS1" s="210" t="s">
        <v>1059</v>
      </c>
      <c r="AT1" s="211" t="s">
        <v>1060</v>
      </c>
    </row>
    <row r="2" spans="1:46" ht="60" customHeight="1" outlineLevel="1" x14ac:dyDescent="0.35">
      <c r="A2" s="203" t="s">
        <v>861</v>
      </c>
      <c r="B2" s="189" t="s">
        <v>3238</v>
      </c>
      <c r="C2" s="189"/>
      <c r="D2" s="192" t="s">
        <v>3239</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861</v>
      </c>
      <c r="B3" s="190" t="s">
        <v>3238</v>
      </c>
      <c r="C3" s="191" t="s">
        <v>3240</v>
      </c>
      <c r="D3" s="193" t="s">
        <v>3241</v>
      </c>
      <c r="E3" s="193" t="s">
        <v>3242</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861</v>
      </c>
      <c r="B4" s="190" t="s">
        <v>3238</v>
      </c>
      <c r="C4" s="191" t="s">
        <v>3243</v>
      </c>
      <c r="D4" s="193" t="s">
        <v>3244</v>
      </c>
      <c r="E4" s="193" t="s">
        <v>3245</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861</v>
      </c>
      <c r="B5" s="190" t="s">
        <v>3238</v>
      </c>
      <c r="C5" s="191" t="s">
        <v>3246</v>
      </c>
      <c r="D5" s="193" t="s">
        <v>3247</v>
      </c>
      <c r="E5" s="193" t="s">
        <v>3248</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861</v>
      </c>
      <c r="B6" s="190" t="s">
        <v>3238</v>
      </c>
      <c r="C6" s="191" t="s">
        <v>3249</v>
      </c>
      <c r="D6" s="193" t="s">
        <v>3250</v>
      </c>
      <c r="E6" s="193" t="s">
        <v>3251</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861</v>
      </c>
      <c r="B7" s="190" t="s">
        <v>3238</v>
      </c>
      <c r="C7" s="191" t="s">
        <v>3252</v>
      </c>
      <c r="D7" s="193" t="s">
        <v>3253</v>
      </c>
      <c r="E7" s="193" t="s">
        <v>3254</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861</v>
      </c>
      <c r="B8" s="190" t="s">
        <v>3238</v>
      </c>
      <c r="C8" s="191" t="s">
        <v>3255</v>
      </c>
      <c r="D8" s="193" t="s">
        <v>3256</v>
      </c>
      <c r="E8" s="193" t="s">
        <v>3257</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861</v>
      </c>
      <c r="B9" s="190" t="s">
        <v>3238</v>
      </c>
      <c r="C9" s="191" t="s">
        <v>3258</v>
      </c>
      <c r="D9" s="193" t="s">
        <v>3259</v>
      </c>
      <c r="E9" s="193" t="s">
        <v>3260</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861</v>
      </c>
      <c r="B10" s="190" t="s">
        <v>3238</v>
      </c>
      <c r="C10" s="191" t="s">
        <v>3261</v>
      </c>
      <c r="D10" s="193" t="s">
        <v>3262</v>
      </c>
      <c r="E10" s="193" t="s">
        <v>3263</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861</v>
      </c>
      <c r="B11" s="190" t="s">
        <v>3238</v>
      </c>
      <c r="C11" s="191" t="s">
        <v>3264</v>
      </c>
      <c r="D11" s="193" t="s">
        <v>3265</v>
      </c>
      <c r="E11" s="193" t="s">
        <v>3266</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861</v>
      </c>
      <c r="B12" s="190" t="s">
        <v>3238</v>
      </c>
      <c r="C12" s="191" t="s">
        <v>3267</v>
      </c>
      <c r="D12" s="193" t="s">
        <v>3268</v>
      </c>
      <c r="E12" s="193" t="s">
        <v>3269</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861</v>
      </c>
      <c r="B13" s="190" t="s">
        <v>3238</v>
      </c>
      <c r="C13" s="191" t="s">
        <v>3270</v>
      </c>
      <c r="D13" s="193" t="s">
        <v>3271</v>
      </c>
      <c r="E13" s="193" t="s">
        <v>3272</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861</v>
      </c>
      <c r="B14" s="190" t="s">
        <v>3238</v>
      </c>
      <c r="C14" s="191" t="s">
        <v>3273</v>
      </c>
      <c r="D14" s="193" t="s">
        <v>3274</v>
      </c>
      <c r="E14" s="193" t="s">
        <v>3275</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861</v>
      </c>
      <c r="B15" s="190" t="s">
        <v>3238</v>
      </c>
      <c r="C15" s="191" t="s">
        <v>3276</v>
      </c>
      <c r="D15" s="193" t="s">
        <v>3277</v>
      </c>
      <c r="E15" s="193" t="s">
        <v>3278</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861</v>
      </c>
      <c r="B16" s="190" t="s">
        <v>3238</v>
      </c>
      <c r="C16" s="191" t="s">
        <v>3279</v>
      </c>
      <c r="D16" s="193" t="s">
        <v>3280</v>
      </c>
      <c r="E16" s="193" t="s">
        <v>3281</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861</v>
      </c>
      <c r="B17" s="190" t="s">
        <v>3238</v>
      </c>
      <c r="C17" s="191" t="s">
        <v>3282</v>
      </c>
      <c r="D17" s="193" t="s">
        <v>3283</v>
      </c>
      <c r="E17" s="193" t="s">
        <v>3284</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861</v>
      </c>
      <c r="B18" s="190" t="s">
        <v>3238</v>
      </c>
      <c r="C18" s="191" t="s">
        <v>3285</v>
      </c>
      <c r="D18" s="193" t="s">
        <v>3286</v>
      </c>
      <c r="E18" s="193" t="s">
        <v>3287</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861</v>
      </c>
      <c r="B19" s="189" t="s">
        <v>3288</v>
      </c>
      <c r="C19" s="189"/>
      <c r="D19" s="192" t="s">
        <v>3289</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861</v>
      </c>
      <c r="B20" s="190" t="s">
        <v>3288</v>
      </c>
      <c r="C20" s="191" t="s">
        <v>3290</v>
      </c>
      <c r="D20" s="193" t="s">
        <v>3291</v>
      </c>
      <c r="E20" s="193" t="s">
        <v>3292</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861</v>
      </c>
      <c r="B21" s="190" t="s">
        <v>3288</v>
      </c>
      <c r="C21" s="191" t="s">
        <v>3293</v>
      </c>
      <c r="D21" s="193" t="s">
        <v>3294</v>
      </c>
      <c r="E21" s="193" t="s">
        <v>3295</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861</v>
      </c>
      <c r="B22" s="190" t="s">
        <v>3288</v>
      </c>
      <c r="C22" s="191" t="s">
        <v>3296</v>
      </c>
      <c r="D22" s="193" t="s">
        <v>3297</v>
      </c>
      <c r="E22" s="193" t="s">
        <v>3298</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861</v>
      </c>
      <c r="B23" s="190" t="s">
        <v>3288</v>
      </c>
      <c r="C23" s="191" t="s">
        <v>3299</v>
      </c>
      <c r="D23" s="193" t="s">
        <v>3300</v>
      </c>
      <c r="E23" s="193" t="s">
        <v>3301</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861</v>
      </c>
      <c r="B24" s="190" t="s">
        <v>3288</v>
      </c>
      <c r="C24" s="191" t="s">
        <v>3302</v>
      </c>
      <c r="D24" s="193" t="s">
        <v>3303</v>
      </c>
      <c r="E24" s="193" t="s">
        <v>3304</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861</v>
      </c>
      <c r="B25" s="190" t="s">
        <v>3288</v>
      </c>
      <c r="C25" s="191" t="s">
        <v>3305</v>
      </c>
      <c r="D25" s="193" t="s">
        <v>3306</v>
      </c>
      <c r="E25" s="193" t="s">
        <v>3307</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861</v>
      </c>
      <c r="B26" s="190" t="s">
        <v>3288</v>
      </c>
      <c r="C26" s="191" t="s">
        <v>3308</v>
      </c>
      <c r="D26" s="193" t="s">
        <v>3309</v>
      </c>
      <c r="E26" s="193" t="s">
        <v>3310</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861</v>
      </c>
      <c r="B27" s="190" t="s">
        <v>3288</v>
      </c>
      <c r="C27" s="191" t="s">
        <v>3311</v>
      </c>
      <c r="D27" s="193" t="s">
        <v>3312</v>
      </c>
      <c r="E27" s="193" t="s">
        <v>3313</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861</v>
      </c>
      <c r="B28" s="190" t="s">
        <v>3288</v>
      </c>
      <c r="C28" s="191" t="s">
        <v>3314</v>
      </c>
      <c r="D28" s="193" t="s">
        <v>3315</v>
      </c>
      <c r="E28" s="193" t="s">
        <v>3316</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861</v>
      </c>
      <c r="B29" s="190" t="s">
        <v>3288</v>
      </c>
      <c r="C29" s="191" t="s">
        <v>3317</v>
      </c>
      <c r="D29" s="193" t="s">
        <v>3318</v>
      </c>
      <c r="E29" s="193" t="s">
        <v>3319</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861</v>
      </c>
      <c r="B30" s="190" t="s">
        <v>3288</v>
      </c>
      <c r="C30" s="191" t="s">
        <v>3320</v>
      </c>
      <c r="D30" s="193" t="s">
        <v>3321</v>
      </c>
      <c r="E30" s="193" t="s">
        <v>3322</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861</v>
      </c>
      <c r="B31" s="190" t="s">
        <v>3288</v>
      </c>
      <c r="C31" s="191" t="s">
        <v>3323</v>
      </c>
      <c r="D31" s="193" t="s">
        <v>3324</v>
      </c>
      <c r="E31" s="193" t="s">
        <v>3325</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3326</v>
      </c>
      <c r="B32" s="189"/>
      <c r="C32" s="189"/>
      <c r="D32" s="192" t="s">
        <v>3327</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3326</v>
      </c>
      <c r="B33" s="190"/>
      <c r="C33" s="191" t="s">
        <v>3328</v>
      </c>
      <c r="D33" s="193" t="s">
        <v>3329</v>
      </c>
      <c r="E33" s="193" t="s">
        <v>3330</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3326</v>
      </c>
      <c r="B34" s="190"/>
      <c r="C34" s="191" t="s">
        <v>3331</v>
      </c>
      <c r="D34" s="193" t="s">
        <v>3332</v>
      </c>
      <c r="E34" s="193" t="s">
        <v>3333</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3326</v>
      </c>
      <c r="B35" s="190"/>
      <c r="C35" s="191" t="s">
        <v>3334</v>
      </c>
      <c r="D35" s="193" t="s">
        <v>3335</v>
      </c>
      <c r="E35" s="193" t="s">
        <v>3336</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3326</v>
      </c>
      <c r="B36" s="189" t="s">
        <v>3337</v>
      </c>
      <c r="C36" s="189"/>
      <c r="D36" s="192" t="s">
        <v>3338</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3326</v>
      </c>
      <c r="B37" s="190" t="s">
        <v>3337</v>
      </c>
      <c r="C37" s="191" t="s">
        <v>3339</v>
      </c>
      <c r="D37" s="193" t="s">
        <v>3340</v>
      </c>
      <c r="E37" s="193" t="s">
        <v>3341</v>
      </c>
      <c r="F37" s="195">
        <f>IF(COUNTIF(G37:AT37,"&lt;&gt;")=0,"",SUMPRODUCT(((Recommendations[ImplStatus]="Implemented")+(Recommendations[ImplStatus]="Compensated"))*ISNUMBER(MATCH(Recommendations[Id],G37:AT37,0)))/COUNTIF(G37:AT37,"&lt;&gt;"))</f>
        <v>0</v>
      </c>
      <c r="G37" s="197" t="s">
        <v>25</v>
      </c>
      <c r="H37" s="197" t="s">
        <v>30</v>
      </c>
      <c r="I37" s="197" t="s">
        <v>35</v>
      </c>
      <c r="J37" s="197" t="s">
        <v>40</v>
      </c>
      <c r="K37" s="197" t="s">
        <v>97</v>
      </c>
      <c r="L37" s="197" t="s">
        <v>140</v>
      </c>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3326</v>
      </c>
      <c r="B38" s="190" t="s">
        <v>3337</v>
      </c>
      <c r="C38" s="191" t="s">
        <v>3342</v>
      </c>
      <c r="D38" s="193" t="s">
        <v>3343</v>
      </c>
      <c r="E38" s="193" t="s">
        <v>3344</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3326</v>
      </c>
      <c r="B39" s="190" t="s">
        <v>3337</v>
      </c>
      <c r="C39" s="191" t="s">
        <v>3345</v>
      </c>
      <c r="D39" s="193" t="s">
        <v>3346</v>
      </c>
      <c r="E39" s="193" t="s">
        <v>3347</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3326</v>
      </c>
      <c r="B40" s="190" t="s">
        <v>3337</v>
      </c>
      <c r="C40" s="191" t="s">
        <v>3348</v>
      </c>
      <c r="D40" s="193" t="s">
        <v>3349</v>
      </c>
      <c r="E40" s="193" t="s">
        <v>3350</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3326</v>
      </c>
      <c r="B41" s="190" t="s">
        <v>3337</v>
      </c>
      <c r="C41" s="191" t="s">
        <v>3351</v>
      </c>
      <c r="D41" s="193" t="s">
        <v>3352</v>
      </c>
      <c r="E41" s="193" t="s">
        <v>3353</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3326</v>
      </c>
      <c r="B42" s="190" t="s">
        <v>3337</v>
      </c>
      <c r="C42" s="191" t="s">
        <v>3354</v>
      </c>
      <c r="D42" s="193" t="s">
        <v>3355</v>
      </c>
      <c r="E42" s="193" t="s">
        <v>3356</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3326</v>
      </c>
      <c r="B43" s="190" t="s">
        <v>3337</v>
      </c>
      <c r="C43" s="191" t="s">
        <v>3357</v>
      </c>
      <c r="D43" s="193" t="s">
        <v>3358</v>
      </c>
      <c r="E43" s="193" t="s">
        <v>3359</v>
      </c>
      <c r="F43" s="195">
        <f>IF(COUNTIF(G43:AT43,"&lt;&gt;")=0,"",SUMPRODUCT(((Recommendations[ImplStatus]="Implemented")+(Recommendations[ImplStatus]="Compensated"))*ISNUMBER(MATCH(Recommendations[Id],G43:AT43,0)))/COUNTIF(G43:AT43,"&lt;&gt;"))</f>
        <v>0</v>
      </c>
      <c r="G43" s="197" t="s">
        <v>102</v>
      </c>
      <c r="H43" s="197" t="s">
        <v>107</v>
      </c>
      <c r="I43" s="197" t="s">
        <v>112</v>
      </c>
      <c r="J43" s="197" t="s">
        <v>117</v>
      </c>
      <c r="K43" s="197" t="s">
        <v>121</v>
      </c>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3326</v>
      </c>
      <c r="B44" s="190" t="s">
        <v>3337</v>
      </c>
      <c r="C44" s="191" t="s">
        <v>3360</v>
      </c>
      <c r="D44" s="193" t="s">
        <v>3361</v>
      </c>
      <c r="E44" s="193" t="s">
        <v>3362</v>
      </c>
      <c r="F44" s="195">
        <f>IF(COUNTIF(G44:AT44,"&lt;&gt;")=0,"",SUMPRODUCT(((Recommendations[ImplStatus]="Implemented")+(Recommendations[ImplStatus]="Compensated"))*ISNUMBER(MATCH(Recommendations[Id],G44:AT44,0)))/COUNTIF(G44:AT44,"&lt;&gt;"))</f>
        <v>0</v>
      </c>
      <c r="G44" s="197" t="s">
        <v>102</v>
      </c>
      <c r="H44" s="197" t="s">
        <v>107</v>
      </c>
      <c r="I44" s="197" t="s">
        <v>112</v>
      </c>
      <c r="J44" s="197" t="s">
        <v>117</v>
      </c>
      <c r="K44" s="197" t="s">
        <v>121</v>
      </c>
      <c r="L44" s="197" t="s">
        <v>130</v>
      </c>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3326</v>
      </c>
      <c r="B45" s="190" t="s">
        <v>3337</v>
      </c>
      <c r="C45" s="191" t="s">
        <v>3363</v>
      </c>
      <c r="D45" s="193" t="s">
        <v>3364</v>
      </c>
      <c r="E45" s="193" t="s">
        <v>3365</v>
      </c>
      <c r="F45" s="195">
        <f>IF(COUNTIF(G45:AT45,"&lt;&gt;")=0,"",SUMPRODUCT(((Recommendations[ImplStatus]="Implemented")+(Recommendations[ImplStatus]="Compensated"))*ISNUMBER(MATCH(Recommendations[Id],G45:AT45,0)))/COUNTIF(G45:AT45,"&lt;&gt;"))</f>
        <v>0</v>
      </c>
      <c r="G45" s="197" t="s">
        <v>50</v>
      </c>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3326</v>
      </c>
      <c r="B46" s="190" t="s">
        <v>3337</v>
      </c>
      <c r="C46" s="191" t="s">
        <v>3366</v>
      </c>
      <c r="D46" s="193" t="s">
        <v>3367</v>
      </c>
      <c r="E46" s="193" t="s">
        <v>3368</v>
      </c>
      <c r="F46" s="195">
        <f>IF(COUNTIF(G46:AT46,"&lt;&gt;")=0,"",SUMPRODUCT(((Recommendations[ImplStatus]="Implemented")+(Recommendations[ImplStatus]="Compensated"))*ISNUMBER(MATCH(Recommendations[Id],G46:AT46,0)))/COUNTIF(G46:AT46,"&lt;&gt;"))</f>
        <v>0</v>
      </c>
      <c r="G46" s="197" t="s">
        <v>135</v>
      </c>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3326</v>
      </c>
      <c r="B47" s="190" t="s">
        <v>3337</v>
      </c>
      <c r="C47" s="191" t="s">
        <v>3369</v>
      </c>
      <c r="D47" s="193" t="s">
        <v>3370</v>
      </c>
      <c r="E47" s="193" t="s">
        <v>3371</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3326</v>
      </c>
      <c r="B48" s="190" t="s">
        <v>3337</v>
      </c>
      <c r="C48" s="191" t="s">
        <v>3372</v>
      </c>
      <c r="D48" s="193" t="s">
        <v>3373</v>
      </c>
      <c r="E48" s="193" t="s">
        <v>3374</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3326</v>
      </c>
      <c r="B49" s="190" t="s">
        <v>3337</v>
      </c>
      <c r="C49" s="191" t="s">
        <v>3375</v>
      </c>
      <c r="D49" s="193" t="s">
        <v>3376</v>
      </c>
      <c r="E49" s="193" t="s">
        <v>3377</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3326</v>
      </c>
      <c r="B50" s="190" t="s">
        <v>3337</v>
      </c>
      <c r="C50" s="191" t="s">
        <v>3378</v>
      </c>
      <c r="D50" s="193" t="s">
        <v>3379</v>
      </c>
      <c r="E50" s="193" t="s">
        <v>3380</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3326</v>
      </c>
      <c r="B51" s="189" t="s">
        <v>3381</v>
      </c>
      <c r="C51" s="189"/>
      <c r="D51" s="192" t="s">
        <v>3382</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3326</v>
      </c>
      <c r="B52" s="190" t="s">
        <v>3381</v>
      </c>
      <c r="C52" s="191" t="s">
        <v>3383</v>
      </c>
      <c r="D52" s="193" t="s">
        <v>3384</v>
      </c>
      <c r="E52" s="193" t="s">
        <v>3385</v>
      </c>
      <c r="F52" s="195">
        <f>IF(COUNTIF(G52:AT52,"&lt;&gt;")=0,"",SUMPRODUCT(((Recommendations[ImplStatus]="Implemented")+(Recommendations[ImplStatus]="Compensated"))*ISNUMBER(MATCH(Recommendations[Id],G52:AT52,0)))/COUNTIF(G52:AT52,"&lt;&gt;"))</f>
        <v>0</v>
      </c>
      <c r="G52" s="197" t="s">
        <v>45</v>
      </c>
      <c r="H52" s="197" t="s">
        <v>198</v>
      </c>
      <c r="I52" s="197" t="s">
        <v>335</v>
      </c>
      <c r="J52" s="197" t="s">
        <v>410</v>
      </c>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3326</v>
      </c>
      <c r="B53" s="190" t="s">
        <v>3381</v>
      </c>
      <c r="C53" s="191" t="s">
        <v>3386</v>
      </c>
      <c r="D53" s="193" t="s">
        <v>3387</v>
      </c>
      <c r="E53" s="193" t="s">
        <v>3388</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3326</v>
      </c>
      <c r="B54" s="190" t="s">
        <v>3381</v>
      </c>
      <c r="C54" s="191" t="s">
        <v>3389</v>
      </c>
      <c r="D54" s="193" t="s">
        <v>3390</v>
      </c>
      <c r="E54" s="193" t="s">
        <v>3391</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3326</v>
      </c>
      <c r="B55" s="190" t="s">
        <v>3381</v>
      </c>
      <c r="C55" s="191" t="s">
        <v>3392</v>
      </c>
      <c r="D55" s="193" t="s">
        <v>3393</v>
      </c>
      <c r="E55" s="193" t="s">
        <v>3394</v>
      </c>
      <c r="F55" s="195">
        <f>IF(COUNTIF(G55:AT55,"&lt;&gt;")=0,"",SUMPRODUCT(((Recommendations[ImplStatus]="Implemented")+(Recommendations[ImplStatus]="Compensated"))*ISNUMBER(MATCH(Recommendations[Id],G55:AT55,0)))/COUNTIF(G55:AT55,"&lt;&gt;"))</f>
        <v>0</v>
      </c>
      <c r="G55" s="197" t="s">
        <v>60</v>
      </c>
      <c r="H55" s="197" t="s">
        <v>88</v>
      </c>
      <c r="I55" s="197" t="s">
        <v>185</v>
      </c>
      <c r="J55" s="197" t="s">
        <v>194</v>
      </c>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3326</v>
      </c>
      <c r="B56" s="190" t="s">
        <v>3381</v>
      </c>
      <c r="C56" s="191" t="s">
        <v>3395</v>
      </c>
      <c r="D56" s="193" t="s">
        <v>3396</v>
      </c>
      <c r="E56" s="193" t="s">
        <v>3397</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3326</v>
      </c>
      <c r="B57" s="190" t="s">
        <v>3381</v>
      </c>
      <c r="C57" s="191" t="s">
        <v>3398</v>
      </c>
      <c r="D57" s="193" t="s">
        <v>3399</v>
      </c>
      <c r="E57" s="193" t="s">
        <v>3400</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3326</v>
      </c>
      <c r="B58" s="190" t="s">
        <v>3381</v>
      </c>
      <c r="C58" s="191" t="s">
        <v>3401</v>
      </c>
      <c r="D58" s="193" t="s">
        <v>3402</v>
      </c>
      <c r="E58" s="193" t="s">
        <v>3403</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3326</v>
      </c>
      <c r="B59" s="190" t="s">
        <v>3381</v>
      </c>
      <c r="C59" s="191" t="s">
        <v>3404</v>
      </c>
      <c r="D59" s="193" t="s">
        <v>3405</v>
      </c>
      <c r="E59" s="193" t="s">
        <v>3406</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3326</v>
      </c>
      <c r="B60" s="190" t="s">
        <v>3407</v>
      </c>
      <c r="C60" s="191" t="s">
        <v>3408</v>
      </c>
      <c r="D60" s="193" t="s">
        <v>3409</v>
      </c>
      <c r="E60" s="193" t="s">
        <v>3410</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3326</v>
      </c>
      <c r="B61" s="190" t="s">
        <v>3407</v>
      </c>
      <c r="C61" s="191" t="s">
        <v>3411</v>
      </c>
      <c r="D61" s="193" t="s">
        <v>3412</v>
      </c>
      <c r="E61" s="193" t="s">
        <v>3413</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3326</v>
      </c>
      <c r="B62" s="189" t="s">
        <v>3414</v>
      </c>
      <c r="C62" s="189"/>
      <c r="D62" s="192" t="s">
        <v>3415</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3326</v>
      </c>
      <c r="B63" s="190" t="s">
        <v>3414</v>
      </c>
      <c r="C63" s="191" t="s">
        <v>3416</v>
      </c>
      <c r="D63" s="193" t="s">
        <v>3417</v>
      </c>
      <c r="E63" s="193" t="s">
        <v>3418</v>
      </c>
      <c r="F63" s="195">
        <f>IF(COUNTIF(G63:AT63,"&lt;&gt;")=0,"",SUMPRODUCT(((Recommendations[ImplStatus]="Implemented")+(Recommendations[ImplStatus]="Compensated"))*ISNUMBER(MATCH(Recommendations[Id],G63:AT63,0)))/COUNTIF(G63:AT63,"&lt;&gt;"))</f>
        <v>0</v>
      </c>
      <c r="G63" s="197" t="s">
        <v>218</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3326</v>
      </c>
      <c r="B64" s="190" t="s">
        <v>3414</v>
      </c>
      <c r="C64" s="191" t="s">
        <v>3419</v>
      </c>
      <c r="D64" s="193" t="s">
        <v>3420</v>
      </c>
      <c r="E64" s="193" t="s">
        <v>3421</v>
      </c>
      <c r="F64" s="195">
        <f>IF(COUNTIF(G64:AT64,"&lt;&gt;")=0,"",SUMPRODUCT(((Recommendations[ImplStatus]="Implemented")+(Recommendations[ImplStatus]="Compensated"))*ISNUMBER(MATCH(Recommendations[Id],G64:AT64,0)))/COUNTIF(G64:AT64,"&lt;&gt;"))</f>
        <v>0</v>
      </c>
      <c r="G64" s="197" t="s">
        <v>91</v>
      </c>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3326</v>
      </c>
      <c r="B65" s="190" t="s">
        <v>3414</v>
      </c>
      <c r="C65" s="191" t="s">
        <v>3422</v>
      </c>
      <c r="D65" s="193" t="s">
        <v>3423</v>
      </c>
      <c r="E65" s="193" t="s">
        <v>3424</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3326</v>
      </c>
      <c r="B66" s="190" t="s">
        <v>3414</v>
      </c>
      <c r="C66" s="191" t="s">
        <v>3425</v>
      </c>
      <c r="D66" s="193" t="s">
        <v>3426</v>
      </c>
      <c r="E66" s="193" t="s">
        <v>3427</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3326</v>
      </c>
      <c r="B67" s="190" t="s">
        <v>3414</v>
      </c>
      <c r="C67" s="191" t="s">
        <v>3428</v>
      </c>
      <c r="D67" s="193" t="s">
        <v>3429</v>
      </c>
      <c r="E67" s="193" t="s">
        <v>3430</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3326</v>
      </c>
      <c r="B68" s="190" t="s">
        <v>3414</v>
      </c>
      <c r="C68" s="191" t="s">
        <v>3431</v>
      </c>
      <c r="D68" s="193" t="s">
        <v>3432</v>
      </c>
      <c r="E68" s="193" t="s">
        <v>3433</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3326</v>
      </c>
      <c r="B69" s="190" t="s">
        <v>3414</v>
      </c>
      <c r="C69" s="191" t="s">
        <v>3434</v>
      </c>
      <c r="D69" s="193" t="s">
        <v>3435</v>
      </c>
      <c r="E69" s="193" t="s">
        <v>3436</v>
      </c>
      <c r="F69" s="195">
        <f>IF(COUNTIF(G69:AT69,"&lt;&gt;")=0,"",SUMPRODUCT(((Recommendations[ImplStatus]="Implemented")+(Recommendations[ImplStatus]="Compensated"))*ISNUMBER(MATCH(Recommendations[Id],G69:AT69,0)))/COUNTIF(G69:AT69,"&lt;&gt;"))</f>
        <v>0</v>
      </c>
      <c r="G69" s="197" t="s">
        <v>65</v>
      </c>
      <c r="H69" s="197" t="s">
        <v>70</v>
      </c>
      <c r="I69" s="197" t="s">
        <v>75</v>
      </c>
      <c r="J69" s="197" t="s">
        <v>145</v>
      </c>
      <c r="K69" s="197" t="s">
        <v>185</v>
      </c>
      <c r="L69" s="197" t="s">
        <v>190</v>
      </c>
      <c r="M69" s="197" t="s">
        <v>194</v>
      </c>
      <c r="N69" s="197" t="s">
        <v>213</v>
      </c>
      <c r="O69" s="197" t="s">
        <v>391</v>
      </c>
      <c r="P69" s="197" t="s">
        <v>396</v>
      </c>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3326</v>
      </c>
      <c r="B70" s="190" t="s">
        <v>3414</v>
      </c>
      <c r="C70" s="191" t="s">
        <v>3437</v>
      </c>
      <c r="D70" s="193" t="s">
        <v>3438</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3326</v>
      </c>
      <c r="B71" s="190" t="s">
        <v>3414</v>
      </c>
      <c r="C71" s="191" t="s">
        <v>3439</v>
      </c>
      <c r="D71" s="193" t="s">
        <v>3440</v>
      </c>
      <c r="E71" s="193" t="s">
        <v>3441</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3326</v>
      </c>
      <c r="B72" s="190" t="s">
        <v>3414</v>
      </c>
      <c r="C72" s="191" t="s">
        <v>3442</v>
      </c>
      <c r="D72" s="193" t="s">
        <v>3443</v>
      </c>
      <c r="E72" s="193" t="s">
        <v>3444</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3326</v>
      </c>
      <c r="B73" s="190" t="s">
        <v>3414</v>
      </c>
      <c r="C73" s="191" t="s">
        <v>3445</v>
      </c>
      <c r="D73" s="193" t="s">
        <v>3446</v>
      </c>
      <c r="E73" s="193" t="s">
        <v>3447</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3326</v>
      </c>
      <c r="B74" s="190" t="s">
        <v>3414</v>
      </c>
      <c r="C74" s="191" t="s">
        <v>3448</v>
      </c>
      <c r="D74" s="193" t="s">
        <v>3449</v>
      </c>
      <c r="E74" s="193" t="s">
        <v>3450</v>
      </c>
      <c r="F74" s="195">
        <f>IF(COUNTIF(G74:AT74,"&lt;&gt;")=0,"",SUMPRODUCT(((Recommendations[ImplStatus]="Implemented")+(Recommendations[ImplStatus]="Compensated"))*ISNUMBER(MATCH(Recommendations[Id],G74:AT74,0)))/COUNTIF(G74:AT74,"&lt;&gt;"))</f>
        <v>0</v>
      </c>
      <c r="G74" s="197" t="s">
        <v>45</v>
      </c>
      <c r="H74" s="197" t="s">
        <v>234</v>
      </c>
      <c r="I74" s="197" t="s">
        <v>255</v>
      </c>
      <c r="J74" s="197" t="s">
        <v>335</v>
      </c>
      <c r="K74" s="197" t="s">
        <v>356</v>
      </c>
      <c r="L74" s="197" t="s">
        <v>405</v>
      </c>
      <c r="M74" s="197" t="s">
        <v>410</v>
      </c>
      <c r="N74" s="197" t="s">
        <v>415</v>
      </c>
      <c r="O74" s="197" t="s">
        <v>420</v>
      </c>
      <c r="P74" s="197" t="s">
        <v>430</v>
      </c>
      <c r="Q74" s="197" t="s">
        <v>435</v>
      </c>
      <c r="R74" s="197" t="s">
        <v>440</v>
      </c>
      <c r="S74" s="197" t="s">
        <v>519</v>
      </c>
      <c r="T74" s="197" t="s">
        <v>627</v>
      </c>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3326</v>
      </c>
      <c r="B75" s="190" t="s">
        <v>3414</v>
      </c>
      <c r="C75" s="191" t="s">
        <v>3451</v>
      </c>
      <c r="D75" s="193" t="s">
        <v>3452</v>
      </c>
      <c r="E75" s="193" t="s">
        <v>3453</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3326</v>
      </c>
      <c r="B76" s="190" t="s">
        <v>3414</v>
      </c>
      <c r="C76" s="191" t="s">
        <v>3454</v>
      </c>
      <c r="D76" s="193" t="s">
        <v>3455</v>
      </c>
      <c r="E76" s="193" t="s">
        <v>3456</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3326</v>
      </c>
      <c r="B77" s="190" t="s">
        <v>3414</v>
      </c>
      <c r="C77" s="191" t="s">
        <v>3457</v>
      </c>
      <c r="D77" s="193" t="s">
        <v>3458</v>
      </c>
      <c r="E77" s="193" t="s">
        <v>3459</v>
      </c>
      <c r="F77" s="195">
        <f>IF(COUNTIF(G77:AT77,"&lt;&gt;")=0,"",SUMPRODUCT(((Recommendations[ImplStatus]="Implemented")+(Recommendations[ImplStatus]="Compensated"))*ISNUMBER(MATCH(Recommendations[Id],G77:AT77,0)))/COUNTIF(G77:AT77,"&lt;&gt;"))</f>
        <v>0</v>
      </c>
      <c r="G77" s="197" t="s">
        <v>239</v>
      </c>
      <c r="H77" s="197" t="s">
        <v>245</v>
      </c>
      <c r="I77" s="197" t="s">
        <v>250</v>
      </c>
      <c r="J77" s="197" t="s">
        <v>260</v>
      </c>
      <c r="K77" s="197" t="s">
        <v>265</v>
      </c>
      <c r="L77" s="197" t="s">
        <v>270</v>
      </c>
      <c r="M77" s="197" t="s">
        <v>275</v>
      </c>
      <c r="N77" s="197" t="s">
        <v>280</v>
      </c>
      <c r="O77" s="197" t="s">
        <v>285</v>
      </c>
      <c r="P77" s="197" t="s">
        <v>290</v>
      </c>
      <c r="Q77" s="197" t="s">
        <v>295</v>
      </c>
      <c r="R77" s="197" t="s">
        <v>300</v>
      </c>
      <c r="S77" s="197" t="s">
        <v>305</v>
      </c>
      <c r="T77" s="197" t="s">
        <v>310</v>
      </c>
      <c r="U77" s="197" t="s">
        <v>320</v>
      </c>
      <c r="V77" s="197" t="s">
        <v>325</v>
      </c>
      <c r="W77" s="197" t="s">
        <v>330</v>
      </c>
      <c r="X77" s="197" t="s">
        <v>405</v>
      </c>
      <c r="Y77" s="197" t="s">
        <v>420</v>
      </c>
      <c r="Z77" s="197" t="s">
        <v>430</v>
      </c>
      <c r="AA77" s="197" t="s">
        <v>435</v>
      </c>
      <c r="AB77" s="197" t="s">
        <v>440</v>
      </c>
      <c r="AC77" s="197" t="s">
        <v>579</v>
      </c>
      <c r="AD77" s="197" t="s">
        <v>589</v>
      </c>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3326</v>
      </c>
      <c r="B78" s="190" t="s">
        <v>3414</v>
      </c>
      <c r="C78" s="191" t="s">
        <v>3460</v>
      </c>
      <c r="D78" s="193" t="s">
        <v>3461</v>
      </c>
      <c r="E78" s="193" t="s">
        <v>3462</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3326</v>
      </c>
      <c r="B79" s="189" t="s">
        <v>3414</v>
      </c>
      <c r="C79" s="189"/>
      <c r="D79" s="192" t="s">
        <v>3463</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3464</v>
      </c>
      <c r="B80" s="190"/>
      <c r="C80" s="191" t="s">
        <v>3465</v>
      </c>
      <c r="D80" s="193" t="s">
        <v>3466</v>
      </c>
      <c r="E80" s="193" t="s">
        <v>3467</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3464</v>
      </c>
      <c r="B81" s="190"/>
      <c r="C81" s="191" t="s">
        <v>3468</v>
      </c>
      <c r="D81" s="193" t="s">
        <v>3469</v>
      </c>
      <c r="E81" s="193" t="s">
        <v>3470</v>
      </c>
      <c r="F81" s="195">
        <f>IF(COUNTIF(G81:AT81,"&lt;&gt;")=0,"",SUMPRODUCT(((Recommendations[ImplStatus]="Implemented")+(Recommendations[ImplStatus]="Compensated"))*ISNUMBER(MATCH(Recommendations[Id],G81:AT81,0)))/COUNTIF(G81:AT81,"&lt;&gt;"))</f>
        <v>0</v>
      </c>
      <c r="G81" s="197" t="s">
        <v>223</v>
      </c>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3464</v>
      </c>
      <c r="B82" s="190"/>
      <c r="C82" s="191" t="s">
        <v>3471</v>
      </c>
      <c r="D82" s="193" t="s">
        <v>3472</v>
      </c>
      <c r="E82" s="193" t="s">
        <v>3473</v>
      </c>
      <c r="F82" s="195">
        <f>IF(COUNTIF(G82:AT82,"&lt;&gt;")=0,"",SUMPRODUCT(((Recommendations[ImplStatus]="Implemented")+(Recommendations[ImplStatus]="Compensated"))*ISNUMBER(MATCH(Recommendations[Id],G82:AT82,0)))/COUNTIF(G82:AT82,"&lt;&gt;"))</f>
        <v>0</v>
      </c>
      <c r="G82" s="197" t="s">
        <v>160</v>
      </c>
      <c r="H82" s="197" t="s">
        <v>165</v>
      </c>
      <c r="I82" s="197" t="s">
        <v>175</v>
      </c>
      <c r="J82" s="197" t="s">
        <v>180</v>
      </c>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3464</v>
      </c>
      <c r="B83" s="190"/>
      <c r="C83" s="191" t="s">
        <v>3474</v>
      </c>
      <c r="D83" s="193" t="s">
        <v>3475</v>
      </c>
      <c r="E83" s="193" t="s">
        <v>3476</v>
      </c>
      <c r="F83" s="195">
        <f>IF(COUNTIF(G83:AT83,"&lt;&gt;")=0,"",SUMPRODUCT(((Recommendations[ImplStatus]="Implemented")+(Recommendations[ImplStatus]="Compensated"))*ISNUMBER(MATCH(Recommendations[Id],G83:AT83,0)))/COUNTIF(G83:AT83,"&lt;&gt;"))</f>
        <v>0</v>
      </c>
      <c r="G83" s="197" t="s">
        <v>569</v>
      </c>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3464</v>
      </c>
      <c r="B84" s="189"/>
      <c r="C84" s="189"/>
      <c r="D84" s="192" t="s">
        <v>3477</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3478</v>
      </c>
      <c r="B85" s="190"/>
      <c r="C85" s="191" t="s">
        <v>3479</v>
      </c>
      <c r="D85" s="193" t="s">
        <v>3480</v>
      </c>
      <c r="E85" s="193" t="s">
        <v>3481</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3478</v>
      </c>
      <c r="B86" s="190"/>
      <c r="C86" s="191" t="s">
        <v>3482</v>
      </c>
      <c r="D86" s="193" t="s">
        <v>3483</v>
      </c>
      <c r="E86" s="193" t="s">
        <v>3484</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3478</v>
      </c>
      <c r="B87" s="190"/>
      <c r="C87" s="191" t="s">
        <v>3485</v>
      </c>
      <c r="D87" s="193" t="s">
        <v>3486</v>
      </c>
      <c r="E87" s="193" t="s">
        <v>3487</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3478</v>
      </c>
      <c r="B88" s="190"/>
      <c r="C88" s="191" t="s">
        <v>3488</v>
      </c>
      <c r="D88" s="193" t="s">
        <v>3489</v>
      </c>
      <c r="E88" s="193" t="s">
        <v>3490</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3478</v>
      </c>
      <c r="B89" s="190"/>
      <c r="C89" s="191" t="s">
        <v>3491</v>
      </c>
      <c r="D89" s="193" t="s">
        <v>3492</v>
      </c>
      <c r="E89" s="193" t="s">
        <v>3493</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3478</v>
      </c>
      <c r="B90" s="189" t="s">
        <v>3494</v>
      </c>
      <c r="C90" s="189"/>
      <c r="D90" s="192" t="s">
        <v>3495</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3478</v>
      </c>
      <c r="B91" s="190" t="s">
        <v>3494</v>
      </c>
      <c r="C91" s="191" t="s">
        <v>3496</v>
      </c>
      <c r="D91" s="193" t="s">
        <v>3497</v>
      </c>
      <c r="E91" s="193" t="s">
        <v>3498</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3478</v>
      </c>
      <c r="B92" s="190" t="s">
        <v>3494</v>
      </c>
      <c r="C92" s="191" t="s">
        <v>3499</v>
      </c>
      <c r="D92" s="193" t="s">
        <v>3500</v>
      </c>
      <c r="E92" s="193" t="s">
        <v>3501</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3494</v>
      </c>
      <c r="C93" s="191" t="s">
        <v>3502</v>
      </c>
      <c r="D93" s="193" t="s">
        <v>3503</v>
      </c>
      <c r="E93" s="193" t="s">
        <v>3504</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3494</v>
      </c>
      <c r="C94" s="191" t="s">
        <v>3505</v>
      </c>
      <c r="D94" s="193" t="s">
        <v>3506</v>
      </c>
      <c r="E94" s="193" t="s">
        <v>3507</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3494</v>
      </c>
      <c r="C95" s="191" t="s">
        <v>3508</v>
      </c>
      <c r="D95" s="193" t="s">
        <v>3509</v>
      </c>
      <c r="E95" s="193" t="s">
        <v>3510</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3494</v>
      </c>
      <c r="C96" s="191" t="s">
        <v>3511</v>
      </c>
      <c r="D96" s="193" t="s">
        <v>3512</v>
      </c>
      <c r="E96" s="193" t="s">
        <v>3513</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3494</v>
      </c>
      <c r="C97" s="191" t="s">
        <v>3514</v>
      </c>
      <c r="D97" s="193" t="s">
        <v>3515</v>
      </c>
      <c r="E97" s="193" t="s">
        <v>3516</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3494</v>
      </c>
      <c r="C98" s="191" t="s">
        <v>3517</v>
      </c>
      <c r="D98" s="193" t="s">
        <v>3518</v>
      </c>
      <c r="E98" s="193" t="s">
        <v>3519</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3520</v>
      </c>
      <c r="C99" s="189"/>
      <c r="D99" s="192" t="s">
        <v>3521</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3520</v>
      </c>
      <c r="C100" s="191" t="s">
        <v>3522</v>
      </c>
      <c r="D100" s="193" t="s">
        <v>3523</v>
      </c>
      <c r="E100" s="193" t="s">
        <v>3524</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3520</v>
      </c>
      <c r="C101" s="191" t="s">
        <v>3525</v>
      </c>
      <c r="D101" s="193" t="s">
        <v>3526</v>
      </c>
      <c r="E101" s="193" t="s">
        <v>3527</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3520</v>
      </c>
      <c r="C102" s="191" t="s">
        <v>3528</v>
      </c>
      <c r="D102" s="193" t="s">
        <v>3529</v>
      </c>
      <c r="E102" s="193" t="s">
        <v>3530</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3520</v>
      </c>
      <c r="C103" s="191" t="s">
        <v>3531</v>
      </c>
      <c r="D103" s="193" t="s">
        <v>3532</v>
      </c>
      <c r="E103" s="193" t="s">
        <v>3533</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3520</v>
      </c>
      <c r="C104" s="199" t="s">
        <v>3534</v>
      </c>
      <c r="D104" s="200" t="s">
        <v>3535</v>
      </c>
      <c r="E104" s="200" t="s">
        <v>3536</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770</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IFERROR(INDEX('Recommendations'!$H$2:$H$153, MATCH(G2,'Recommendations'!$A$2:$A$153,0))="Implemented", FALSE))</xm:f>
            <x14:dxf>
              <font>
                <color rgb="FF000000"/>
              </font>
              <fill>
                <patternFill>
                  <bgColor rgb="FF3C7D22"/>
                </patternFill>
              </fill>
            </x14:dxf>
          </x14:cfRule>
          <x14:cfRule type="expression" priority="2" id="{00000000-000E-0000-0800-000002000000}">
            <xm:f>AND(G2&lt;&gt;"", IFERROR(INDEX('Recommendations'!$H$2:$H$153, MATCH(G2,'Recommendations'!$A$2:$A$153,0))="Compensated", FALSE))</xm:f>
            <x14:dxf>
              <font>
                <color rgb="FF000000"/>
              </font>
              <fill>
                <patternFill>
                  <bgColor rgb="FFC6E0B4"/>
                </patternFill>
              </fill>
            </x14:dxf>
          </x14:cfRule>
          <x14:cfRule type="expression" priority="3" id="{00000000-000E-0000-0800-000003000000}">
            <xm:f>AND(G2&lt;&gt;"", IFERROR(INDEX('Recommendations'!$H$2:$H$153, MATCH(G2,'Recommendations'!$A$2:$A$153,0))="Testing", FALSE))</xm:f>
            <x14:dxf>
              <font>
                <color rgb="FF000000"/>
              </font>
              <fill>
                <patternFill>
                  <bgColor rgb="FFFFC000"/>
                </patternFill>
              </fill>
            </x14:dxf>
          </x14:cfRule>
          <x14:cfRule type="expression" priority="4" id="{00000000-000E-0000-0800-000004000000}">
            <xm:f>AND(G2&lt;&gt;"", IFERROR(INDEX('Recommendations'!$H$2:$H$153, MATCH(G2,'Recommendations'!$A$2:$A$153,0))="Failed", FALSE))</xm:f>
            <x14:dxf>
              <font>
                <color rgb="FF000000"/>
              </font>
              <fill>
                <patternFill>
                  <bgColor rgb="FFD82891"/>
                </patternFill>
              </fill>
            </x14:dxf>
          </x14:cfRule>
          <x14:cfRule type="expression" priority="5" id="{00000000-000E-0000-0800-000005000000}">
            <xm:f>AND(G2&lt;&gt;"", IFERROR(INDEX('Recommendations'!$H$2:$H$153, MATCH(G2,'Recommendations'!$A$2:$A$153,0))="Risk Accepted", FALSE))</xm:f>
            <x14:dxf>
              <font>
                <color rgb="FF000000"/>
              </font>
              <fill>
                <patternFill>
                  <bgColor rgb="FFD9D9D9"/>
                </patternFill>
              </fill>
            </x14:dxf>
          </x14:cfRule>
          <x14:cfRule type="expression" priority="6" id="{00000000-000E-0000-0800-000006000000}">
            <xm:f>AND(G2&lt;&gt;"", IFERROR(INDEX('Recommendations'!$H$2:$H$153, MATCH(G2,'Recommendations'!$A$2:$A$153,0))="N/A",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Cisco IOS XE Switch Security Technical Implementation Guide - SHGIR</dc:title>
  <dc:subject>Generated on: 2026-06-08 13:36:27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2026-06-08T12:36:36Z</dcterms:modified>
  <cp:category>DISA-STIG</cp:category>
  <cp:contentStatus>Draft</cp:contentStatus>
</cp:coreProperties>
</file>