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DF1C76EF2306B4F380CAC90CE18FED0EF8B90905" xr6:coauthVersionLast="47" xr6:coauthVersionMax="47" xr10:uidLastSave="{FA49997B-66C0-475C-B5DB-E5E0ABBD803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E90" i="3" s="1"/>
  <c r="M10" i="1"/>
  <c r="M9" i="1"/>
  <c r="M8" i="1"/>
  <c r="M7" i="1"/>
  <c r="M6" i="1"/>
  <c r="M5" i="1"/>
  <c r="M4" i="1"/>
  <c r="M3" i="1"/>
  <c r="M2" i="1"/>
  <c r="F129" i="3" s="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C95" i="3"/>
  <c r="C90" i="3"/>
  <c r="E89" i="3"/>
  <c r="D89" i="3"/>
  <c r="C89" i="3"/>
  <c r="F89" i="3" s="1"/>
  <c r="E88" i="3"/>
  <c r="D88" i="3"/>
  <c r="C88" i="3"/>
  <c r="W140" i="3" s="1"/>
  <c r="F87" i="3"/>
  <c r="V169" i="3" s="1"/>
  <c r="E87" i="3"/>
  <c r="D87" i="3"/>
  <c r="C87" i="3"/>
  <c r="U140" i="3" s="1"/>
  <c r="E86" i="3"/>
  <c r="D86" i="3"/>
  <c r="C86" i="3"/>
  <c r="F86" i="3" s="1"/>
  <c r="E71" i="3"/>
  <c r="D71" i="3"/>
  <c r="C71" i="3"/>
  <c r="F71" i="3" s="1"/>
  <c r="E70" i="3"/>
  <c r="D70" i="3"/>
  <c r="C70" i="3"/>
  <c r="F70" i="3" s="1"/>
  <c r="E69" i="3"/>
  <c r="D69" i="3"/>
  <c r="C69" i="3"/>
  <c r="F69" i="3" s="1"/>
  <c r="E51" i="3"/>
  <c r="E50" i="3"/>
  <c r="D50" i="3"/>
  <c r="F50" i="3" s="1"/>
  <c r="C50" i="3"/>
  <c r="E49" i="3"/>
  <c r="D49" i="3"/>
  <c r="C49" i="3"/>
  <c r="F49" i="3" s="1"/>
  <c r="E48" i="3"/>
  <c r="D48" i="3"/>
  <c r="C48" i="3"/>
  <c r="F48" i="3" s="1"/>
  <c r="E47" i="3"/>
  <c r="D47" i="3"/>
  <c r="C47" i="3"/>
  <c r="F47" i="3" s="1"/>
  <c r="E46" i="3"/>
  <c r="F46" i="3" s="1"/>
  <c r="D46" i="3"/>
  <c r="C46" i="3"/>
  <c r="E31" i="3"/>
  <c r="D31" i="3"/>
  <c r="C31" i="3"/>
  <c r="F31" i="3" s="1"/>
  <c r="E30" i="3"/>
  <c r="D30" i="3"/>
  <c r="C30" i="3"/>
  <c r="F30" i="3" s="1"/>
  <c r="F29" i="3"/>
  <c r="D35" i="3" s="1"/>
  <c r="E29" i="3"/>
  <c r="D29" i="3"/>
  <c r="C29" i="3"/>
  <c r="E16" i="3"/>
  <c r="D16" i="3"/>
  <c r="C16" i="3"/>
  <c r="F16" i="3" s="1"/>
  <c r="C9" i="3"/>
  <c r="D9" i="3" s="1"/>
  <c r="C8" i="3"/>
  <c r="D8" i="3" s="1"/>
  <c r="C7" i="3"/>
  <c r="D7" i="3" s="1"/>
  <c r="E56" i="3" l="1"/>
  <c r="D56" i="3"/>
  <c r="C56" i="3"/>
  <c r="C57" i="3"/>
  <c r="D57" i="3"/>
  <c r="E57" i="3"/>
  <c r="G129" i="3"/>
  <c r="E58" i="3"/>
  <c r="D58" i="3"/>
  <c r="C58" i="3"/>
  <c r="E97" i="3"/>
  <c r="C97" i="3"/>
  <c r="D97" i="3"/>
  <c r="D55" i="3"/>
  <c r="C55" i="3"/>
  <c r="E55" i="3"/>
  <c r="E115" i="3"/>
  <c r="D115" i="3"/>
  <c r="C115" i="3"/>
  <c r="T169" i="3"/>
  <c r="T164" i="3"/>
  <c r="T159" i="3"/>
  <c r="T154" i="3"/>
  <c r="T149" i="3"/>
  <c r="T144" i="3"/>
  <c r="E94" i="3"/>
  <c r="D94" i="3"/>
  <c r="T168" i="3"/>
  <c r="T163" i="3"/>
  <c r="T158" i="3"/>
  <c r="T153" i="3"/>
  <c r="T148" i="3"/>
  <c r="T143" i="3"/>
  <c r="C94" i="3"/>
  <c r="T172" i="3"/>
  <c r="T167" i="3"/>
  <c r="T162" i="3"/>
  <c r="T157" i="3"/>
  <c r="T152" i="3"/>
  <c r="T147" i="3"/>
  <c r="T142" i="3"/>
  <c r="T171" i="3"/>
  <c r="T166" i="3"/>
  <c r="T161" i="3"/>
  <c r="T156" i="3"/>
  <c r="T151" i="3"/>
  <c r="T146" i="3"/>
  <c r="T170" i="3"/>
  <c r="T165" i="3"/>
  <c r="T160" i="3"/>
  <c r="T155" i="3"/>
  <c r="T150" i="3"/>
  <c r="T145" i="3"/>
  <c r="E116" i="3"/>
  <c r="D116" i="3"/>
  <c r="C116" i="3"/>
  <c r="R170" i="3"/>
  <c r="R165" i="3"/>
  <c r="R160" i="3"/>
  <c r="R155" i="3"/>
  <c r="R150" i="3"/>
  <c r="R145" i="3"/>
  <c r="R169" i="3"/>
  <c r="R164" i="3"/>
  <c r="R159" i="3"/>
  <c r="R154" i="3"/>
  <c r="R149" i="3"/>
  <c r="R144" i="3"/>
  <c r="R168" i="3"/>
  <c r="R163" i="3"/>
  <c r="R158" i="3"/>
  <c r="R153" i="3"/>
  <c r="R148" i="3"/>
  <c r="R143" i="3"/>
  <c r="R172" i="3"/>
  <c r="R167" i="3"/>
  <c r="R162" i="3"/>
  <c r="R157" i="3"/>
  <c r="R152" i="3"/>
  <c r="R147" i="3"/>
  <c r="R142" i="3"/>
  <c r="E20" i="3"/>
  <c r="D20" i="3"/>
  <c r="C20" i="3"/>
  <c r="R171" i="3"/>
  <c r="R166" i="3"/>
  <c r="R161" i="3"/>
  <c r="R156" i="3"/>
  <c r="R151" i="3"/>
  <c r="R146" i="3"/>
  <c r="E36" i="3"/>
  <c r="D36" i="3"/>
  <c r="C36" i="3"/>
  <c r="E75" i="3"/>
  <c r="D75" i="3"/>
  <c r="C75" i="3"/>
  <c r="E77" i="3"/>
  <c r="D77" i="3"/>
  <c r="C77" i="3"/>
  <c r="E76" i="3"/>
  <c r="D76" i="3"/>
  <c r="C76" i="3"/>
  <c r="E117" i="3"/>
  <c r="D117" i="3"/>
  <c r="C117" i="3"/>
  <c r="E59" i="3"/>
  <c r="D59" i="3"/>
  <c r="C59" i="3"/>
  <c r="E37" i="3"/>
  <c r="D37" i="3"/>
  <c r="C37" i="3"/>
  <c r="E114" i="3"/>
  <c r="C114" i="3"/>
  <c r="D114" i="3"/>
  <c r="V145" i="3"/>
  <c r="V150" i="3"/>
  <c r="V155" i="3"/>
  <c r="V160" i="3"/>
  <c r="V165" i="3"/>
  <c r="V170" i="3"/>
  <c r="C35" i="3"/>
  <c r="E35" i="3"/>
  <c r="Q140" i="3"/>
  <c r="S140" i="3"/>
  <c r="F88" i="3"/>
  <c r="V146" i="3"/>
  <c r="V151" i="3"/>
  <c r="V156" i="3"/>
  <c r="V161" i="3"/>
  <c r="V166" i="3"/>
  <c r="V171" i="3"/>
  <c r="C51" i="3"/>
  <c r="D90" i="3"/>
  <c r="F90" i="3" s="1"/>
  <c r="V142" i="3"/>
  <c r="V147" i="3"/>
  <c r="V152" i="3"/>
  <c r="V157" i="3"/>
  <c r="V162" i="3"/>
  <c r="V167" i="3"/>
  <c r="V172" i="3"/>
  <c r="D51" i="3"/>
  <c r="V143" i="3"/>
  <c r="V148" i="3"/>
  <c r="V153" i="3"/>
  <c r="V158" i="3"/>
  <c r="V163" i="3"/>
  <c r="V168" i="3"/>
  <c r="D95" i="3"/>
  <c r="E95" i="3"/>
  <c r="V144" i="3"/>
  <c r="V149" i="3"/>
  <c r="V154" i="3"/>
  <c r="V159" i="3"/>
  <c r="V164" i="3"/>
  <c r="E98" i="3" l="1"/>
  <c r="D98" i="3"/>
  <c r="C98" i="3"/>
  <c r="F51" i="3"/>
  <c r="X169" i="3"/>
  <c r="X164" i="3"/>
  <c r="X159" i="3"/>
  <c r="X154" i="3"/>
  <c r="X149" i="3"/>
  <c r="X144" i="3"/>
  <c r="C96" i="3"/>
  <c r="X168" i="3"/>
  <c r="X163" i="3"/>
  <c r="X158" i="3"/>
  <c r="X153" i="3"/>
  <c r="X148" i="3"/>
  <c r="X143" i="3"/>
  <c r="X172" i="3"/>
  <c r="X167" i="3"/>
  <c r="X162" i="3"/>
  <c r="X157" i="3"/>
  <c r="X152" i="3"/>
  <c r="X147" i="3"/>
  <c r="X142" i="3"/>
  <c r="D96" i="3"/>
  <c r="X171" i="3"/>
  <c r="X166" i="3"/>
  <c r="X161" i="3"/>
  <c r="X156" i="3"/>
  <c r="X151" i="3"/>
  <c r="X146" i="3"/>
  <c r="E96" i="3"/>
  <c r="X170" i="3"/>
  <c r="X165" i="3"/>
  <c r="X160" i="3"/>
  <c r="X155" i="3"/>
  <c r="X150" i="3"/>
  <c r="X145" i="3"/>
  <c r="E60" i="3" l="1"/>
  <c r="D60" i="3"/>
  <c r="C60" i="3"/>
</calcChain>
</file>

<file path=xl/sharedStrings.xml><?xml version="1.0" encoding="utf-8"?>
<sst xmlns="http://schemas.openxmlformats.org/spreadsheetml/2006/main" count="1292" uniqueCount="520">
  <si>
    <t>Id</t>
  </si>
  <si>
    <t>Title</t>
  </si>
  <si>
    <t>Severity</t>
  </si>
  <si>
    <t>Component</t>
  </si>
  <si>
    <t>MoSCoW</t>
  </si>
  <si>
    <t>OpsImpact</t>
  </si>
  <si>
    <t>Phase</t>
  </si>
  <si>
    <t>ImplStatus</t>
  </si>
  <si>
    <t>Notes</t>
  </si>
  <si>
    <t>Remediation</t>
  </si>
  <si>
    <t>Description</t>
  </si>
  <si>
    <t>Audit</t>
  </si>
  <si>
    <t>Status</t>
  </si>
  <si>
    <t>LogID</t>
  </si>
  <si>
    <t>V-60813</t>
  </si>
  <si>
    <r>
      <rPr>
        <sz val="11"/>
        <rFont val="Calibri"/>
      </rPr>
      <t>The Arista Multilayer Switch must enforce approved authorizations for controlling the flow of information within the network based on organization-defined information flow control policies.</t>
    </r>
  </si>
  <si>
    <t>CAT II (Medium)</t>
  </si>
  <si>
    <t>L2S</t>
  </si>
  <si>
    <t>Unassigned</t>
  </si>
  <si>
    <t>Unassessed</t>
  </si>
  <si>
    <t>Pending</t>
  </si>
  <si>
    <t/>
  </si>
  <si>
    <r>
      <rPr>
        <sz val="11"/>
        <color rgb="FF000000"/>
        <rFont val="Calibri"/>
      </rPr>
      <t>Configure the switch to use spanning-tree protocol for Layer-2 connections.</t>
    </r>
    <r>
      <rPr>
        <sz val="11"/>
        <color rgb="FF000000"/>
        <rFont val="Calibri"/>
      </rPr>
      <t xml:space="preserve">
</t>
    </r>
    <r>
      <rPr>
        <sz val="11"/>
        <color rgb="FF000000"/>
        <rFont val="Calibri"/>
      </rPr>
      <t>The version of spanning-tree protocol as well as the VLANs upon which it is enabled must be determined according to organizational use and site policy.</t>
    </r>
    <r>
      <rPr>
        <sz val="11"/>
        <color rgb="FF000000"/>
        <rFont val="Calibri"/>
      </rPr>
      <t xml:space="preserve">
</t>
    </r>
    <r>
      <rPr>
        <sz val="11"/>
        <color rgb="FF000000"/>
        <rFont val="Calibri"/>
      </rPr>
      <t>For full configuration examples, refer to the Arista Configuration Manual, Chapter 20.</t>
    </r>
  </si>
  <si>
    <r>
      <rPr>
        <sz val="11"/>
        <color rgb="FF000000"/>
        <rFont val="Calibri"/>
      </rPr>
      <t xml:space="preserve">Information flow control regulates where information is allowed to travel within a network and between interconnected networks. The flow of all network traffic must be monitored and controlled so it does not introduce any unacceptable risk to the network infrastructure or data. </t>
    </r>
    <r>
      <rPr>
        <sz val="11"/>
        <color rgb="FF000000"/>
        <rFont val="Calibri"/>
      </rPr>
      <t xml:space="preserve">
</t>
    </r>
    <r>
      <rPr>
        <sz val="11"/>
        <color rgb="FF000000"/>
        <rFont val="Calibri"/>
      </rPr>
      <t>A few examples of flow control restrictions include: keeping export-controlled information from being transmitted in the clear to the Internet and blocking information marked as classified but which is being transported to an unapproved destination. Information flow control policies and enforcement mechanisms are commonly employed by organizations to control the flow of information between designated sources and destinations (e.g., networks, individuals, devices) within information systems.</t>
    </r>
    <r>
      <rPr>
        <sz val="11"/>
        <color rgb="FF000000"/>
        <rFont val="Calibri"/>
      </rPr>
      <t xml:space="preserve">
</t>
    </r>
    <r>
      <rPr>
        <sz val="11"/>
        <color rgb="FF000000"/>
        <rFont val="Calibri"/>
      </rPr>
      <t>Enforcement occurs, for example, in boundary protection devices (e.g., gateways, routers, guards, encrypted tunnels, and firewalls) that employ rule sets or establish configuration settings that restrict information system services, provide a packet filtering capability based on header information, or provide a message filtering capability based on message content (e.g., implementing key word searches or using document characteristics).</t>
    </r>
  </si>
  <si>
    <r>
      <rPr>
        <sz val="11"/>
        <color rgb="FF000000"/>
        <rFont val="Calibri"/>
      </rPr>
      <t>Verify the use of Spanning-Tree Protocol for information flow control via the "show spanning-tree" command.</t>
    </r>
    <r>
      <rPr>
        <sz val="11"/>
        <color rgb="FF000000"/>
        <rFont val="Calibri"/>
      </rPr>
      <t xml:space="preserve">
</t>
    </r>
    <r>
      <rPr>
        <sz val="11"/>
        <color rgb="FF000000"/>
        <rFont val="Calibri"/>
      </rPr>
      <t>Alternatively, from the output of the "show running-config" command, review the configuration for "spanning-tree mode" statement, and verify the line "spanning-tree disabled" is not present for production VLANs.</t>
    </r>
    <r>
      <rPr>
        <sz val="11"/>
        <color rgb="FF000000"/>
        <rFont val="Calibri"/>
      </rPr>
      <t xml:space="preserve">
</t>
    </r>
    <r>
      <rPr>
        <sz val="11"/>
        <color rgb="FF000000"/>
        <rFont val="Calibri"/>
      </rPr>
      <t>If spanning-tree is not used for controlling the flow of information, this is a finding.</t>
    </r>
  </si>
  <si>
    <t>V-60815</t>
  </si>
  <si>
    <r>
      <rPr>
        <sz val="11"/>
        <rFont val="Calibri"/>
      </rPr>
      <t>The Arista Multilayer Switch must have a local infrequently used account to be used as an account of last resort with full access to the network device.</t>
    </r>
  </si>
  <si>
    <t>CAT I (High)</t>
  </si>
  <si>
    <t>NDM</t>
  </si>
  <si>
    <r>
      <rPr>
        <sz val="11"/>
        <color rgb="FF000000"/>
        <rFont val="Calibri"/>
      </rPr>
      <t>Configure the Arista Multilayer Switch with a local infrequently used account to be used as an account of last resort with full access to the network device.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</si>
  <si>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Password complexity is one factor of several that determines how long it takes to crack a password. The more complex the password, the greater the number of possible combinations that needs to be tested before the password is compromised.</t>
    </r>
    <r>
      <rPr>
        <sz val="11"/>
        <color rgb="FF000000"/>
        <rFont val="Calibri"/>
      </rPr>
      <t xml:space="preserve">
</t>
    </r>
    <r>
      <rPr>
        <sz val="11"/>
        <color rgb="FF000000"/>
        <rFont val="Calibri"/>
      </rPr>
      <t>Typically, the account of last resort is a built-in account with full privileges to the network device. This account should only be used when the authentication mechanism is unreachable and configuration or maintenance actions must be taken.</t>
    </r>
  </si>
  <si>
    <r>
      <rPr>
        <sz val="11"/>
        <color rgb="FF000000"/>
        <rFont val="Calibri"/>
      </rPr>
      <t>Review the Arista Multilayer Switch configuration for a local infrequently used account to be used as an account of last resort with full access to the network device. The default account on the Arista MLS is called admin.</t>
    </r>
    <r>
      <rPr>
        <sz val="11"/>
        <color rgb="FF000000"/>
        <rFont val="Calibri"/>
      </rPr>
      <t xml:space="preserve">
</t>
    </r>
    <r>
      <rPr>
        <sz val="11"/>
        <color rgb="FF000000"/>
        <rFont val="Calibri"/>
      </rPr>
      <t>If the account of last resort does not exist, this is a finding.</t>
    </r>
    <r>
      <rPr>
        <sz val="11"/>
        <color rgb="FF000000"/>
        <rFont val="Calibri"/>
      </rPr>
      <t xml:space="preserve">
</t>
    </r>
    <r>
      <rPr>
        <sz val="11"/>
        <color rgb="FF000000"/>
        <rFont val="Calibri"/>
      </rPr>
      <t>To assign a password to this account, enter the following:</t>
    </r>
    <r>
      <rPr>
        <sz val="11"/>
        <color rgb="FF000000"/>
        <rFont val="Calibri"/>
      </rPr>
      <t xml:space="preserve">
</t>
    </r>
    <r>
      <rPr>
        <sz val="11"/>
        <color rgb="FF000000"/>
        <rFont val="Calibri"/>
      </rPr>
      <t>username admin secret [password] role [role]</t>
    </r>
  </si>
  <si>
    <t>V-60817</t>
  </si>
  <si>
    <r>
      <rPr>
        <sz val="11"/>
        <rFont val="Calibri"/>
      </rPr>
      <t>The Arista Multilayer Switch must enforce approved authorizations for controlling the flow of information between interconnected networks in accordance with applicable policy.</t>
    </r>
  </si>
  <si>
    <t>RTR</t>
  </si>
  <si>
    <r>
      <rPr>
        <sz val="11"/>
        <color rgb="FF000000"/>
        <rFont val="Calibri"/>
      </rPr>
      <t>Configure the router to enforce approved authorizations for controlling the flow of information between interconnected networks in accordance with applicable policy.</t>
    </r>
    <r>
      <rPr>
        <sz val="11"/>
        <color rgb="FF000000"/>
        <rFont val="Calibri"/>
      </rPr>
      <t xml:space="preserve">
</t>
    </r>
    <r>
      <rPr>
        <sz val="11"/>
        <color rgb="FF000000"/>
        <rFont val="Calibri"/>
      </rPr>
      <t>To use an IP access list to fulfill this function, enter the following commands, substituting organizational values for the bracketed variables.</t>
    </r>
    <r>
      <rPr>
        <sz val="11"/>
        <color rgb="FF000000"/>
        <rFont val="Calibri"/>
      </rPr>
      <t xml:space="preserve">
</t>
    </r>
    <r>
      <rPr>
        <sz val="11"/>
        <color rgb="FF000000"/>
        <rFont val="Calibri"/>
      </rPr>
      <t>ip access-list [name]</t>
    </r>
    <r>
      <rPr>
        <sz val="11"/>
        <color rgb="FF000000"/>
        <rFont val="Calibri"/>
      </rPr>
      <t xml:space="preserve">
</t>
    </r>
    <r>
      <rPr>
        <sz val="11"/>
        <color rgb="FF000000"/>
        <rFont val="Calibri"/>
      </rPr>
      <t xml:space="preserve">[permit/deny] [protocol] [source address] [source port] [destination address] [destination port] </t>
    </r>
    <r>
      <rPr>
        <sz val="11"/>
        <color rgb="FF000000"/>
        <rFont val="Calibri"/>
      </rPr>
      <t xml:space="preserve">
</t>
    </r>
    <r>
      <rPr>
        <sz val="11"/>
        <color rgb="FF000000"/>
        <rFont val="Calibri"/>
      </rPr>
      <t>exit</t>
    </r>
    <r>
      <rPr>
        <sz val="11"/>
        <color rgb="FF000000"/>
        <rFont val="Calibri"/>
      </rPr>
      <t xml:space="preserve">
</t>
    </r>
    <r>
      <rPr>
        <sz val="11"/>
        <color rgb="FF000000"/>
        <rFont val="Calibri"/>
      </rPr>
      <t>interface [type] [number]</t>
    </r>
    <r>
      <rPr>
        <sz val="11"/>
        <color rgb="FF000000"/>
        <rFont val="Calibri"/>
      </rPr>
      <t xml:space="preserve">
</t>
    </r>
    <r>
      <rPr>
        <sz val="11"/>
        <color rgb="FF000000"/>
        <rFont val="Calibri"/>
      </rPr>
      <t>ip access-group [name] [direction]</t>
    </r>
  </si>
  <si>
    <r>
      <rPr>
        <sz val="11"/>
        <color rgb="FF000000"/>
        <rFont val="Calibri"/>
      </rPr>
      <t>Information flow control regulates authorized information to travel within a network and between interconnected networks. Controlling the flow of network traffic is critical so it does not introduce any unacceptable risk to the network infrastructure or data. An example of a flow control restriction is blocking outside traffic claiming to be from within the organization. For most routers, internal information flow control is a product of system design.</t>
    </r>
  </si>
  <si>
    <r>
      <rPr>
        <sz val="11"/>
        <color rgb="FF000000"/>
        <rFont val="Calibri"/>
      </rPr>
      <t>Verify each router enforces approved authorizations for controlling the flow of information between interconnected networks in accordance with applicable policy.</t>
    </r>
    <r>
      <rPr>
        <sz val="11"/>
        <color rgb="FF000000"/>
        <rFont val="Calibri"/>
      </rPr>
      <t xml:space="preserve">
</t>
    </r>
    <r>
      <rPr>
        <sz val="11"/>
        <color rgb="FF000000"/>
        <rFont val="Calibri"/>
      </rPr>
      <t>This requirement may be met through the use of IP access control lists. To verify IP access lists are configured, execute the "show ip access-lists summary" command, and check that the list is configured and is active on applicable interfaces. To verify the lists control the flow of information in accordance with organizational policy, enter the "show ip access-list [name]" command, and review the associated permit and deny statements.</t>
    </r>
    <r>
      <rPr>
        <sz val="11"/>
        <color rgb="FF000000"/>
        <rFont val="Calibri"/>
      </rPr>
      <t xml:space="preserve">
</t>
    </r>
    <r>
      <rPr>
        <sz val="11"/>
        <color rgb="FF000000"/>
        <rFont val="Calibri"/>
      </rPr>
      <t>If the router does not enforce approved authorizations for controlling the flow of information between interconnected networks in accordance with applicable policy, this is a finding.</t>
    </r>
  </si>
  <si>
    <t>V-60821</t>
  </si>
  <si>
    <r>
      <rPr>
        <sz val="11"/>
        <rFont val="Calibri"/>
      </rPr>
      <t>The Arista Multilayer Switch must enforce approved authorizations for controlling the flow of information between interconnected systems based on organization-defined information flow control policies.</t>
    </r>
  </si>
  <si>
    <r>
      <rPr>
        <sz val="11"/>
        <color rgb="FF000000"/>
        <rFont val="Calibri"/>
      </rPr>
      <t>Configure an Access Control List to control information flow between connected networks.</t>
    </r>
    <r>
      <rPr>
        <sz val="11"/>
        <color rgb="FF000000"/>
        <rFont val="Calibri"/>
      </rPr>
      <t xml:space="preserve">
</t>
    </r>
    <r>
      <rPr>
        <sz val="11"/>
        <color rgb="FF000000"/>
        <rFont val="Calibri"/>
      </rPr>
      <t>Configuration Example</t>
    </r>
    <r>
      <rPr>
        <sz val="11"/>
        <color rgb="FF000000"/>
        <rFont val="Calibri"/>
      </rPr>
      <t xml:space="preserve">
</t>
    </r>
    <r>
      <rPr>
        <sz val="11"/>
        <color rgb="FF000000"/>
        <rFont val="Calibri"/>
      </rPr>
      <t>configure</t>
    </r>
    <r>
      <rPr>
        <sz val="11"/>
        <color rgb="FF000000"/>
        <rFont val="Calibri"/>
      </rPr>
      <t xml:space="preserve">
</t>
    </r>
    <r>
      <rPr>
        <sz val="11"/>
        <color rgb="FF000000"/>
        <rFont val="Calibri"/>
      </rPr>
      <t>mac access-list STIG</t>
    </r>
    <r>
      <rPr>
        <sz val="11"/>
        <color rgb="FF000000"/>
        <rFont val="Calibri"/>
      </rPr>
      <t xml:space="preserve">
</t>
    </r>
    <r>
      <rPr>
        <sz val="11"/>
        <color rgb="FF000000"/>
        <rFont val="Calibri"/>
      </rPr>
      <t xml:space="preserve"> permit [src mac] [src mask] [dst mac] [dst mask]/[any] [protocol]</t>
    </r>
    <r>
      <rPr>
        <sz val="11"/>
        <color rgb="FF000000"/>
        <rFont val="Calibri"/>
      </rPr>
      <t xml:space="preserve">
</t>
    </r>
    <r>
      <rPr>
        <sz val="11"/>
        <color rgb="FF000000"/>
        <rFont val="Calibri"/>
      </rPr>
      <t>exit</t>
    </r>
  </si>
  <si>
    <r>
      <rPr>
        <sz val="11"/>
        <color rgb="FF000000"/>
        <rFont val="Calibri"/>
      </rPr>
      <t xml:space="preserve">Information flow control regulates where information is allowed to travel within a network and between interconnected networks. The flow of all network traffic must be monitored and controlled so it does not introduce any unacceptable risk to the network infrastructure or data. </t>
    </r>
    <r>
      <rPr>
        <sz val="11"/>
        <color rgb="FF000000"/>
        <rFont val="Calibri"/>
      </rPr>
      <t xml:space="preserve">
</t>
    </r>
    <r>
      <rPr>
        <sz val="11"/>
        <color rgb="FF000000"/>
        <rFont val="Calibri"/>
      </rPr>
      <t>Examples of flow control restrictions include blocking outside traffic claiming to be from within the organization, and not passing any web requests to the Internet not from the internal web proxy. Additional examples of restrictions include: keeping export-controlled information from being transmitted in the clear to the Internet, and blocking information marked as classified, but which is being transported to an unapproved destination. Information flow control policies and enforcement mechanisms are commonly employed by organizations to control the flow of information between designated sources and destinations (e.g., networks, individuals, and devices) within information systems.</t>
    </r>
    <r>
      <rPr>
        <sz val="11"/>
        <color rgb="FF000000"/>
        <rFont val="Calibri"/>
      </rPr>
      <t xml:space="preserve">
</t>
    </r>
    <r>
      <rPr>
        <sz val="11"/>
        <color rgb="FF000000"/>
        <rFont val="Calibri"/>
      </rPr>
      <t>Enforcement occurs, for example, in boundary protection devices (e.g., gateways, routers, guards, encrypted tunnels, and firewalls) that employ rule sets or establish configuration settings that restrict information system services, provide a packet filtering capability based on header information, or provide a message filtering capability based on message content (e.g., implementing key word searches or using document characteristics).</t>
    </r>
  </si>
  <si>
    <r>
      <rPr>
        <sz val="11"/>
        <color rgb="FF000000"/>
        <rFont val="Calibri"/>
      </rPr>
      <t xml:space="preserve">Verify the use of MAC Access Control Lists to prevent unintended information flow between network segments. </t>
    </r>
    <r>
      <rPr>
        <sz val="11"/>
        <color rgb="FF000000"/>
        <rFont val="Calibri"/>
      </rPr>
      <t xml:space="preserve">
</t>
    </r>
    <r>
      <rPr>
        <sz val="11"/>
        <color rgb="FF000000"/>
        <rFont val="Calibri"/>
      </rPr>
      <t xml:space="preserve">For network boundary interfaces, verify the use of an access control list by entering "show mac access-list summary" to validate the use of an access control list on the interface. </t>
    </r>
    <r>
      <rPr>
        <sz val="11"/>
        <color rgb="FF000000"/>
        <rFont val="Calibri"/>
      </rPr>
      <t xml:space="preserve">
</t>
    </r>
    <r>
      <rPr>
        <sz val="11"/>
        <color rgb="FF000000"/>
        <rFont val="Calibri"/>
      </rPr>
      <t>Verify the access control list restricts network traffic as intended by entering "show mac access-list [name]" and substituting the name of the access control list for the bracketed variable.</t>
    </r>
    <r>
      <rPr>
        <sz val="11"/>
        <color rgb="FF000000"/>
        <rFont val="Calibri"/>
      </rPr>
      <t xml:space="preserve">
</t>
    </r>
    <r>
      <rPr>
        <sz val="11"/>
        <color rgb="FF000000"/>
        <rFont val="Calibri"/>
      </rPr>
      <t>If there is no access control list configured, or if the access control list does not prevent unintended flow of information between network segments, this is a finding.</t>
    </r>
  </si>
  <si>
    <t>V-60823</t>
  </si>
  <si>
    <r>
      <rPr>
        <sz val="11"/>
        <rFont val="Calibri"/>
      </rPr>
      <t>The Arista Multilayer Switch must uniquely identify all network-connected endpoint devices before establishing any connection.</t>
    </r>
  </si>
  <si>
    <r>
      <rPr>
        <sz val="11"/>
        <color rgb="FF000000"/>
        <rFont val="Calibri"/>
      </rPr>
      <t>Configure 802.1X on the switch, using the following mandatory parameters for all applicable interfaces. Replace the bracketed variable with the applicable value.</t>
    </r>
    <r>
      <rPr>
        <sz val="11"/>
        <color rgb="FF000000"/>
        <rFont val="Calibri"/>
      </rPr>
      <t xml:space="preserve">
</t>
    </r>
    <r>
      <rPr>
        <sz val="11"/>
        <color rgb="FF000000"/>
        <rFont val="Calibri"/>
      </rPr>
      <t>config</t>
    </r>
    <r>
      <rPr>
        <sz val="11"/>
        <color rgb="FF000000"/>
        <rFont val="Calibri"/>
      </rPr>
      <t xml:space="preserve">
</t>
    </r>
    <r>
      <rPr>
        <sz val="11"/>
        <color rgb="FF000000"/>
        <rFont val="Calibri"/>
      </rPr>
      <t>interface Ethernet[X]</t>
    </r>
    <r>
      <rPr>
        <sz val="11"/>
        <color rgb="FF000000"/>
        <rFont val="Calibri"/>
      </rPr>
      <t xml:space="preserve">
</t>
    </r>
    <r>
      <rPr>
        <sz val="11"/>
        <color rgb="FF000000"/>
        <rFont val="Calibri"/>
      </rPr>
      <t xml:space="preserve"> switchport access vlan [Y]</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reauthentication</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host-mode single-host</t>
    </r>
    <r>
      <rPr>
        <sz val="11"/>
        <color rgb="FF000000"/>
        <rFont val="Calibri"/>
      </rPr>
      <t xml:space="preserve">
</t>
    </r>
    <r>
      <rPr>
        <sz val="11"/>
        <color rgb="FF000000"/>
        <rFont val="Calibri"/>
      </rPr>
      <t xml:space="preserve"> dot1x timeout quiet-period [value]</t>
    </r>
    <r>
      <rPr>
        <sz val="11"/>
        <color rgb="FF000000"/>
        <rFont val="Calibri"/>
      </rPr>
      <t xml:space="preserve">
</t>
    </r>
    <r>
      <rPr>
        <sz val="11"/>
        <color rgb="FF000000"/>
        <rFont val="Calibri"/>
      </rPr>
      <t xml:space="preserve"> dot1x timeout reauth-period [value]</t>
    </r>
    <r>
      <rPr>
        <sz val="11"/>
        <color rgb="FF000000"/>
        <rFont val="Calibri"/>
      </rPr>
      <t xml:space="preserve">
</t>
    </r>
    <r>
      <rPr>
        <sz val="11"/>
        <color rgb="FF000000"/>
        <rFont val="Calibri"/>
      </rPr>
      <t xml:space="preserve"> dot1x max-reauth-req [value]</t>
    </r>
    <r>
      <rPr>
        <sz val="11"/>
        <color rgb="FF000000"/>
        <rFont val="Calibri"/>
      </rPr>
      <t xml:space="preserve">
</t>
    </r>
    <r>
      <rPr>
        <sz val="11"/>
        <color rgb="FF000000"/>
        <rFont val="Calibri"/>
      </rPr>
      <t>For the global configuration, include the following command statements from the global configuration mode interface:</t>
    </r>
    <r>
      <rPr>
        <sz val="11"/>
        <color rgb="FF000000"/>
        <rFont val="Calibri"/>
      </rPr>
      <t xml:space="preserve">
</t>
    </r>
    <r>
      <rPr>
        <sz val="11"/>
        <color rgb="FF000000"/>
        <rFont val="Calibri"/>
      </rPr>
      <t>logging level DOT1X informational</t>
    </r>
    <r>
      <rPr>
        <sz val="11"/>
        <color rgb="FF000000"/>
        <rFont val="Calibri"/>
      </rPr>
      <t xml:space="preserve">
</t>
    </r>
    <r>
      <rPr>
        <sz val="11"/>
        <color rgb="FF000000"/>
        <rFont val="Calibri"/>
      </rPr>
      <t>aaa authentication dot1x default group radius</t>
    </r>
    <r>
      <rPr>
        <sz val="11"/>
        <color rgb="FF000000"/>
        <rFont val="Calibri"/>
      </rPr>
      <t xml:space="preserve">
</t>
    </r>
    <r>
      <rPr>
        <sz val="11"/>
        <color rgb="FF000000"/>
        <rFont val="Calibri"/>
      </rPr>
      <t>dot1x system-auth-control</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</si>
  <si>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For distributed architectures (e.g., service-oriented architectures), the decisions regarding the validation of identification claims may be made by services separate from the services acting on those decisions. In such situations, it is necessary to provide the identification decisions (as opposed to the actual identifiers) to the services that need to act on those decisions.</t>
    </r>
    <r>
      <rPr>
        <sz val="11"/>
        <color rgb="FF000000"/>
        <rFont val="Calibri"/>
      </rPr>
      <t xml:space="preserve">
</t>
    </r>
    <r>
      <rPr>
        <sz val="11"/>
        <color rgb="FF000000"/>
        <rFont val="Calibri"/>
      </rPr>
      <t>This requirement applies to applications that connect either locally, remotely, or through a network to an endpoint device (including, but not limited to, workstations, printers, servers (outside a datacenter), VoIP Phones, and VTC CODECs). Gateways and SOA applications are examples of where this requirement would apply.</t>
    </r>
  </si>
  <si>
    <r>
      <rPr>
        <sz val="11"/>
        <color rgb="FF000000"/>
        <rFont val="Calibri"/>
      </rPr>
      <t>Verify that the network device uniquely identifies network-connected endpoint devices. This requirement is not applicable to Arista switches when not used as an access switch.</t>
    </r>
    <r>
      <rPr>
        <sz val="11"/>
        <color rgb="FF000000"/>
        <rFont val="Calibri"/>
      </rPr>
      <t xml:space="preserve">
</t>
    </r>
    <r>
      <rPr>
        <sz val="11"/>
        <color rgb="FF000000"/>
        <rFont val="Calibri"/>
      </rPr>
      <t>802.1X must be configured on any interface where there is an applicable endpoint device connected. This is demonstrated by viewing the running-config via the "show dot1x all" command and validating the following lines are present in the configuration:</t>
    </r>
    <r>
      <rPr>
        <sz val="11"/>
        <color rgb="FF000000"/>
        <rFont val="Calibri"/>
      </rPr>
      <t xml:space="preserve">
</t>
    </r>
    <r>
      <rPr>
        <sz val="11"/>
        <color rgb="FF000000"/>
        <rFont val="Calibri"/>
      </rPr>
      <t>Dot1X Information for Ethernet[X]</t>
    </r>
    <r>
      <rPr>
        <sz val="11"/>
        <color rgb="FF000000"/>
        <rFont val="Calibri"/>
      </rPr>
      <t xml:space="preserve">
</t>
    </r>
    <r>
      <rPr>
        <sz val="11"/>
        <color rgb="FF000000"/>
        <rFont val="Calibri"/>
      </rPr>
      <t>--------------------------------------------</t>
    </r>
    <r>
      <rPr>
        <sz val="11"/>
        <color rgb="FF000000"/>
        <rFont val="Calibri"/>
      </rPr>
      <t xml:space="preserve">
</t>
    </r>
    <r>
      <rPr>
        <sz val="11"/>
        <color rgb="FF000000"/>
        <rFont val="Calibri"/>
      </rPr>
      <t>PortControl : auto</t>
    </r>
    <r>
      <rPr>
        <sz val="11"/>
        <color rgb="FF000000"/>
        <rFont val="Calibri"/>
      </rPr>
      <t xml:space="preserve">
</t>
    </r>
    <r>
      <rPr>
        <sz val="11"/>
        <color rgb="FF000000"/>
        <rFont val="Calibri"/>
      </rPr>
      <t>HostMode : single-host</t>
    </r>
    <r>
      <rPr>
        <sz val="11"/>
        <color rgb="FF000000"/>
        <rFont val="Calibri"/>
      </rPr>
      <t xml:space="preserve">
</t>
    </r>
    <r>
      <rPr>
        <sz val="11"/>
        <color rgb="FF000000"/>
        <rFont val="Calibri"/>
      </rPr>
      <t>QuietPeriod : [value]</t>
    </r>
    <r>
      <rPr>
        <sz val="11"/>
        <color rgb="FF000000"/>
        <rFont val="Calibri"/>
      </rPr>
      <t xml:space="preserve">
</t>
    </r>
    <r>
      <rPr>
        <sz val="11"/>
        <color rgb="FF000000"/>
        <rFont val="Calibri"/>
      </rPr>
      <t>TxPeriod : [value]</t>
    </r>
    <r>
      <rPr>
        <sz val="11"/>
        <color rgb="FF000000"/>
        <rFont val="Calibri"/>
      </rPr>
      <t xml:space="preserve">
</t>
    </r>
    <r>
      <rPr>
        <sz val="11"/>
        <color rgb="FF000000"/>
        <rFont val="Calibri"/>
      </rPr>
      <t>ReauthPeriod : 3600 seconds</t>
    </r>
    <r>
      <rPr>
        <sz val="11"/>
        <color rgb="FF000000"/>
        <rFont val="Calibri"/>
      </rPr>
      <t xml:space="preserve">
</t>
    </r>
    <r>
      <rPr>
        <sz val="11"/>
        <color rgb="FF000000"/>
        <rFont val="Calibri"/>
      </rPr>
      <t>MaxReauthReq : 2</t>
    </r>
    <r>
      <rPr>
        <sz val="11"/>
        <color rgb="FF000000"/>
        <rFont val="Calibri"/>
      </rPr>
      <t xml:space="preserve">
</t>
    </r>
    <r>
      <rPr>
        <sz val="11"/>
        <color rgb="FF000000"/>
        <rFont val="Calibri"/>
      </rPr>
      <t>!</t>
    </r>
    <r>
      <rPr>
        <sz val="11"/>
        <color rgb="FF000000"/>
        <rFont val="Calibri"/>
      </rPr>
      <t xml:space="preserve">
</t>
    </r>
    <r>
      <rPr>
        <sz val="11"/>
        <color rgb="FF000000"/>
        <rFont val="Calibri"/>
      </rPr>
      <t>802.1X must also be globally enabled on the switch using the "dot1x system-auth-control" command from the configuration mode interface. When this is configured, the following line will be visible in the running-config:</t>
    </r>
    <r>
      <rPr>
        <sz val="11"/>
        <color rgb="FF000000"/>
        <rFont val="Calibri"/>
      </rPr>
      <t xml:space="preserve">
</t>
    </r>
    <r>
      <rPr>
        <sz val="11"/>
        <color rgb="FF000000"/>
        <rFont val="Calibri"/>
      </rPr>
      <t>dot1x-system-auth-control</t>
    </r>
    <r>
      <rPr>
        <sz val="11"/>
        <color rgb="FF000000"/>
        <rFont val="Calibri"/>
      </rPr>
      <t xml:space="preserve">
</t>
    </r>
    <r>
      <rPr>
        <sz val="11"/>
        <color rgb="FF000000"/>
        <rFont val="Calibri"/>
      </rPr>
      <t>802.1X is dependent on a properly configured RADIUS server for authentication. Refer to the RADIUS configuration example for validation of properly configured AAA services. Additionally, the user must specify to use the RADIUS server as an 802.1X authenticator with the "aaa authentication dot1x default group [radius]" command from the configuration mode interface, replacing the bracketed variable with either the group name of the RADIUS server group or leaving it as is to authenticate against all RADIUS servers. When properly configured, the following line is visible in the running-config:</t>
    </r>
    <r>
      <rPr>
        <sz val="11"/>
        <color rgb="FF000000"/>
        <rFont val="Calibri"/>
      </rPr>
      <t xml:space="preserve">
</t>
    </r>
    <r>
      <rPr>
        <sz val="11"/>
        <color rgb="FF000000"/>
        <rFont val="Calibri"/>
      </rPr>
      <t>aaa authentication dot1x default group radius</t>
    </r>
    <r>
      <rPr>
        <sz val="11"/>
        <color rgb="FF000000"/>
        <rFont val="Calibri"/>
      </rPr>
      <t xml:space="preserve">
</t>
    </r>
    <r>
      <rPr>
        <sz val="11"/>
        <color rgb="FF000000"/>
        <rFont val="Calibri"/>
      </rPr>
      <t>If 802.1X is not configured on necessary ports or is not globally enabled on the switch, or if it is not set to authenticate supplicants via RADIUS, this is a finding.</t>
    </r>
  </si>
  <si>
    <t>V-60825</t>
  </si>
  <si>
    <r>
      <rPr>
        <sz val="11"/>
        <rFont val="Calibri"/>
      </rPr>
      <t>The Arista Multilayer Switch must authenticate all endpoint devices before establishing a network connection using bidirectional authentication that is cryptographically based.</t>
    </r>
  </si>
  <si>
    <r>
      <rPr>
        <sz val="11"/>
        <color rgb="FF000000"/>
        <rFont val="Calibri"/>
      </rPr>
      <t>Without authenticating devices, unidentified or unknown devices may be introduced, thereby facilitating malicious activity on the network. Bidirectional authentication provides stronger safeguards to validate the identity of other devices for connections that are of greater risk (e.g., remote connections).</t>
    </r>
    <r>
      <rPr>
        <sz val="11"/>
        <color rgb="FF000000"/>
        <rFont val="Calibri"/>
      </rPr>
      <t xml:space="preserve">
</t>
    </r>
    <r>
      <rPr>
        <sz val="11"/>
        <color rgb="FF000000"/>
        <rFont val="Calibri"/>
      </rPr>
      <t>Bidirectional authentication solutions include, but are not limited to, IEEE 802.1x and Extensible Authentication Protocol (EAP) and Radius server with EAP-Transport Layer Security (TLS)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network connection is any connection with a device that communicates through a network (e.g., local area network, wide area network, or the Internet).</t>
    </r>
    <r>
      <rPr>
        <sz val="11"/>
        <color rgb="FF000000"/>
        <rFont val="Calibri"/>
      </rPr>
      <t xml:space="preserve">
</t>
    </r>
    <r>
      <rPr>
        <sz val="11"/>
        <color rgb="FF000000"/>
        <rFont val="Calibri"/>
      </rPr>
      <t>Authentication must use a form of cryptography to ensure a high level of trust and authenticity.</t>
    </r>
  </si>
  <si>
    <r>
      <rPr>
        <sz val="11"/>
        <color rgb="FF000000"/>
        <rFont val="Calibri"/>
      </rPr>
      <t>Verify that the network device uniquely identifies network-connected endpoint devices. This requirement is not applicable to Arista switches when not used as an access switch.</t>
    </r>
    <r>
      <rPr>
        <sz val="11"/>
        <color rgb="FF000000"/>
        <rFont val="Calibri"/>
      </rPr>
      <t xml:space="preserve">
</t>
    </r>
    <r>
      <rPr>
        <sz val="11"/>
        <color rgb="FF000000"/>
        <rFont val="Calibri"/>
      </rPr>
      <t>802.1X must be configured on any interface where there is an applicable endpoint device connected. This is demonstrated by viewing the running-config via the "show dot1x all" command and validating the following lines are present in the configuration:</t>
    </r>
    <r>
      <rPr>
        <sz val="11"/>
        <color rgb="FF000000"/>
        <rFont val="Calibri"/>
      </rPr>
      <t xml:space="preserve">
</t>
    </r>
    <r>
      <rPr>
        <sz val="11"/>
        <color rgb="FF000000"/>
        <rFont val="Calibri"/>
      </rPr>
      <t>Dot1X Information for Ethernet[X]</t>
    </r>
    <r>
      <rPr>
        <sz val="11"/>
        <color rgb="FF000000"/>
        <rFont val="Calibri"/>
      </rPr>
      <t xml:space="preserve">
</t>
    </r>
    <r>
      <rPr>
        <sz val="11"/>
        <color rgb="FF000000"/>
        <rFont val="Calibri"/>
      </rPr>
      <t>--------------------------------------------</t>
    </r>
    <r>
      <rPr>
        <sz val="11"/>
        <color rgb="FF000000"/>
        <rFont val="Calibri"/>
      </rPr>
      <t xml:space="preserve">
</t>
    </r>
    <r>
      <rPr>
        <sz val="11"/>
        <color rgb="FF000000"/>
        <rFont val="Calibri"/>
      </rPr>
      <t>PortControl : auto</t>
    </r>
    <r>
      <rPr>
        <sz val="11"/>
        <color rgb="FF000000"/>
        <rFont val="Calibri"/>
      </rPr>
      <t xml:space="preserve">
</t>
    </r>
    <r>
      <rPr>
        <sz val="11"/>
        <color rgb="FF000000"/>
        <rFont val="Calibri"/>
      </rPr>
      <t>HostMode : single-host</t>
    </r>
    <r>
      <rPr>
        <sz val="11"/>
        <color rgb="FF000000"/>
        <rFont val="Calibri"/>
      </rPr>
      <t xml:space="preserve">
</t>
    </r>
    <r>
      <rPr>
        <sz val="11"/>
        <color rgb="FF000000"/>
        <rFont val="Calibri"/>
      </rPr>
      <t>QuietPeriod : [value]</t>
    </r>
    <r>
      <rPr>
        <sz val="11"/>
        <color rgb="FF000000"/>
        <rFont val="Calibri"/>
      </rPr>
      <t xml:space="preserve">
</t>
    </r>
    <r>
      <rPr>
        <sz val="11"/>
        <color rgb="FF000000"/>
        <rFont val="Calibri"/>
      </rPr>
      <t>TxPeriod : [value]</t>
    </r>
    <r>
      <rPr>
        <sz val="11"/>
        <color rgb="FF000000"/>
        <rFont val="Calibri"/>
      </rPr>
      <t xml:space="preserve">
</t>
    </r>
    <r>
      <rPr>
        <sz val="11"/>
        <color rgb="FF000000"/>
        <rFont val="Calibri"/>
      </rPr>
      <t>ReauthPeriod : 3600 seconds</t>
    </r>
    <r>
      <rPr>
        <sz val="11"/>
        <color rgb="FF000000"/>
        <rFont val="Calibri"/>
      </rPr>
      <t xml:space="preserve">
</t>
    </r>
    <r>
      <rPr>
        <sz val="11"/>
        <color rgb="FF000000"/>
        <rFont val="Calibri"/>
      </rPr>
      <t>MaxReauthReq : 2</t>
    </r>
    <r>
      <rPr>
        <sz val="11"/>
        <color rgb="FF000000"/>
        <rFont val="Calibri"/>
      </rPr>
      <t xml:space="preserve">
</t>
    </r>
    <r>
      <rPr>
        <sz val="11"/>
        <color rgb="FF000000"/>
        <rFont val="Calibri"/>
      </rPr>
      <t>!</t>
    </r>
    <r>
      <rPr>
        <sz val="11"/>
        <color rgb="FF000000"/>
        <rFont val="Calibri"/>
      </rPr>
      <t xml:space="preserve">
</t>
    </r>
    <r>
      <rPr>
        <sz val="11"/>
        <color rgb="FF000000"/>
        <rFont val="Calibri"/>
      </rPr>
      <t>802.1X must also be globally enabled on the switch using the "dot1x system-auth-control" command from the configuration mode interface. When this is configured, the following line will be visible in the running-config:</t>
    </r>
    <r>
      <rPr>
        <sz val="11"/>
        <color rgb="FF000000"/>
        <rFont val="Calibri"/>
      </rPr>
      <t xml:space="preserve">
</t>
    </r>
    <r>
      <rPr>
        <sz val="11"/>
        <color rgb="FF000000"/>
        <rFont val="Calibri"/>
      </rPr>
      <t>dot1x-system-auth-control</t>
    </r>
    <r>
      <rPr>
        <sz val="11"/>
        <color rgb="FF000000"/>
        <rFont val="Calibri"/>
      </rPr>
      <t xml:space="preserve">
</t>
    </r>
    <r>
      <rPr>
        <sz val="11"/>
        <color rgb="FF000000"/>
        <rFont val="Calibri"/>
      </rPr>
      <t>802.1X is dependent on a properly configured RADIUS server for authentication. Refer to the RADIUS configuration example for validation of properly configured AAA services. Additionally, the user must specify to use the RADIUS server as an 802.1X authenticator with the "aaa authentication dot1x default group [radius]" command from the configuration mode interface, replacing the bracketed variable with either the group name of the RADIUS server group, or leaving it as is to authenticate against all RADIUS servers. When properly configured, the following line is visible in the running-config:</t>
    </r>
    <r>
      <rPr>
        <sz val="11"/>
        <color rgb="FF000000"/>
        <rFont val="Calibri"/>
      </rPr>
      <t xml:space="preserve">
</t>
    </r>
    <r>
      <rPr>
        <sz val="11"/>
        <color rgb="FF000000"/>
        <rFont val="Calibri"/>
      </rPr>
      <t>aaa authentication dot1x default group radius</t>
    </r>
    <r>
      <rPr>
        <sz val="11"/>
        <color rgb="FF000000"/>
        <rFont val="Calibri"/>
      </rPr>
      <t xml:space="preserve">
</t>
    </r>
    <r>
      <rPr>
        <sz val="11"/>
        <color rgb="FF000000"/>
        <rFont val="Calibri"/>
      </rPr>
      <t>If 802.1X is not configured on necessary ports, or is not globally enabled on the switch, or if it is not set to authenticate supplicants via RADIUS, this is a finding.</t>
    </r>
  </si>
  <si>
    <t>V-60827</t>
  </si>
  <si>
    <r>
      <rPr>
        <sz val="11"/>
        <rFont val="Calibri"/>
      </rPr>
      <t>The Arista Multilayer Switch must re-authenticate all endpoint devices every 60 minutes or less.</t>
    </r>
  </si>
  <si>
    <r>
      <rPr>
        <sz val="11"/>
        <color rgb="FF000000"/>
        <rFont val="Calibri"/>
      </rPr>
      <t>Configure 802.1X on the switch, including the following mandatory parameters in the interface configuration mode:</t>
    </r>
    <r>
      <rPr>
        <sz val="11"/>
        <color rgb="FF000000"/>
        <rFont val="Calibri"/>
      </rPr>
      <t xml:space="preserve">
</t>
    </r>
    <r>
      <rPr>
        <sz val="11"/>
        <color rgb="FF000000"/>
        <rFont val="Calibri"/>
      </rPr>
      <t>config</t>
    </r>
    <r>
      <rPr>
        <sz val="11"/>
        <color rgb="FF000000"/>
        <rFont val="Calibri"/>
      </rPr>
      <t xml:space="preserve">
</t>
    </r>
    <r>
      <rPr>
        <sz val="11"/>
        <color rgb="FF000000"/>
        <rFont val="Calibri"/>
      </rPr>
      <t>interface Ethernet[X]</t>
    </r>
    <r>
      <rPr>
        <sz val="11"/>
        <color rgb="FF000000"/>
        <rFont val="Calibri"/>
      </rPr>
      <t xml:space="preserve">
</t>
    </r>
    <r>
      <rPr>
        <sz val="11"/>
        <color rgb="FF000000"/>
        <rFont val="Calibri"/>
      </rPr>
      <t xml:space="preserve"> dot1x reauthentication</t>
    </r>
    <r>
      <rPr>
        <sz val="11"/>
        <color rgb="FF000000"/>
        <rFont val="Calibri"/>
      </rPr>
      <t xml:space="preserve">
</t>
    </r>
    <r>
      <rPr>
        <sz val="11"/>
        <color rgb="FF000000"/>
        <rFont val="Calibri"/>
      </rPr>
      <t xml:space="preserve"> dot1x timeout reauth-period 3600</t>
    </r>
  </si>
  <si>
    <r>
      <rPr>
        <sz val="11"/>
        <color rgb="FF000000"/>
        <rFont val="Calibri"/>
      </rPr>
      <t>Without authenticating devices, unidentified or unknown devices may be introduced, thereby facilitating malicious activity on the network. Bidirectional authentication provides stronger safeguards to validate the identity of other devices for connections that are of greater risk (e.g., remote connections).</t>
    </r>
    <r>
      <rPr>
        <sz val="11"/>
        <color rgb="FF000000"/>
        <rFont val="Calibri"/>
      </rPr>
      <t xml:space="preserve">
</t>
    </r>
    <r>
      <rPr>
        <sz val="11"/>
        <color rgb="FF000000"/>
        <rFont val="Calibri"/>
      </rPr>
      <t>Bidirectional authentication solutions include, but are not limited to, IEEE 802.1x and Extensible Authentication Protocol (EAP) and Radius server with EAP-Transport Layer Security (TLS)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network connection is any connection with a device that communicates through a network (e.g., local area network, wide area network, or the Internet).</t>
    </r>
    <r>
      <rPr>
        <sz val="11"/>
        <color rgb="FF000000"/>
        <rFont val="Calibri"/>
      </rPr>
      <t xml:space="preserve">
</t>
    </r>
    <r>
      <rPr>
        <sz val="11"/>
        <color rgb="FF000000"/>
        <rFont val="Calibri"/>
      </rPr>
      <t>Authentication must use a form of cryptography to ensure a high level of trust and authenticity. Re-authentication must occur to ensure session security.</t>
    </r>
  </si>
  <si>
    <r>
      <rPr>
        <sz val="11"/>
        <color rgb="FF000000"/>
        <rFont val="Calibri"/>
      </rPr>
      <t>This requirement only applies to devices required to employ 802.1X authentication.</t>
    </r>
    <r>
      <rPr>
        <sz val="11"/>
        <color rgb="FF000000"/>
        <rFont val="Calibri"/>
      </rPr>
      <t xml:space="preserve">
</t>
    </r>
    <r>
      <rPr>
        <sz val="11"/>
        <color rgb="FF000000"/>
        <rFont val="Calibri"/>
      </rPr>
      <t>Verify that the network device uniquely identifies network-connected endpoint devices and re-authenticates devices every 60 minutes or less. This can be viewed via the "show dot1x all" command. Under the interface configuration for the .1X connected port, the following statements must be present:</t>
    </r>
    <r>
      <rPr>
        <sz val="11"/>
        <color rgb="FF000000"/>
        <rFont val="Calibri"/>
      </rPr>
      <t xml:space="preserve">
</t>
    </r>
    <r>
      <rPr>
        <sz val="11"/>
        <color rgb="FF000000"/>
        <rFont val="Calibri"/>
      </rPr>
      <t>ReauthPeriod : 3600 seconds</t>
    </r>
    <r>
      <rPr>
        <sz val="11"/>
        <color rgb="FF000000"/>
        <rFont val="Calibri"/>
      </rPr>
      <t xml:space="preserve">
</t>
    </r>
    <r>
      <rPr>
        <sz val="11"/>
        <color rgb="FF000000"/>
        <rFont val="Calibri"/>
      </rPr>
      <t>If the device does not require re-authentication, or if the re-authentication period is longer than 60 minutes, this is a finding.</t>
    </r>
  </si>
  <si>
    <t>V-60829</t>
  </si>
  <si>
    <r>
      <rPr>
        <sz val="11"/>
        <rFont val="Calibri"/>
      </rPr>
      <t>The Arista Multilayer Switch must re-authenticate 802.1X connected devices every hour.</t>
    </r>
  </si>
  <si>
    <r>
      <rPr>
        <sz val="11"/>
        <color rgb="FF000000"/>
        <rFont val="Calibri"/>
      </rPr>
      <t>Configure 802.1X on the switch, using the following mandatory parameters for all applicable interfaces. Replace the bracketed variable with the applicable value.</t>
    </r>
    <r>
      <rPr>
        <sz val="11"/>
        <color rgb="FF000000"/>
        <rFont val="Calibri"/>
      </rPr>
      <t xml:space="preserve">
</t>
    </r>
    <r>
      <rPr>
        <sz val="11"/>
        <color rgb="FF000000"/>
        <rFont val="Calibri"/>
      </rPr>
      <t>config</t>
    </r>
    <r>
      <rPr>
        <sz val="11"/>
        <color rgb="FF000000"/>
        <rFont val="Calibri"/>
      </rPr>
      <t xml:space="preserve">
</t>
    </r>
    <r>
      <rPr>
        <sz val="11"/>
        <color rgb="FF000000"/>
        <rFont val="Calibri"/>
      </rPr>
      <t>interface Ethernet[X]</t>
    </r>
    <r>
      <rPr>
        <sz val="11"/>
        <color rgb="FF000000"/>
        <rFont val="Calibri"/>
      </rPr>
      <t xml:space="preserve">
</t>
    </r>
    <r>
      <rPr>
        <sz val="11"/>
        <color rgb="FF000000"/>
        <rFont val="Calibri"/>
      </rPr>
      <t xml:space="preserve"> switchport access vlan [Y]</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reauthentication</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host-mode single-host</t>
    </r>
    <r>
      <rPr>
        <sz val="11"/>
        <color rgb="FF000000"/>
        <rFont val="Calibri"/>
      </rPr>
      <t xml:space="preserve">
</t>
    </r>
    <r>
      <rPr>
        <sz val="11"/>
        <color rgb="FF000000"/>
        <rFont val="Calibri"/>
      </rPr>
      <t xml:space="preserve"> dot1x timeout quiet-period [value]</t>
    </r>
    <r>
      <rPr>
        <sz val="11"/>
        <color rgb="FF000000"/>
        <rFont val="Calibri"/>
      </rPr>
      <t xml:space="preserve">
</t>
    </r>
    <r>
      <rPr>
        <sz val="11"/>
        <color rgb="FF000000"/>
        <rFont val="Calibri"/>
      </rPr>
      <t xml:space="preserve"> dot1x timeout reauth-period 3600</t>
    </r>
    <r>
      <rPr>
        <sz val="11"/>
        <color rgb="FF000000"/>
        <rFont val="Calibri"/>
      </rPr>
      <t xml:space="preserve">
</t>
    </r>
    <r>
      <rPr>
        <sz val="11"/>
        <color rgb="FF000000"/>
        <rFont val="Calibri"/>
      </rPr>
      <t xml:space="preserve"> dot1x max-reauth-req [value]</t>
    </r>
    <r>
      <rPr>
        <sz val="11"/>
        <color rgb="FF000000"/>
        <rFont val="Calibri"/>
      </rPr>
      <t xml:space="preserve">
</t>
    </r>
    <r>
      <rPr>
        <sz val="11"/>
        <color rgb="FF000000"/>
        <rFont val="Calibri"/>
      </rPr>
      <t>For the global configuration, include the following command statements from the global configuration mode interface:</t>
    </r>
    <r>
      <rPr>
        <sz val="11"/>
        <color rgb="FF000000"/>
        <rFont val="Calibri"/>
      </rPr>
      <t xml:space="preserve">
</t>
    </r>
    <r>
      <rPr>
        <sz val="11"/>
        <color rgb="FF000000"/>
        <rFont val="Calibri"/>
      </rPr>
      <t>logging level DOT1X informational</t>
    </r>
    <r>
      <rPr>
        <sz val="11"/>
        <color rgb="FF000000"/>
        <rFont val="Calibri"/>
      </rPr>
      <t xml:space="preserve">
</t>
    </r>
    <r>
      <rPr>
        <sz val="11"/>
        <color rgb="FF000000"/>
        <rFont val="Calibri"/>
      </rPr>
      <t>aaa authentication dot1x default group radius</t>
    </r>
    <r>
      <rPr>
        <sz val="11"/>
        <color rgb="FF000000"/>
        <rFont val="Calibri"/>
      </rPr>
      <t xml:space="preserve">
</t>
    </r>
    <r>
      <rPr>
        <sz val="11"/>
        <color rgb="FF000000"/>
        <rFont val="Calibri"/>
      </rPr>
      <t>dot1x system-auth-control</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</si>
  <si>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 xml:space="preserve">(i) When authenticators change; </t>
    </r>
    <r>
      <rPr>
        <sz val="11"/>
        <color rgb="FF000000"/>
        <rFont val="Calibri"/>
      </rPr>
      <t xml:space="preserve">
</t>
    </r>
    <r>
      <rPr>
        <sz val="11"/>
        <color rgb="FF000000"/>
        <rFont val="Calibri"/>
      </rPr>
      <t xml:space="preserve">(ii)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 xml:space="preserve">Within the DoD, the minimum circumstances requiring re-authentication are privilege escalation and role changes. </t>
    </r>
    <r>
      <rPr>
        <sz val="11"/>
        <color rgb="FF000000"/>
        <rFont val="Calibri"/>
      </rPr>
      <t xml:space="preserve">
</t>
    </r>
    <r>
      <rPr>
        <sz val="11"/>
        <color rgb="FF000000"/>
        <rFont val="Calibri"/>
      </rPr>
      <t>This requirement only applies to components where this is specific to the function of the device or has the concept of user authentication (e.g., VPN or ALG capability). This does not apply to authentication for the purpose of configuring the device itself (i.e., device management).</t>
    </r>
  </si>
  <si>
    <r>
      <rPr>
        <sz val="11"/>
        <color rgb="FF000000"/>
        <rFont val="Calibri"/>
      </rPr>
      <t>This requirement only applies to devices required to employ 802.1X.</t>
    </r>
    <r>
      <rPr>
        <sz val="11"/>
        <color rgb="FF000000"/>
        <rFont val="Calibri"/>
      </rPr>
      <t xml:space="preserve">
</t>
    </r>
    <r>
      <rPr>
        <sz val="11"/>
        <color rgb="FF000000"/>
        <rFont val="Calibri"/>
      </rPr>
      <t>Verify the Arista Multilayer Switch re-authenticates 802.1X connected devices every hour. If the Arista Multilayer Switch does not re-authenticate 802.1X connected devices, this is a finding.</t>
    </r>
    <r>
      <rPr>
        <sz val="11"/>
        <color rgb="FF000000"/>
        <rFont val="Calibri"/>
      </rPr>
      <t xml:space="preserve">
</t>
    </r>
    <r>
      <rPr>
        <sz val="11"/>
        <color rgb="FF000000"/>
        <rFont val="Calibri"/>
      </rPr>
      <t xml:space="preserve"> This can be viewed via the "show dot1x all" command. Under the interface configuration for the .1X connected port, the following statements must be present:</t>
    </r>
    <r>
      <rPr>
        <sz val="11"/>
        <color rgb="FF000000"/>
        <rFont val="Calibri"/>
      </rPr>
      <t xml:space="preserve">
</t>
    </r>
    <r>
      <rPr>
        <sz val="11"/>
        <color rgb="FF000000"/>
        <rFont val="Calibri"/>
      </rPr>
      <t>ReauthPeriod : 3600 seconds</t>
    </r>
    <r>
      <rPr>
        <sz val="11"/>
        <color rgb="FF000000"/>
        <rFont val="Calibri"/>
      </rPr>
      <t xml:space="preserve">
</t>
    </r>
    <r>
      <rPr>
        <sz val="11"/>
        <color rgb="FF000000"/>
        <rFont val="Calibri"/>
      </rPr>
      <t>If the device does not require re-authentication, or if the re-authentication period is longer than 60 minutes, this is a finding.</t>
    </r>
  </si>
  <si>
    <t>V-60831</t>
  </si>
  <si>
    <r>
      <rPr>
        <sz val="11"/>
        <rFont val="Calibri"/>
      </rPr>
      <t>The Arista Multilayer Switch must authenticate 802.1X connected devices before establishing any connection.</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</si>
  <si>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 xml:space="preserve">This requirement applies to applications that connect either locally, remotely, or through a network to an endpoint device (including, but not limited to, workstations, printers, servers (outside a datacenter), VoIP Phones, and VTC CODECs). Gateways and SOA applications are examples of where this requirement would apply. </t>
    </r>
    <r>
      <rPr>
        <sz val="11"/>
        <color rgb="FF000000"/>
        <rFont val="Calibri"/>
      </rPr>
      <t xml:space="preserve">
</t>
    </r>
    <r>
      <rPr>
        <sz val="11"/>
        <color rgb="FF000000"/>
        <rFont val="Calibri"/>
      </rPr>
      <t>Device authentication is a solution enabling an organization to manage devices. It is an additional layer of authentication ensuring only specific pre-authorized devices can access the system.</t>
    </r>
  </si>
  <si>
    <r>
      <rPr>
        <sz val="11"/>
        <color rgb="FF000000"/>
        <rFont val="Calibri"/>
      </rPr>
      <t>This requirement only applies to devices required to employ 802.1X.</t>
    </r>
    <r>
      <rPr>
        <sz val="11"/>
        <color rgb="FF000000"/>
        <rFont val="Calibri"/>
      </rPr>
      <t xml:space="preserve">
</t>
    </r>
    <r>
      <rPr>
        <sz val="11"/>
        <color rgb="FF000000"/>
        <rFont val="Calibri"/>
      </rPr>
      <t>Verify that the network device uniquely identifies network-connected endpoint devices. This requirement is not applicable to Arista switches when not used as an access switch.</t>
    </r>
    <r>
      <rPr>
        <sz val="11"/>
        <color rgb="FF000000"/>
        <rFont val="Calibri"/>
      </rPr>
      <t xml:space="preserve">
</t>
    </r>
    <r>
      <rPr>
        <sz val="11"/>
        <color rgb="FF000000"/>
        <rFont val="Calibri"/>
      </rPr>
      <t>802.1X must be configured on any interface where there is an applicable endpoint device connected. This is demonstrated by viewing the running-config via the "show dot1x all" command and validating the following lines are present in the configuration:</t>
    </r>
    <r>
      <rPr>
        <sz val="11"/>
        <color rgb="FF000000"/>
        <rFont val="Calibri"/>
      </rPr>
      <t xml:space="preserve">
</t>
    </r>
    <r>
      <rPr>
        <sz val="11"/>
        <color rgb="FF000000"/>
        <rFont val="Calibri"/>
      </rPr>
      <t>Dot1X Information for Ethernet[X]</t>
    </r>
    <r>
      <rPr>
        <sz val="11"/>
        <color rgb="FF000000"/>
        <rFont val="Calibri"/>
      </rPr>
      <t xml:space="preserve">
</t>
    </r>
    <r>
      <rPr>
        <sz val="11"/>
        <color rgb="FF000000"/>
        <rFont val="Calibri"/>
      </rPr>
      <t>--------------------------------------------</t>
    </r>
    <r>
      <rPr>
        <sz val="11"/>
        <color rgb="FF000000"/>
        <rFont val="Calibri"/>
      </rPr>
      <t xml:space="preserve">
</t>
    </r>
    <r>
      <rPr>
        <sz val="11"/>
        <color rgb="FF000000"/>
        <rFont val="Calibri"/>
      </rPr>
      <t>PortControl : auto</t>
    </r>
    <r>
      <rPr>
        <sz val="11"/>
        <color rgb="FF000000"/>
        <rFont val="Calibri"/>
      </rPr>
      <t xml:space="preserve">
</t>
    </r>
    <r>
      <rPr>
        <sz val="11"/>
        <color rgb="FF000000"/>
        <rFont val="Calibri"/>
      </rPr>
      <t>HostMode : single-host</t>
    </r>
    <r>
      <rPr>
        <sz val="11"/>
        <color rgb="FF000000"/>
        <rFont val="Calibri"/>
      </rPr>
      <t xml:space="preserve">
</t>
    </r>
    <r>
      <rPr>
        <sz val="11"/>
        <color rgb="FF000000"/>
        <rFont val="Calibri"/>
      </rPr>
      <t>QuietPeriod : [value]</t>
    </r>
    <r>
      <rPr>
        <sz val="11"/>
        <color rgb="FF000000"/>
        <rFont val="Calibri"/>
      </rPr>
      <t xml:space="preserve">
</t>
    </r>
    <r>
      <rPr>
        <sz val="11"/>
        <color rgb="FF000000"/>
        <rFont val="Calibri"/>
      </rPr>
      <t>TxPeriod : [value]</t>
    </r>
    <r>
      <rPr>
        <sz val="11"/>
        <color rgb="FF000000"/>
        <rFont val="Calibri"/>
      </rPr>
      <t xml:space="preserve">
</t>
    </r>
    <r>
      <rPr>
        <sz val="11"/>
        <color rgb="FF000000"/>
        <rFont val="Calibri"/>
      </rPr>
      <t>ReauthPeriod : 3600 seconds</t>
    </r>
    <r>
      <rPr>
        <sz val="11"/>
        <color rgb="FF000000"/>
        <rFont val="Calibri"/>
      </rPr>
      <t xml:space="preserve">
</t>
    </r>
    <r>
      <rPr>
        <sz val="11"/>
        <color rgb="FF000000"/>
        <rFont val="Calibri"/>
      </rPr>
      <t>MaxReauthReq : 2</t>
    </r>
    <r>
      <rPr>
        <sz val="11"/>
        <color rgb="FF000000"/>
        <rFont val="Calibri"/>
      </rPr>
      <t xml:space="preserve">
</t>
    </r>
    <r>
      <rPr>
        <sz val="11"/>
        <color rgb="FF000000"/>
        <rFont val="Calibri"/>
      </rPr>
      <t>!</t>
    </r>
    <r>
      <rPr>
        <sz val="11"/>
        <color rgb="FF000000"/>
        <rFont val="Calibri"/>
      </rPr>
      <t xml:space="preserve">
</t>
    </r>
    <r>
      <rPr>
        <sz val="11"/>
        <color rgb="FF000000"/>
        <rFont val="Calibri"/>
      </rPr>
      <t>802.1X must also be globally enabled on the switch using the "dot1x system-auth-control" command from the configuration mode interface. When this is configured, the following line will be visible in the running-config:</t>
    </r>
    <r>
      <rPr>
        <sz val="11"/>
        <color rgb="FF000000"/>
        <rFont val="Calibri"/>
      </rPr>
      <t xml:space="preserve">
</t>
    </r>
    <r>
      <rPr>
        <sz val="11"/>
        <color rgb="FF000000"/>
        <rFont val="Calibri"/>
      </rPr>
      <t>dot1x-system-auth-control</t>
    </r>
    <r>
      <rPr>
        <sz val="11"/>
        <color rgb="FF000000"/>
        <rFont val="Calibri"/>
      </rPr>
      <t xml:space="preserve">
</t>
    </r>
    <r>
      <rPr>
        <sz val="11"/>
        <color rgb="FF000000"/>
        <rFont val="Calibri"/>
      </rPr>
      <t>802.1X is dependent on a properly configured RADIUS server for authentication. Refer to the RADIUS configuration example for validation of properly configured AAA services. Additionally, the user must specify to use the RADIUS server as an 802.1X authenticator with the "aaa authentication dot1x default group [radius]" command from the configuration mode interface, replacing the bracketed variable with either the group name of the RADIUS server group or leaving it as is to authenticate against all RADIUS servers. When properly configured, the following line is visible in the running-config:</t>
    </r>
    <r>
      <rPr>
        <sz val="11"/>
        <color rgb="FF000000"/>
        <rFont val="Calibri"/>
      </rPr>
      <t xml:space="preserve">
</t>
    </r>
    <r>
      <rPr>
        <sz val="11"/>
        <color rgb="FF000000"/>
        <rFont val="Calibri"/>
      </rPr>
      <t>aaa authentication dot1x default group radius</t>
    </r>
    <r>
      <rPr>
        <sz val="11"/>
        <color rgb="FF000000"/>
        <rFont val="Calibri"/>
      </rPr>
      <t xml:space="preserve">
</t>
    </r>
    <r>
      <rPr>
        <sz val="11"/>
        <color rgb="FF000000"/>
        <rFont val="Calibri"/>
      </rPr>
      <t>If 802.1X is not configured on necessary ports or is not globally enabled on the switch, or if it is not set to authenticate supplicants via RADIUS, this is a finding.</t>
    </r>
  </si>
  <si>
    <t>V-60833</t>
  </si>
  <si>
    <r>
      <rPr>
        <sz val="11"/>
        <rFont val="Calibri"/>
      </rPr>
      <t>The Arista Multilayer Switch account of last resort must have a password with a length of 15 characters.</t>
    </r>
  </si>
  <si>
    <r>
      <rPr>
        <sz val="11"/>
        <color rgb="FF000000"/>
        <rFont val="Calibri"/>
      </rPr>
      <t>Configure the Arista Multilayer Switch account of last resort with a password with a length of at least 15 characters.</t>
    </r>
    <r>
      <rPr>
        <sz val="11"/>
        <color rgb="FF000000"/>
        <rFont val="Calibri"/>
      </rPr>
      <t xml:space="preserve">
</t>
    </r>
    <r>
      <rPr>
        <sz val="11"/>
        <color rgb="FF000000"/>
        <rFont val="Calibri"/>
      </rPr>
      <t>To configure the password minimum length, enter the following commands:</t>
    </r>
    <r>
      <rPr>
        <sz val="11"/>
        <color rgb="FF000000"/>
        <rFont val="Calibri"/>
      </rPr>
      <t xml:space="preserve">
</t>
    </r>
    <r>
      <rPr>
        <sz val="11"/>
        <color rgb="FF000000"/>
        <rFont val="Calibri"/>
      </rPr>
      <t>configure</t>
    </r>
    <r>
      <rPr>
        <sz val="11"/>
        <color rgb="FF000000"/>
        <rFont val="Calibri"/>
      </rPr>
      <t xml:space="preserve">
</t>
    </r>
    <r>
      <rPr>
        <sz val="11"/>
        <color rgb="FF000000"/>
        <rFont val="Calibri"/>
      </rPr>
      <t>management security</t>
    </r>
    <r>
      <rPr>
        <sz val="11"/>
        <color rgb="FF000000"/>
        <rFont val="Calibri"/>
      </rPr>
      <t xml:space="preserve">
</t>
    </r>
    <r>
      <rPr>
        <sz val="11"/>
        <color rgb="FF000000"/>
        <rFont val="Calibri"/>
      </rPr>
      <t>password minimum length 15</t>
    </r>
  </si>
  <si>
    <r>
      <rPr>
        <sz val="11"/>
        <color rgb="FF000000"/>
        <rFont val="Calibri"/>
      </rPr>
      <t>Review the Arista Multilayer Switch configuration for the account of last resort with full access to the network device.</t>
    </r>
    <r>
      <rPr>
        <sz val="11"/>
        <color rgb="FF000000"/>
        <rFont val="Calibri"/>
      </rPr>
      <t xml:space="preserve">
</t>
    </r>
    <r>
      <rPr>
        <sz val="11"/>
        <color rgb="FF000000"/>
        <rFont val="Calibri"/>
      </rPr>
      <t>If the account of last resort does not require a password length of at least 15 characters, this is a finding.</t>
    </r>
    <r>
      <rPr>
        <sz val="11"/>
        <color rgb="FF000000"/>
        <rFont val="Calibri"/>
      </rPr>
      <t xml:space="preserve">
</t>
    </r>
    <r>
      <rPr>
        <sz val="11"/>
        <color rgb="FF000000"/>
        <rFont val="Calibri"/>
      </rPr>
      <t>To verify the setting is correct, run the "show running-config" command on the switch. Under the section "management security", the configuration statement "password minimum length 15" must be present, with a value set to 15 or higher.</t>
    </r>
  </si>
  <si>
    <t>V-60835</t>
  </si>
  <si>
    <r>
      <rPr>
        <sz val="11"/>
        <rFont val="Calibri"/>
      </rPr>
      <t>The Arista Multilayer Switch must automatically audit account creation.</t>
    </r>
  </si>
  <si>
    <r>
      <rPr>
        <sz val="11"/>
        <color rgb="FF000000"/>
        <rFont val="Calibri"/>
      </rPr>
      <t>Enable logging on the switch with sufficient detail to fulfill the specifications set forth in the VulDiscussion.</t>
    </r>
    <r>
      <rPr>
        <sz val="11"/>
        <color rgb="FF000000"/>
        <rFont val="Calibri"/>
      </rPr>
      <t xml:space="preserve">
</t>
    </r>
    <r>
      <rPr>
        <sz val="11"/>
        <color rgb="FF000000"/>
        <rFont val="Calibri"/>
      </rPr>
      <t>To configure logging to a remote syslog server at the informational level, enter:</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switch(config)#logging host [ip address]</t>
    </r>
    <r>
      <rPr>
        <sz val="11"/>
        <color rgb="FF000000"/>
        <rFont val="Calibri"/>
      </rPr>
      <t xml:space="preserve">
</t>
    </r>
    <r>
      <rPr>
        <sz val="11"/>
        <color rgb="FF000000"/>
        <rFont val="Calibri"/>
      </rPr>
      <t>switch(config)#logging trap informational</t>
    </r>
    <r>
      <rPr>
        <sz val="11"/>
        <color rgb="FF000000"/>
        <rFont val="Calibri"/>
      </rPr>
      <t xml:space="preserve">
</t>
    </r>
    <r>
      <rPr>
        <sz val="11"/>
        <color rgb="FF000000"/>
        <rFont val="Calibri"/>
      </rPr>
      <t>Then configure the following AAA:</t>
    </r>
    <r>
      <rPr>
        <sz val="11"/>
        <color rgb="FF000000"/>
        <rFont val="Calibri"/>
      </rPr>
      <t xml:space="preserve">
</t>
    </r>
    <r>
      <rPr>
        <sz val="11"/>
        <color rgb="FF000000"/>
        <rFont val="Calibri"/>
      </rPr>
      <t>aaa accounting commands all default start-stop logging [group radius]</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</si>
  <si>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</si>
  <si>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Review the switch configuration and verify that logging is enabled.</t>
    </r>
    <r>
      <rPr>
        <sz val="11"/>
        <color rgb="FF000000"/>
        <rFont val="Calibri"/>
      </rPr>
      <t xml:space="preserve">
</t>
    </r>
    <r>
      <rPr>
        <sz val="11"/>
        <color rgb="FF000000"/>
        <rFont val="Calibri"/>
      </rPr>
      <t>If logging is not enabled or is not enabled with sufficient detail to fulfill the specifications set forth in the VulDiscussion, this is a finding.</t>
    </r>
    <r>
      <rPr>
        <sz val="11"/>
        <color rgb="FF000000"/>
        <rFont val="Calibri"/>
      </rPr>
      <t xml:space="preserve">
</t>
    </r>
    <r>
      <rPr>
        <sz val="11"/>
        <color rgb="FF000000"/>
        <rFont val="Calibri"/>
      </rPr>
      <t xml:space="preserve">To determine if logging is enabled, enter: </t>
    </r>
    <r>
      <rPr>
        <sz val="11"/>
        <color rgb="FF000000"/>
        <rFont val="Calibri"/>
      </rPr>
      <t xml:space="preserve">
</t>
    </r>
    <r>
      <rPr>
        <sz val="11"/>
        <color rgb="FF000000"/>
        <rFont val="Calibri"/>
      </rPr>
      <t>switch#show logging</t>
    </r>
    <r>
      <rPr>
        <sz val="11"/>
        <color rgb="FF000000"/>
        <rFont val="Calibri"/>
      </rPr>
      <t xml:space="preserve">
</t>
    </r>
    <r>
      <rPr>
        <sz val="11"/>
        <color rgb="FF000000"/>
        <rFont val="Calibri"/>
      </rPr>
      <t>The output must show logging as enabled, with a logging level of informational or debugging.</t>
    </r>
    <r>
      <rPr>
        <sz val="11"/>
        <color rgb="FF000000"/>
        <rFont val="Calibri"/>
      </rPr>
      <t xml:space="preserve">
</t>
    </r>
    <r>
      <rPr>
        <sz val="11"/>
        <color rgb="FF000000"/>
        <rFont val="Calibri"/>
      </rPr>
      <t>In order to ensure all user commands are captured, the following statement must be in the running config:</t>
    </r>
    <r>
      <rPr>
        <sz val="11"/>
        <color rgb="FF000000"/>
        <rFont val="Calibri"/>
      </rPr>
      <t xml:space="preserve">
</t>
    </r>
    <r>
      <rPr>
        <sz val="11"/>
        <color rgb="FF000000"/>
        <rFont val="Calibri"/>
      </rPr>
      <t>aaa accounting commands all default start-stop logging [group radius]</t>
    </r>
  </si>
  <si>
    <t>V-60837</t>
  </si>
  <si>
    <r>
      <rPr>
        <sz val="11"/>
        <rFont val="Calibri"/>
      </rPr>
      <t>The Arista Multilayer Switch must automatically audit account modification.</t>
    </r>
  </si>
  <si>
    <r>
      <rPr>
        <sz val="11"/>
        <color rgb="FF000000"/>
        <rFont val="Calibri"/>
      </rPr>
      <t>Enable logging on the switch with sufficient detail to fulfill the specifications set forth in the VulDiscussion.</t>
    </r>
    <r>
      <rPr>
        <sz val="11"/>
        <color rgb="FF000000"/>
        <rFont val="Calibri"/>
      </rPr>
      <t xml:space="preserve">
</t>
    </r>
    <r>
      <rPr>
        <sz val="11"/>
        <color rgb="FF000000"/>
        <rFont val="Calibri"/>
      </rPr>
      <t>To configure logging to a remote syslog server at the informational level, enter:</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switch(config)#logging host [ip address]</t>
    </r>
    <r>
      <rPr>
        <sz val="11"/>
        <color rgb="FF000000"/>
        <rFont val="Calibri"/>
      </rPr>
      <t xml:space="preserve">
</t>
    </r>
    <r>
      <rPr>
        <sz val="11"/>
        <color rgb="FF000000"/>
        <rFont val="Calibri"/>
      </rPr>
      <t>switch(config)#logging trap informational</t>
    </r>
    <r>
      <rPr>
        <sz val="11"/>
        <color rgb="FF000000"/>
        <rFont val="Calibri"/>
      </rPr>
      <t xml:space="preserve">
</t>
    </r>
    <r>
      <rPr>
        <sz val="11"/>
        <color rgb="FF000000"/>
        <rFont val="Calibri"/>
      </rPr>
      <t>Then configure the following AAA</t>
    </r>
    <r>
      <rPr>
        <sz val="11"/>
        <color rgb="FF000000"/>
        <rFont val="Calibri"/>
      </rPr>
      <t xml:space="preserve">
</t>
    </r>
    <r>
      <rPr>
        <sz val="11"/>
        <color rgb="FF000000"/>
        <rFont val="Calibri"/>
      </rPr>
      <t>aaa accounting commands all default start-stop logging [group radius]</t>
    </r>
  </si>
  <si>
    <r>
      <rPr>
        <sz val="11"/>
        <color rgb="FF000000"/>
        <rFont val="Calibri"/>
      </rPr>
      <t>Since the accounts in the network device are privileged or system-level accounts, account management is vital to the security of the network device. Account management by a designated authority ensures access to the network device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</si>
  <si>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r>
      <rPr>
        <sz val="11"/>
        <color rgb="FF000000"/>
        <rFont val="Calibri"/>
      </rPr>
      <t>Review the switch configuration and verify that logging is enabled.</t>
    </r>
    <r>
      <rPr>
        <sz val="11"/>
        <color rgb="FF000000"/>
        <rFont val="Calibri"/>
      </rPr>
      <t xml:space="preserve">
</t>
    </r>
    <r>
      <rPr>
        <sz val="11"/>
        <color rgb="FF000000"/>
        <rFont val="Calibri"/>
      </rPr>
      <t>If logging is not enabled or is not enabled with sufficient detail to fulfill the specifications set forth in the VulDiscussion, this is a finding.</t>
    </r>
    <r>
      <rPr>
        <sz val="11"/>
        <color rgb="FF000000"/>
        <rFont val="Calibri"/>
      </rPr>
      <t xml:space="preserve">
</t>
    </r>
    <r>
      <rPr>
        <sz val="11"/>
        <color rgb="FF000000"/>
        <rFont val="Calibri"/>
      </rPr>
      <t xml:space="preserve">To determine if logging is enabled, enter: </t>
    </r>
    <r>
      <rPr>
        <sz val="11"/>
        <color rgb="FF000000"/>
        <rFont val="Calibri"/>
      </rPr>
      <t xml:space="preserve">
</t>
    </r>
    <r>
      <rPr>
        <sz val="11"/>
        <color rgb="FF000000"/>
        <rFont val="Calibri"/>
      </rPr>
      <t>switch#show logging</t>
    </r>
    <r>
      <rPr>
        <sz val="11"/>
        <color rgb="FF000000"/>
        <rFont val="Calibri"/>
      </rPr>
      <t xml:space="preserve">
</t>
    </r>
    <r>
      <rPr>
        <sz val="11"/>
        <color rgb="FF000000"/>
        <rFont val="Calibri"/>
      </rPr>
      <t>The output must show logging as enabled, with a logging level of informational or debugging.</t>
    </r>
    <r>
      <rPr>
        <sz val="11"/>
        <color rgb="FF000000"/>
        <rFont val="Calibri"/>
      </rPr>
      <t xml:space="preserve">
</t>
    </r>
    <r>
      <rPr>
        <sz val="11"/>
        <color rgb="FF000000"/>
        <rFont val="Calibri"/>
      </rPr>
      <t>In order to ensure all user commands are captured, the following statement must be in the running config.</t>
    </r>
    <r>
      <rPr>
        <sz val="11"/>
        <color rgb="FF000000"/>
        <rFont val="Calibri"/>
      </rPr>
      <t xml:space="preserve">
</t>
    </r>
    <r>
      <rPr>
        <sz val="11"/>
        <color rgb="FF000000"/>
        <rFont val="Calibri"/>
      </rPr>
      <t>aaa accounting commands all default start-stop logging [group radius]</t>
    </r>
  </si>
  <si>
    <t>V-60839</t>
  </si>
  <si>
    <r>
      <rPr>
        <sz val="11"/>
        <rFont val="Calibri"/>
      </rPr>
      <t>The Arista Multilayer Switch must automatically audit account disabling actions.</t>
    </r>
  </si>
  <si>
    <r>
      <rPr>
        <sz val="11"/>
        <color rgb="FF000000"/>
        <rFont val="Calibri"/>
      </rPr>
      <t>Account management, as a whole, ensures access to the network device is being controlled in a secure manner by granting access to only authorized personnel. Auditing account disabling actions will support account management procedures. When device management accounts are disabled, user or service accessibility may be affected. Auditing also ensures authorized active accounts remain enabled and available for use when required.</t>
    </r>
  </si>
  <si>
    <t>V-60841</t>
  </si>
  <si>
    <r>
      <rPr>
        <sz val="11"/>
        <rFont val="Calibri"/>
      </rPr>
      <t>The Arista Multilayer Switch must automatically audit account removal actions.</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</si>
  <si>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</si>
  <si>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t>V-60843</t>
  </si>
  <si>
    <r>
      <rPr>
        <sz val="11"/>
        <rFont val="Calibri"/>
      </rPr>
      <t>The Arista Multilayer Switch must display the Standard Mandatory DoD Notice and Consent Banner before granting access to the device.</t>
    </r>
  </si>
  <si>
    <r>
      <rPr>
        <sz val="11"/>
        <color rgb="FF000000"/>
        <rFont val="Calibri"/>
      </rPr>
      <t>Configure the switch to display the Standard DoD Notice and Consent banner.</t>
    </r>
    <r>
      <rPr>
        <sz val="11"/>
        <color rgb="FF000000"/>
        <rFont val="Calibri"/>
      </rPr>
      <t xml:space="preserve">
</t>
    </r>
    <r>
      <rPr>
        <sz val="11"/>
        <color rgb="FF000000"/>
        <rFont val="Calibri"/>
      </rPr>
      <t>To configure the banner, enter the following commands from the configuration mode interface. Replace the bracketed data with the DoD Banner.</t>
    </r>
    <r>
      <rPr>
        <sz val="11"/>
        <color rgb="FF000000"/>
        <rFont val="Calibri"/>
      </rPr>
      <t xml:space="preserve">
</t>
    </r>
    <r>
      <rPr>
        <sz val="11"/>
        <color rgb="FF000000"/>
        <rFont val="Calibri"/>
      </rPr>
      <t>switch(config)#banner login</t>
    </r>
    <r>
      <rPr>
        <sz val="11"/>
        <color rgb="FF000000"/>
        <rFont val="Calibri"/>
      </rPr>
      <t xml:space="preserve">
</t>
    </r>
    <r>
      <rPr>
        <sz val="11"/>
        <color rgb="FF000000"/>
        <rFont val="Calibri"/>
      </rPr>
      <t>[DoD Banner]</t>
    </r>
    <r>
      <rPr>
        <sz val="11"/>
        <color rgb="FF000000"/>
        <rFont val="Calibri"/>
      </rPr>
      <t xml:space="preserve">
</t>
    </r>
    <r>
      <rPr>
        <sz val="11"/>
        <color rgb="FF000000"/>
        <rFont val="Calibri"/>
      </rPr>
      <t>EOF</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</si>
  <si>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</si>
  <si>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Review the device configuration and verify display of the Standard DoD Notice and Consent Banner.</t>
    </r>
    <r>
      <rPr>
        <sz val="11"/>
        <color rgb="FF000000"/>
        <rFont val="Calibri"/>
      </rPr>
      <t xml:space="preserve">
</t>
    </r>
    <r>
      <rPr>
        <sz val="11"/>
        <color rgb="FF000000"/>
        <rFont val="Calibri"/>
      </rPr>
      <t>If the banner is not displayed, this is a finding.</t>
    </r>
    <r>
      <rPr>
        <sz val="11"/>
        <color rgb="FF000000"/>
        <rFont val="Calibri"/>
      </rPr>
      <t xml:space="preserve">
</t>
    </r>
    <r>
      <rPr>
        <sz val="11"/>
        <color rgb="FF000000"/>
        <rFont val="Calibri"/>
      </rPr>
      <t>To verify the device is configured to display the DoD Banner, review the running configuration with the "show running-config" command. Identify the section "banner login" and verify the standard DoD Banner is displayed.</t>
    </r>
  </si>
  <si>
    <t>V-60845</t>
  </si>
  <si>
    <r>
      <rPr>
        <sz val="11"/>
        <rFont val="Calibri"/>
      </rPr>
      <t>The Arista Multilayer Switch must protect against an individual (or process acting on behalf of an individual) falsely denying having performed organization-defined actions to be covered by non-repudiation.</t>
    </r>
  </si>
  <si>
    <t>CAT III (Low)</t>
  </si>
  <si>
    <r>
      <rPr>
        <sz val="11"/>
        <color rgb="FF000000"/>
        <rFont val="Calibri"/>
      </rPr>
      <t>This requirement supports non-repudiation of actions taken by an administrator and is required in order to maintain the integrity of the configuration management process. All configuration changes to the network device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To meet this requirement, the network device must log administrator access and activity.</t>
    </r>
  </si>
  <si>
    <t>V-60847</t>
  </si>
  <si>
    <r>
      <rPr>
        <sz val="11"/>
        <rFont val="Calibri"/>
      </rPr>
      <t>The Arista Multilayer Switch must generate audit records when successful/unsuccessful attempts to access privileges occur.</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</si>
  <si>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</si>
  <si>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t>V-60849</t>
  </si>
  <si>
    <r>
      <rPr>
        <sz val="11"/>
        <rFont val="Calibri"/>
      </rPr>
      <t>The Arista Multilayer Switch must produce audit log records containing sufficient information to establish what type of event occurred.</t>
    </r>
  </si>
  <si>
    <r>
      <rPr>
        <sz val="11"/>
        <color rgb="FF000000"/>
        <rFont val="Calibri"/>
      </rPr>
      <t>Enable logging on the switch with sufficient detail to establish what type of event occurred.</t>
    </r>
    <r>
      <rPr>
        <sz val="11"/>
        <color rgb="FF000000"/>
        <rFont val="Calibri"/>
      </rPr>
      <t xml:space="preserve">
</t>
    </r>
    <r>
      <rPr>
        <sz val="11"/>
        <color rgb="FF000000"/>
        <rFont val="Calibri"/>
      </rPr>
      <t>To configure logging to a remote syslog server at the informational level, enter:</t>
    </r>
    <r>
      <rPr>
        <sz val="11"/>
        <color rgb="FF000000"/>
        <rFont val="Calibri"/>
      </rPr>
      <t xml:space="preserve">
</t>
    </r>
    <r>
      <rPr>
        <sz val="11"/>
        <color rgb="FF000000"/>
        <rFont val="Calibri"/>
      </rPr>
      <t>switch#config</t>
    </r>
    <r>
      <rPr>
        <sz val="11"/>
        <color rgb="FF000000"/>
        <rFont val="Calibri"/>
      </rPr>
      <t xml:space="preserve">
</t>
    </r>
    <r>
      <rPr>
        <sz val="11"/>
        <color rgb="FF000000"/>
        <rFont val="Calibri"/>
      </rPr>
      <t>switch(config)#logging host [ip address]</t>
    </r>
    <r>
      <rPr>
        <sz val="11"/>
        <color rgb="FF000000"/>
        <rFont val="Calibri"/>
      </rPr>
      <t xml:space="preserve">
</t>
    </r>
    <r>
      <rPr>
        <sz val="11"/>
        <color rgb="FF000000"/>
        <rFont val="Calibri"/>
      </rPr>
      <t>switch(config)#logging trap informational</t>
    </r>
  </si>
  <si>
    <r>
      <rPr>
        <sz val="11"/>
        <color rgb="FF000000"/>
        <rFont val="Calibri"/>
      </rPr>
      <t>It is essential for security personnel to know what is being done, what was attempted, where it was done, when it was done, and by whom it was done in order to compile an accurate risk assessment. Associating event types with detected events in the application and audit logs provides a means of investigating an attack; recognizing resource utilization or capacity thresholds; or identifying an improperly configured network device. Without this capability, it would be difficult to establish, correlate, and investigate the events leading up to an outage or attack.</t>
    </r>
  </si>
  <si>
    <r>
      <rPr>
        <sz val="11"/>
        <color rgb="FF000000"/>
        <rFont val="Calibri"/>
      </rPr>
      <t>Review the device configuration and verify that logging is enabled with sufficient detail to establish what type of event occurred.</t>
    </r>
    <r>
      <rPr>
        <sz val="11"/>
        <color rgb="FF000000"/>
        <rFont val="Calibri"/>
      </rPr>
      <t xml:space="preserve">
</t>
    </r>
    <r>
      <rPr>
        <sz val="11"/>
        <color rgb="FF000000"/>
        <rFont val="Calibri"/>
      </rPr>
      <t>If logging is not enabled or does not provide sufficient detail, this is a finding.</t>
    </r>
    <r>
      <rPr>
        <sz val="11"/>
        <color rgb="FF000000"/>
        <rFont val="Calibri"/>
      </rPr>
      <t xml:space="preserve">
</t>
    </r>
    <r>
      <rPr>
        <sz val="11"/>
        <color rgb="FF000000"/>
        <rFont val="Calibri"/>
      </rPr>
      <t>To determine if logging is enabled, enter:</t>
    </r>
    <r>
      <rPr>
        <sz val="11"/>
        <color rgb="FF000000"/>
        <rFont val="Calibri"/>
      </rPr>
      <t xml:space="preserve">
</t>
    </r>
    <r>
      <rPr>
        <sz val="11"/>
        <color rgb="FF000000"/>
        <rFont val="Calibri"/>
      </rPr>
      <t>switch#show logging</t>
    </r>
    <r>
      <rPr>
        <sz val="11"/>
        <color rgb="FF000000"/>
        <rFont val="Calibri"/>
      </rPr>
      <t xml:space="preserve">
</t>
    </r>
    <r>
      <rPr>
        <sz val="11"/>
        <color rgb="FF000000"/>
        <rFont val="Calibri"/>
      </rPr>
      <t>The output must show logging as enabled, with a logging level of informational or debugging.</t>
    </r>
  </si>
  <si>
    <t>V-60851</t>
  </si>
  <si>
    <r>
      <rPr>
        <sz val="11"/>
        <rFont val="Calibri"/>
      </rPr>
      <t>The Arista Multilayer Switch must generate audit records containing the full-text recording of privileged commands.</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</si>
  <si>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full-text recordings of privileged commands. The organization must maintain audit trails in sufficient detail to reconstruct events to determine the cause and impact of compromise.</t>
    </r>
  </si>
  <si>
    <r>
      <rPr>
        <sz val="11"/>
        <color rgb="FF000000"/>
        <rFont val="Calibri"/>
      </rPr>
      <t>Review the switch configuration and verify that logging is enabled.</t>
    </r>
    <r>
      <rPr>
        <sz val="11"/>
        <color rgb="FF000000"/>
        <rFont val="Calibri"/>
      </rPr>
      <t xml:space="preserve">
</t>
    </r>
    <r>
      <rPr>
        <sz val="11"/>
        <color rgb="FF000000"/>
        <rFont val="Calibri"/>
      </rPr>
      <t>If logging is not enabled or is not enabled with sufficient detail to fulfill the specifications set forth in the VulDiscussion, this is a finding.</t>
    </r>
    <r>
      <rPr>
        <sz val="11"/>
        <color rgb="FF000000"/>
        <rFont val="Calibri"/>
      </rPr>
      <t xml:space="preserve">
</t>
    </r>
    <r>
      <rPr>
        <sz val="11"/>
        <color rgb="FF000000"/>
        <rFont val="Calibri"/>
      </rPr>
      <t>To determine if logging is enabled, enter:</t>
    </r>
    <r>
      <rPr>
        <sz val="11"/>
        <color rgb="FF000000"/>
        <rFont val="Calibri"/>
      </rPr>
      <t xml:space="preserve">
</t>
    </r>
    <r>
      <rPr>
        <sz val="11"/>
        <color rgb="FF000000"/>
        <rFont val="Calibri"/>
      </rPr>
      <t>switch#show logging</t>
    </r>
    <r>
      <rPr>
        <sz val="11"/>
        <color rgb="FF000000"/>
        <rFont val="Calibri"/>
      </rPr>
      <t xml:space="preserve">
</t>
    </r>
    <r>
      <rPr>
        <sz val="11"/>
        <color rgb="FF000000"/>
        <rFont val="Calibri"/>
      </rPr>
      <t>The output must show logging as enabled, with a logging level of informational or debugging.</t>
    </r>
    <r>
      <rPr>
        <sz val="11"/>
        <color rgb="FF000000"/>
        <rFont val="Calibri"/>
      </rPr>
      <t xml:space="preserve">
</t>
    </r>
    <r>
      <rPr>
        <sz val="11"/>
        <color rgb="FF000000"/>
        <rFont val="Calibri"/>
      </rPr>
      <t>In order to ensure all user commands are captured, the following statement must be in the running config:</t>
    </r>
    <r>
      <rPr>
        <sz val="11"/>
        <color rgb="FF000000"/>
        <rFont val="Calibri"/>
      </rPr>
      <t xml:space="preserve">
</t>
    </r>
    <r>
      <rPr>
        <sz val="11"/>
        <color rgb="FF000000"/>
        <rFont val="Calibri"/>
      </rPr>
      <t>aaa accounting commands all default start-stop logging [group radius]</t>
    </r>
  </si>
  <si>
    <t>V-60853</t>
  </si>
  <si>
    <r>
      <rPr>
        <sz val="11"/>
        <rFont val="Calibri"/>
      </rPr>
      <t>The Arista Multilayer Switch must be configured to prohibit the use of all unnecessary and/or nonsecure functions, ports, protocols, and/or services, as defined in the PPSM CAL and vulnerability assessments.</t>
    </r>
  </si>
  <si>
    <r>
      <rPr>
        <sz val="11"/>
        <color rgb="FF000000"/>
        <rFont val="Calibri"/>
      </rPr>
      <t>Configure the network device to prohibit the use of all unnecessary and/or nonsecure functions, ports, protocols, and/or services, as defined in the PPSM CAL and vulnerability assessments.</t>
    </r>
    <r>
      <rPr>
        <sz val="11"/>
        <color rgb="FF000000"/>
        <rFont val="Calibri"/>
      </rPr>
      <t xml:space="preserve">
</t>
    </r>
    <r>
      <rPr>
        <sz val="11"/>
        <color rgb="FF000000"/>
        <rFont val="Calibri"/>
      </rPr>
      <t>To configure an access control list, use the following commands:</t>
    </r>
    <r>
      <rPr>
        <sz val="11"/>
        <color rgb="FF000000"/>
        <rFont val="Calibri"/>
      </rPr>
      <t xml:space="preserve">
</t>
    </r>
    <r>
      <rPr>
        <sz val="11"/>
        <color rgb="FF000000"/>
        <rFont val="Calibri"/>
      </rPr>
      <t>configure</t>
    </r>
    <r>
      <rPr>
        <sz val="11"/>
        <color rgb="FF000000"/>
        <rFont val="Calibri"/>
      </rPr>
      <t xml:space="preserve">
</t>
    </r>
    <r>
      <rPr>
        <sz val="11"/>
        <color rgb="FF000000"/>
        <rFont val="Calibri"/>
      </rPr>
      <t>ip access-list [name]</t>
    </r>
    <r>
      <rPr>
        <sz val="11"/>
        <color rgb="FF000000"/>
        <rFont val="Calibri"/>
      </rPr>
      <t xml:space="preserve">
</t>
    </r>
    <r>
      <rPr>
        <sz val="11"/>
        <color rgb="FF000000"/>
        <rFont val="Calibri"/>
      </rPr>
      <t>10 deny [protocol] [src port] [src mask] [dst port] [dst mask] [options]</t>
    </r>
    <r>
      <rPr>
        <sz val="11"/>
        <color rgb="FF000000"/>
        <rFont val="Calibri"/>
      </rPr>
      <t xml:space="preserve">
</t>
    </r>
    <r>
      <rPr>
        <sz val="11"/>
        <color rgb="FF000000"/>
        <rFont val="Calibri"/>
      </rPr>
      <t>exit</t>
    </r>
    <r>
      <rPr>
        <sz val="11"/>
        <color rgb="FF000000"/>
        <rFont val="Calibri"/>
      </rPr>
      <t xml:space="preserve">
</t>
    </r>
    <r>
      <rPr>
        <sz val="11"/>
        <color rgb="FF000000"/>
        <rFont val="Calibri"/>
      </rPr>
      <t>To apply an access control list to an interface, use the following commands from the interface configuration mode:</t>
    </r>
    <r>
      <rPr>
        <sz val="11"/>
        <color rgb="FF000000"/>
        <rFont val="Calibri"/>
      </rPr>
      <t xml:space="preserve">
</t>
    </r>
    <r>
      <rPr>
        <sz val="11"/>
        <color rgb="FF000000"/>
        <rFont val="Calibri"/>
      </rPr>
      <t>ip access-group [name] [direction]</t>
    </r>
  </si>
  <si>
    <r>
      <rPr>
        <sz val="11"/>
        <color rgb="FF000000"/>
        <rFont val="Calibri"/>
      </rPr>
      <t>In order 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</si>
  <si>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Determine if the network device prohibits the use of all unnecessary and/or nonsecure functions, ports, protocols, and/or services, as defined in the PPSM CAL and vulnerability assessments.</t>
    </r>
    <r>
      <rPr>
        <sz val="11"/>
        <color rgb="FF000000"/>
        <rFont val="Calibri"/>
      </rPr>
      <t xml:space="preserve">
</t>
    </r>
    <r>
      <rPr>
        <sz val="11"/>
        <color rgb="FF000000"/>
        <rFont val="Calibri"/>
      </rPr>
      <t>This can be verified by reviewing the access control list configuration on the device and comparing against the PPSM CAL. The access control list configuration must deny ports, protocols, and services defined by the PPSM CAL. IP access list configuration can be viewed via the "show ip access-lists" command. To verify an interface has the appropriate access control list on it, use the "show ip access-list" summary command.</t>
    </r>
    <r>
      <rPr>
        <sz val="11"/>
        <color rgb="FF000000"/>
        <rFont val="Calibri"/>
      </rPr>
      <t xml:space="preserve">
</t>
    </r>
    <r>
      <rPr>
        <sz val="11"/>
        <color rgb="FF000000"/>
        <rFont val="Calibri"/>
      </rPr>
      <t>If any unnecessary or nonsecure functions are permitted, this is a finding.</t>
    </r>
  </si>
  <si>
    <t>V-60855</t>
  </si>
  <si>
    <r>
      <rPr>
        <sz val="11"/>
        <rFont val="Calibri"/>
      </rPr>
      <t>The Arista Multilayer Switch must use multifactor authentication for local access to privileged accounts.</t>
    </r>
  </si>
  <si>
    <r>
      <rPr>
        <sz val="11"/>
        <color rgb="FF000000"/>
        <rFont val="Calibri"/>
      </rPr>
      <t>Configure the network device or its associated authentication server to use multifactor authentication for local access to privileged accounts.</t>
    </r>
    <r>
      <rPr>
        <sz val="11"/>
        <color rgb="FF000000"/>
        <rFont val="Calibri"/>
      </rPr>
      <t xml:space="preserve">
</t>
    </r>
    <r>
      <rPr>
        <sz val="11"/>
        <color rgb="FF000000"/>
        <rFont val="Calibri"/>
      </rPr>
      <t>To configure the local device to authenticate via its authentication server, enter the following command from the configuration mode interface. Replace the bracketed value with the configured server group name or the name of the server type to validate against all configured servers of that type.</t>
    </r>
    <r>
      <rPr>
        <sz val="11"/>
        <color rgb="FF000000"/>
        <rFont val="Calibri"/>
      </rPr>
      <t xml:space="preserve">
</t>
    </r>
    <r>
      <rPr>
        <sz val="11"/>
        <color rgb="FF000000"/>
        <rFont val="Calibri"/>
      </rPr>
      <t>switch(config)#aaa authentication login console group [radius] local</t>
    </r>
  </si>
  <si>
    <r>
      <rPr>
        <sz val="11"/>
        <color rgb="FF000000"/>
        <rFont val="Calibri"/>
      </rPr>
      <t>Multifactor authentication is defined as: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 xml:space="preserve">To assure accountability and prevent unauthenticated access, privileged users must utilize multifactor authentication to prevent potential misuse and compromise of the system. </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r>
      <rPr>
        <sz val="11"/>
        <color rgb="FF000000"/>
        <rFont val="Calibri"/>
      </rPr>
      <t xml:space="preserve">
</t>
    </r>
    <r>
      <rPr>
        <sz val="11"/>
        <color rgb="FF000000"/>
        <rFont val="Calibri"/>
      </rPr>
      <t>Applications integrating with the DoD Active Directory and utilizing the DoD CAC are examples of compliant multifactor authentication solutions.</t>
    </r>
  </si>
  <si>
    <r>
      <rPr>
        <sz val="11"/>
        <color rgb="FF000000"/>
        <rFont val="Calibri"/>
      </rPr>
      <t xml:space="preserve">Determine if the network device uses multifactor authentication for local access to privileged accounts. This requirement may be verified by demonstration or configuration review. This requirement may be met through use of a properly configured authentication server if the device is configured to use the authentication server. </t>
    </r>
    <r>
      <rPr>
        <sz val="11"/>
        <color rgb="FF000000"/>
        <rFont val="Calibri"/>
      </rPr>
      <t xml:space="preserve">
</t>
    </r>
    <r>
      <rPr>
        <sz val="11"/>
        <color rgb="FF000000"/>
        <rFont val="Calibri"/>
      </rPr>
      <t>If multifactor authentication is not used for local access to privileged accounts, this is a finding.</t>
    </r>
    <r>
      <rPr>
        <sz val="11"/>
        <color rgb="FF000000"/>
        <rFont val="Calibri"/>
      </rPr>
      <t xml:space="preserve">
</t>
    </r>
    <r>
      <rPr>
        <sz val="11"/>
        <color rgb="FF000000"/>
        <rFont val="Calibri"/>
      </rPr>
      <t>Review the device configuration via the "show running-config" command. The line "aaa authentication login console group [server-group] [radius/tacplus] [local]" must be present and must contain, at a minimum, the server group used for authentication, if present, or the term radius or tacplus to indicate all configured radius or tacplus servers, and the term local for local database authentication.</t>
    </r>
  </si>
  <si>
    <t>V-60857</t>
  </si>
  <si>
    <r>
      <rPr>
        <sz val="11"/>
        <rFont val="Calibri"/>
      </rPr>
      <t>The Arista Multilayer Switch must terminate all network connections associated with a device management session at the end of the session, or the session must be terminated after 10 minutes of inactivity except to fulfill documented and validated mission requirements.</t>
    </r>
  </si>
  <si>
    <r>
      <rPr>
        <sz val="11"/>
        <color rgb="FF000000"/>
        <rFont val="Calibri"/>
      </rPr>
      <t>Configure the network device to terminate the connection associated with a device management session at the end of the session or after 10 minutes of inactivity.</t>
    </r>
    <r>
      <rPr>
        <sz val="11"/>
        <color rgb="FF000000"/>
        <rFont val="Calibri"/>
      </rPr>
      <t xml:space="preserve">
</t>
    </r>
    <r>
      <rPr>
        <sz val="11"/>
        <color rgb="FF000000"/>
        <rFont val="Calibri"/>
      </rPr>
      <t>Arista switches have a configurable timeout function that automatically closes connections to the switch upon reaching an organization-defined period of time.</t>
    </r>
    <r>
      <rPr>
        <sz val="11"/>
        <color rgb="FF000000"/>
        <rFont val="Calibri"/>
      </rPr>
      <t xml:space="preserve">
</t>
    </r>
    <r>
      <rPr>
        <sz val="11"/>
        <color rgb="FF000000"/>
        <rFont val="Calibri"/>
      </rPr>
      <t>Configuration Example:</t>
    </r>
    <r>
      <rPr>
        <sz val="11"/>
        <color rgb="FF000000"/>
        <rFont val="Calibri"/>
      </rPr>
      <t xml:space="preserve">
</t>
    </r>
    <r>
      <rPr>
        <sz val="11"/>
        <color rgb="FF000000"/>
        <rFont val="Calibri"/>
      </rPr>
      <t>switch(config)#management ssh</t>
    </r>
    <r>
      <rPr>
        <sz val="11"/>
        <color rgb="FF000000"/>
        <rFont val="Calibri"/>
      </rPr>
      <t xml:space="preserve">
</t>
    </r>
    <r>
      <rPr>
        <sz val="11"/>
        <color rgb="FF000000"/>
        <rFont val="Calibri"/>
      </rPr>
      <t>switch(config-mgmt-ssh)#idle-timeout 10</t>
    </r>
    <r>
      <rPr>
        <sz val="11"/>
        <color rgb="FF000000"/>
        <rFont val="Calibri"/>
      </rPr>
      <t xml:space="preserve">
</t>
    </r>
    <r>
      <rPr>
        <sz val="11"/>
        <color rgb="FF000000"/>
        <rFont val="Calibri"/>
      </rPr>
      <t>Configure the switch to terminate an idle ssh connection after 10 minutes of inactivity.</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</si>
  <si>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</si>
  <si>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Determine if the network device terminates the connection associated with a device management session at the end of the session or after 10 minutes of inactivity. This requirement may be verified by demonstration or configuration review.</t>
    </r>
    <r>
      <rPr>
        <sz val="11"/>
        <color rgb="FF000000"/>
        <rFont val="Calibri"/>
      </rPr>
      <t xml:space="preserve">
</t>
    </r>
    <r>
      <rPr>
        <sz val="11"/>
        <color rgb="FF000000"/>
        <rFont val="Calibri"/>
      </rPr>
      <t>Verify by executing a "show running-config" command, and under the "management ssh" subsection, validate the configuration statement "idle-timeout 10" is present and the value is 10 or less.</t>
    </r>
    <r>
      <rPr>
        <sz val="11"/>
        <color rgb="FF000000"/>
        <rFont val="Calibri"/>
      </rPr>
      <t xml:space="preserve">
</t>
    </r>
    <r>
      <rPr>
        <sz val="11"/>
        <color rgb="FF000000"/>
        <rFont val="Calibri"/>
      </rPr>
      <t>If the network device does not terminate the connection associated with a device management session at the end of the session or after 10 minutes of inactivity, this is a finding.</t>
    </r>
  </si>
  <si>
    <t>V-60859</t>
  </si>
  <si>
    <r>
      <rPr>
        <sz val="11"/>
        <rFont val="Calibri"/>
      </rPr>
      <t>The Arista Multilayer Switch must reveal error messages only to authorized individuals (ISSO, ISSM, and SA).</t>
    </r>
  </si>
  <si>
    <r>
      <rPr>
        <sz val="11"/>
        <color rgb="FF000000"/>
        <rFont val="Calibri"/>
      </rPr>
      <t>Configure the network device or its associated audit server to reveal error messages only to authorized individuals.</t>
    </r>
    <r>
      <rPr>
        <sz val="11"/>
        <color rgb="FF000000"/>
        <rFont val="Calibri"/>
      </rPr>
      <t xml:space="preserve">
</t>
    </r>
    <r>
      <rPr>
        <sz val="11"/>
        <color rgb="FF000000"/>
        <rFont val="Calibri"/>
      </rPr>
      <t>SNMP is used to fulfill this function. An example SNMP configuration is provided below. To configure SNMP according to site-specific policies and procedures, refer to the Arista Configuration Guide Chapter 37</t>
    </r>
    <r>
      <rPr>
        <sz val="11"/>
        <color rgb="FF000000"/>
        <rFont val="Calibri"/>
      </rPr>
      <t xml:space="preserve">
</t>
    </r>
    <r>
      <rPr>
        <sz val="11"/>
        <color rgb="FF000000"/>
        <rFont val="Calibri"/>
      </rPr>
      <t xml:space="preserve">snmp-server engineID local </t>
    </r>
    <r>
      <rPr>
        <sz val="11"/>
        <color rgb="FF000000"/>
        <rFont val="Calibri"/>
      </rPr>
      <t xml:space="preserve">
</t>
    </r>
    <r>
      <rPr>
        <sz val="11"/>
        <color rgb="FF000000"/>
        <rFont val="Calibri"/>
      </rPr>
      <t>snmp-server view snmpview system included</t>
    </r>
    <r>
      <rPr>
        <sz val="11"/>
        <color rgb="FF000000"/>
        <rFont val="Calibri"/>
      </rPr>
      <t xml:space="preserve">
</t>
    </r>
    <r>
      <rPr>
        <sz val="11"/>
        <color rgb="FF000000"/>
        <rFont val="Calibri"/>
      </rPr>
      <t>snmp-server group ROgroup v3 priv read snmpview</t>
    </r>
    <r>
      <rPr>
        <sz val="11"/>
        <color rgb="FF000000"/>
        <rFont val="Calibri"/>
      </rPr>
      <t xml:space="preserve">
</t>
    </r>
    <r>
      <rPr>
        <sz val="11"/>
        <color rgb="FF000000"/>
        <rFont val="Calibri"/>
      </rPr>
      <t>snmp-server group RWgroup v3 priv write snmpview</t>
    </r>
    <r>
      <rPr>
        <sz val="11"/>
        <color rgb="FF000000"/>
        <rFont val="Calibri"/>
      </rPr>
      <t xml:space="preserve">
</t>
    </r>
    <r>
      <rPr>
        <sz val="11"/>
        <color rgb="FF000000"/>
        <rFont val="Calibri"/>
      </rPr>
      <t>snmp-server user disa ROgroup v3</t>
    </r>
    <r>
      <rPr>
        <sz val="11"/>
        <color rgb="FF000000"/>
        <rFont val="Calibri"/>
      </rPr>
      <t xml:space="preserve">
</t>
    </r>
    <r>
      <rPr>
        <sz val="11"/>
        <color rgb="FF000000"/>
        <rFont val="Calibri"/>
      </rPr>
      <t>snmp-server user disaRW RWgroup v3</t>
    </r>
    <r>
      <rPr>
        <sz val="11"/>
        <color rgb="FF000000"/>
        <rFont val="Calibri"/>
      </rPr>
      <t xml:space="preserve">
</t>
    </r>
    <r>
      <rPr>
        <sz val="11"/>
        <color rgb="FF000000"/>
        <rFont val="Calibri"/>
      </rPr>
      <t>snmp-server host 10.1.1.1 version 3 priv disaRW</t>
    </r>
    <r>
      <rPr>
        <sz val="11"/>
        <color rgb="FF000000"/>
        <rFont val="Calibri"/>
      </rPr>
      <t xml:space="preserve">
</t>
    </r>
    <r>
      <rPr>
        <sz val="11"/>
        <color rgb="FF000000"/>
        <rFont val="Calibri"/>
      </rPr>
      <t>snmp-server host 10.2.2.2 version 3 noauth disaRW</t>
    </r>
    <r>
      <rPr>
        <sz val="11"/>
        <color rgb="FF000000"/>
        <rFont val="Calibri"/>
      </rPr>
      <t xml:space="preserve">
</t>
    </r>
    <r>
      <rPr>
        <sz val="11"/>
        <color rgb="FF000000"/>
        <rFont val="Calibri"/>
      </rPr>
      <t>snmp-server host 10.3.3.3 version 3 noauth disaRW</t>
    </r>
    <r>
      <rPr>
        <sz val="11"/>
        <color rgb="FF000000"/>
        <rFont val="Calibri"/>
      </rPr>
      <t xml:space="preserve">
</t>
    </r>
    <r>
      <rPr>
        <sz val="11"/>
        <color rgb="FF000000"/>
        <rFont val="Calibri"/>
      </rPr>
      <t>snmp-server host 127.0.0.1 version 3 noauth auth</t>
    </r>
    <r>
      <rPr>
        <sz val="11"/>
        <color rgb="FF000000"/>
        <rFont val="Calibri"/>
      </rPr>
      <t xml:space="preserve">
</t>
    </r>
    <r>
      <rPr>
        <sz val="11"/>
        <color rgb="FF000000"/>
        <rFont val="Calibri"/>
      </rPr>
      <t>snmp-server host 172.22.29.82 version 3 noauth disaRW</t>
    </r>
    <r>
      <rPr>
        <sz val="11"/>
        <color rgb="FF000000"/>
        <rFont val="Calibri"/>
      </rPr>
      <t xml:space="preserve">
</t>
    </r>
    <r>
      <rPr>
        <sz val="11"/>
        <color rgb="FF000000"/>
        <rFont val="Calibri"/>
      </rPr>
      <t>snmp-server enable traps</t>
    </r>
  </si>
  <si>
    <r>
      <rPr>
        <sz val="11"/>
        <color rgb="FF000000"/>
        <rFont val="Calibri"/>
      </rPr>
      <t>Only authorized personnel should be aware of errors and the details of the errors. Error messages are an indicator of an organization's operational state. Additionally, sensitive account information must not be revealed through error messages to unauthorized personnel or their designated representatives.</t>
    </r>
  </si>
  <si>
    <r>
      <rPr>
        <sz val="11"/>
        <color rgb="FF000000"/>
        <rFont val="Calibri"/>
      </rPr>
      <t>Determine if the network device is configured to reveal error messages only to authorized individuals. This requirement may be verified by demonstration or configuration review. This requirement can be met by a central audit server if the network device is configured to send audit logs to that audit server.</t>
    </r>
    <r>
      <rPr>
        <sz val="11"/>
        <color rgb="FF000000"/>
        <rFont val="Calibri"/>
      </rPr>
      <t xml:space="preserve">
</t>
    </r>
    <r>
      <rPr>
        <sz val="11"/>
        <color rgb="FF000000"/>
        <rFont val="Calibri"/>
      </rPr>
      <t>If the network device reveals error messages to any unauthorized individuals, this is a finding.</t>
    </r>
    <r>
      <rPr>
        <sz val="11"/>
        <color rgb="FF000000"/>
        <rFont val="Calibri"/>
      </rPr>
      <t xml:space="preserve">
</t>
    </r>
    <r>
      <rPr>
        <sz val="11"/>
        <color rgb="FF000000"/>
        <rFont val="Calibri"/>
      </rPr>
      <t>This is a function of SNMP Traps. Verify the SNMP configuration is present in the output of the "show running-config" command and that SNMP is active via the "show snmp" command.</t>
    </r>
  </si>
  <si>
    <t>V-60861</t>
  </si>
  <si>
    <r>
      <rPr>
        <sz val="11"/>
        <rFont val="Calibri"/>
      </rPr>
      <t>The Arista Multilayer Switch must activate a system alert message, send an alarm, and/or automatically shut down when a component failure is detected.</t>
    </r>
  </si>
  <si>
    <r>
      <rPr>
        <sz val="11"/>
        <color rgb="FF000000"/>
        <rFont val="Calibri"/>
      </rPr>
      <t>Configure the network device to activate a system alert message, send an alarm, and/or automatically shut down when a component failure is detected.</t>
    </r>
    <r>
      <rPr>
        <sz val="11"/>
        <color rgb="FF000000"/>
        <rFont val="Calibri"/>
      </rPr>
      <t xml:space="preserve">
</t>
    </r>
    <r>
      <rPr>
        <sz val="11"/>
        <color rgb="FF000000"/>
        <rFont val="Calibri"/>
      </rPr>
      <t>SNMP is used to fulfill this function. An example SNMP configuration is provided below. To configure SNMP according to site-specific policies and procedures, refer to the Arista Configuration Guide, Chapter 37.</t>
    </r>
    <r>
      <rPr>
        <sz val="11"/>
        <color rgb="FF000000"/>
        <rFont val="Calibri"/>
      </rPr>
      <t xml:space="preserve">
</t>
    </r>
    <r>
      <rPr>
        <sz val="11"/>
        <color rgb="FF000000"/>
        <rFont val="Calibri"/>
      </rPr>
      <t xml:space="preserve">snmp-server engineID local </t>
    </r>
    <r>
      <rPr>
        <sz val="11"/>
        <color rgb="FF000000"/>
        <rFont val="Calibri"/>
      </rPr>
      <t xml:space="preserve">
</t>
    </r>
    <r>
      <rPr>
        <sz val="11"/>
        <color rgb="FF000000"/>
        <rFont val="Calibri"/>
      </rPr>
      <t>snmp-server view snmpview system included</t>
    </r>
    <r>
      <rPr>
        <sz val="11"/>
        <color rgb="FF000000"/>
        <rFont val="Calibri"/>
      </rPr>
      <t xml:space="preserve">
</t>
    </r>
    <r>
      <rPr>
        <sz val="11"/>
        <color rgb="FF000000"/>
        <rFont val="Calibri"/>
      </rPr>
      <t>snmp-server group ROgroup v3 priv read snmpview</t>
    </r>
    <r>
      <rPr>
        <sz val="11"/>
        <color rgb="FF000000"/>
        <rFont val="Calibri"/>
      </rPr>
      <t xml:space="preserve">
</t>
    </r>
    <r>
      <rPr>
        <sz val="11"/>
        <color rgb="FF000000"/>
        <rFont val="Calibri"/>
      </rPr>
      <t>snmp-server group RWgroup v3 priv write snmpview</t>
    </r>
    <r>
      <rPr>
        <sz val="11"/>
        <color rgb="FF000000"/>
        <rFont val="Calibri"/>
      </rPr>
      <t xml:space="preserve">
</t>
    </r>
    <r>
      <rPr>
        <sz val="11"/>
        <color rgb="FF000000"/>
        <rFont val="Calibri"/>
      </rPr>
      <t>snmp-server user disa ROgroup v3</t>
    </r>
    <r>
      <rPr>
        <sz val="11"/>
        <color rgb="FF000000"/>
        <rFont val="Calibri"/>
      </rPr>
      <t xml:space="preserve">
</t>
    </r>
    <r>
      <rPr>
        <sz val="11"/>
        <color rgb="FF000000"/>
        <rFont val="Calibri"/>
      </rPr>
      <t>snmp-server user disaRW RWgroup v3</t>
    </r>
    <r>
      <rPr>
        <sz val="11"/>
        <color rgb="FF000000"/>
        <rFont val="Calibri"/>
      </rPr>
      <t xml:space="preserve">
</t>
    </r>
    <r>
      <rPr>
        <sz val="11"/>
        <color rgb="FF000000"/>
        <rFont val="Calibri"/>
      </rPr>
      <t>snmp-server host 10.1.1.1 version 3 priv disaRW</t>
    </r>
    <r>
      <rPr>
        <sz val="11"/>
        <color rgb="FF000000"/>
        <rFont val="Calibri"/>
      </rPr>
      <t xml:space="preserve">
</t>
    </r>
    <r>
      <rPr>
        <sz val="11"/>
        <color rgb="FF000000"/>
        <rFont val="Calibri"/>
      </rPr>
      <t>snmp-server host 10.2.2.2 version 3 noauth disaRW</t>
    </r>
    <r>
      <rPr>
        <sz val="11"/>
        <color rgb="FF000000"/>
        <rFont val="Calibri"/>
      </rPr>
      <t xml:space="preserve">
</t>
    </r>
    <r>
      <rPr>
        <sz val="11"/>
        <color rgb="FF000000"/>
        <rFont val="Calibri"/>
      </rPr>
      <t>snmp-server host 10.3.3.3 version 3 noauth disaRW</t>
    </r>
    <r>
      <rPr>
        <sz val="11"/>
        <color rgb="FF000000"/>
        <rFont val="Calibri"/>
      </rPr>
      <t xml:space="preserve">
</t>
    </r>
    <r>
      <rPr>
        <sz val="11"/>
        <color rgb="FF000000"/>
        <rFont val="Calibri"/>
      </rPr>
      <t>snmp-server host 127.0.0.1 version 3 noauth auth</t>
    </r>
    <r>
      <rPr>
        <sz val="11"/>
        <color rgb="FF000000"/>
        <rFont val="Calibri"/>
      </rPr>
      <t xml:space="preserve">
</t>
    </r>
    <r>
      <rPr>
        <sz val="11"/>
        <color rgb="FF000000"/>
        <rFont val="Calibri"/>
      </rPr>
      <t>snmp-server host 172.22.29.82 version 3 noauth disaRW</t>
    </r>
    <r>
      <rPr>
        <sz val="11"/>
        <color rgb="FF000000"/>
        <rFont val="Calibri"/>
      </rPr>
      <t xml:space="preserve">
</t>
    </r>
    <r>
      <rPr>
        <sz val="11"/>
        <color rgb="FF000000"/>
        <rFont val="Calibri"/>
      </rPr>
      <t>snmp-server enable traps</t>
    </r>
  </si>
  <si>
    <r>
      <rPr>
        <sz val="11"/>
        <color rgb="FF000000"/>
        <rFont val="Calibri"/>
      </rPr>
      <t>Predictable failure prevention requires organizational planning to address device failure issues. If components key to maintaining the device's security fail to function, the device could continue operating in an insecure state. If appropriate actions are not taken when a network device failure occurs, a denial of service condition may occur that could result in mission failure since the network would be operating without a critical security monitoring and prevention function. Upon detecting a failure of network device security components, the network device must activate a system alert message, send an alarm, or shut down.</t>
    </r>
  </si>
  <si>
    <r>
      <rPr>
        <sz val="11"/>
        <color rgb="FF000000"/>
        <rFont val="Calibri"/>
      </rPr>
      <t xml:space="preserve">Determine if the network device activates a system alert message, sends an alarm, and/or automatically shuts down when a component failure is detected. This requirement may be verified by demonstration or configuration review. </t>
    </r>
    <r>
      <rPr>
        <sz val="11"/>
        <color rgb="FF000000"/>
        <rFont val="Calibri"/>
      </rPr>
      <t xml:space="preserve">
</t>
    </r>
    <r>
      <rPr>
        <sz val="11"/>
        <color rgb="FF000000"/>
        <rFont val="Calibri"/>
      </rPr>
      <t>If the network device does not activate a system alert message, send an alarm, or automatically shut down when a component failure is detected, this is a finding.</t>
    </r>
    <r>
      <rPr>
        <sz val="11"/>
        <color rgb="FF000000"/>
        <rFont val="Calibri"/>
      </rPr>
      <t xml:space="preserve">
</t>
    </r>
    <r>
      <rPr>
        <sz val="11"/>
        <color rgb="FF000000"/>
        <rFont val="Calibri"/>
      </rPr>
      <t>This is a function of SNMP Traps. Verify the SNMP configuration is present in the output of the "show running-config" command and that SNMP is active via the "show snmp" command.</t>
    </r>
  </si>
  <si>
    <t>V-60863</t>
  </si>
  <si>
    <r>
      <rPr>
        <sz val="11"/>
        <rFont val="Calibri"/>
      </rPr>
      <t>The Arista Multilayer Switch must synchronize internal information system clocks to the authoritative time source when the time difference is greater than the organization-defined time period.</t>
    </r>
  </si>
  <si>
    <r>
      <rPr>
        <sz val="11"/>
        <color rgb="FF000000"/>
        <rFont val="Calibri"/>
      </rPr>
      <t>Configure the network device to synchronize internal information system clocks to the authoritative time source when the time difference is greater than the organization-defined time period.</t>
    </r>
    <r>
      <rPr>
        <sz val="11"/>
        <color rgb="FF000000"/>
        <rFont val="Calibri"/>
      </rPr>
      <t xml:space="preserve">
</t>
    </r>
    <r>
      <rPr>
        <sz val="11"/>
        <color rgb="FF000000"/>
        <rFont val="Calibri"/>
      </rPr>
      <t>Configuration Example:</t>
    </r>
    <r>
      <rPr>
        <sz val="11"/>
        <color rgb="FF000000"/>
        <rFont val="Calibri"/>
      </rPr>
      <t xml:space="preserve">
</t>
    </r>
    <r>
      <rPr>
        <sz val="11"/>
        <color rgb="FF000000"/>
        <rFont val="Calibri"/>
      </rPr>
      <t>switch(config)#ntp server HOST</t>
    </r>
    <r>
      <rPr>
        <sz val="11"/>
        <color rgb="FF000000"/>
        <rFont val="Calibri"/>
      </rPr>
      <t xml:space="preserve">
</t>
    </r>
    <r>
      <rPr>
        <sz val="11"/>
        <color rgb="FF000000"/>
        <rFont val="Calibri"/>
      </rPr>
      <t>switch(config)#ntp server HOST prefer</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</si>
  <si>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 Organizations should also consider endpoints that may not have regular access to the authoritative time server (e.g., mobile, teleworking, and tactical endpoints). This requirement is related to the comparison done every 24 hours in CCI-001891 because a comparison must be done in order to determine the time difference.</t>
    </r>
    <r>
      <rPr>
        <sz val="11"/>
        <color rgb="FF000000"/>
        <rFont val="Calibri"/>
      </rPr>
      <t xml:space="preserve">
</t>
    </r>
    <r>
      <rPr>
        <sz val="11"/>
        <color rgb="FF000000"/>
        <rFont val="Calibri"/>
      </rPr>
      <t>The organization-defined time period will depend on multiple factors, most notably the granularity of time stamps in audit logs. For example, if time stamps only show to the nearest second, there is no need to have accuracy of a tenth of a second in clocks.</t>
    </r>
  </si>
  <si>
    <r>
      <rPr>
        <sz val="11"/>
        <color rgb="FF000000"/>
        <rFont val="Calibri"/>
      </rPr>
      <t xml:space="preserve">Check the network device configuration to determine if the device synchronizes internal information system clocks to the authoritative time source when the time difference is greater than the organization-defined time period. </t>
    </r>
    <r>
      <rPr>
        <sz val="11"/>
        <color rgb="FF000000"/>
        <rFont val="Calibri"/>
      </rPr>
      <t xml:space="preserve">
</t>
    </r>
    <r>
      <rPr>
        <sz val="11"/>
        <color rgb="FF000000"/>
        <rFont val="Calibri"/>
      </rPr>
      <t>If this synchronization is not occurring when the time difference is greater than the organization-defined time period, this is a finding.</t>
    </r>
    <r>
      <rPr>
        <sz val="11"/>
        <color rgb="FF000000"/>
        <rFont val="Calibri"/>
      </rPr>
      <t xml:space="preserve">
</t>
    </r>
    <r>
      <rPr>
        <sz val="11"/>
        <color rgb="FF000000"/>
        <rFont val="Calibri"/>
      </rPr>
      <t>Verify with the "show NTP status" command, which shows the state of device synchronization.</t>
    </r>
  </si>
  <si>
    <t>V-60865</t>
  </si>
  <si>
    <r>
      <rPr>
        <sz val="11"/>
        <rFont val="Calibri"/>
      </rPr>
      <t>The Arista Multilayer Switch must be configured to synchronize internal information system clocks with the primary and secondary time sources located in different geographic regions using redundant authoritative time sources.</t>
    </r>
  </si>
  <si>
    <r>
      <rPr>
        <sz val="11"/>
        <color rgb="FF000000"/>
        <rFont val="Calibri"/>
      </rPr>
      <t>Configure the network device to synchronize internal information system clocks with the primary and secondary time sources located in different geographic regions using redundant authoritative time sources.</t>
    </r>
    <r>
      <rPr>
        <sz val="11"/>
        <color rgb="FF000000"/>
        <rFont val="Calibri"/>
      </rPr>
      <t xml:space="preserve">
</t>
    </r>
    <r>
      <rPr>
        <sz val="11"/>
        <color rgb="FF000000"/>
        <rFont val="Calibri"/>
      </rPr>
      <t xml:space="preserve">Configuration Example: </t>
    </r>
    <r>
      <rPr>
        <sz val="11"/>
        <color rgb="FF000000"/>
        <rFont val="Calibri"/>
      </rPr>
      <t xml:space="preserve">
</t>
    </r>
    <r>
      <rPr>
        <sz val="11"/>
        <color rgb="FF000000"/>
        <rFont val="Calibri"/>
      </rPr>
      <t>switch(config)#ntp server HOST</t>
    </r>
    <r>
      <rPr>
        <sz val="11"/>
        <color rgb="FF000000"/>
        <rFont val="Calibri"/>
      </rPr>
      <t xml:space="preserve">
</t>
    </r>
    <r>
      <rPr>
        <sz val="11"/>
        <color rgb="FF000000"/>
        <rFont val="Calibri"/>
      </rPr>
      <t>switch(config)#ntp server HOST prefer</t>
    </r>
  </si>
  <si>
    <r>
      <rPr>
        <sz val="11"/>
        <color rgb="FF000000"/>
        <rFont val="Calibri"/>
      </rPr>
      <t>The loss of connectivity to a particular authoritative time source will result in the loss of time synchronization (free-run mode) and increasingly inaccurate time stamps on audit events and other functions.</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</si>
  <si>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Determine if the network device is configured to synchronize internal information system clocks with the primary and secondary time sources located in different geographic regions using redundant authoritative time sources.</t>
    </r>
    <r>
      <rPr>
        <sz val="11"/>
        <color rgb="FF000000"/>
        <rFont val="Calibri"/>
      </rPr>
      <t xml:space="preserve">
</t>
    </r>
    <r>
      <rPr>
        <sz val="11"/>
        <color rgb="FF000000"/>
        <rFont val="Calibri"/>
      </rPr>
      <t>If the network device is not configured to synchronize internal information system clocks with the primary and secondary time sources located in different geographic regions using redundant authoritative time sources, this is a finding.</t>
    </r>
    <r>
      <rPr>
        <sz val="11"/>
        <color rgb="FF000000"/>
        <rFont val="Calibri"/>
      </rPr>
      <t xml:space="preserve">
</t>
    </r>
    <r>
      <rPr>
        <sz val="11"/>
        <color rgb="FF000000"/>
        <rFont val="Calibri"/>
      </rPr>
      <t xml:space="preserve">Verify with: </t>
    </r>
    <r>
      <rPr>
        <sz val="11"/>
        <color rgb="FF000000"/>
        <rFont val="Calibri"/>
      </rPr>
      <t xml:space="preserve">
</t>
    </r>
    <r>
      <rPr>
        <sz val="11"/>
        <color rgb="FF000000"/>
        <rFont val="Calibri"/>
      </rPr>
      <t xml:space="preserve">switch#show NTP status </t>
    </r>
    <r>
      <rPr>
        <sz val="11"/>
        <color rgb="FF000000"/>
        <rFont val="Calibri"/>
      </rPr>
      <t xml:space="preserve">
</t>
    </r>
    <r>
      <rPr>
        <sz val="11"/>
        <color rgb="FF000000"/>
        <rFont val="Calibri"/>
      </rPr>
      <t>Identify the NTP status and available time sources.</t>
    </r>
  </si>
  <si>
    <t>V-60867</t>
  </si>
  <si>
    <r>
      <rPr>
        <sz val="11"/>
        <rFont val="Calibri"/>
      </rPr>
      <t>The Arista Multilayer Switch must record time stamps for audit records that can be mapped to Coordinated Universal Time (UTC) or Greenwich Mean Time (GMT).</t>
    </r>
  </si>
  <si>
    <r>
      <rPr>
        <sz val="11"/>
        <color rgb="FF000000"/>
        <rFont val="Calibri"/>
      </rPr>
      <t>Configure the network device to record time stamps for audit records that can be mapped to Coordinated Universal Time (UTC) or Greenwich Mean Time (GMT).</t>
    </r>
    <r>
      <rPr>
        <sz val="11"/>
        <color rgb="FF000000"/>
        <rFont val="Calibri"/>
      </rPr>
      <t xml:space="preserve">
</t>
    </r>
    <r>
      <rPr>
        <sz val="11"/>
        <color rgb="FF000000"/>
        <rFont val="Calibri"/>
      </rPr>
      <t>This can be configured with the following command:</t>
    </r>
    <r>
      <rPr>
        <sz val="11"/>
        <color rgb="FF000000"/>
        <rFont val="Calibri"/>
      </rPr>
      <t xml:space="preserve">
</t>
    </r>
    <r>
      <rPr>
        <sz val="11"/>
        <color rgb="FF000000"/>
        <rFont val="Calibri"/>
      </rPr>
      <t>clock timezone GMT</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</si>
  <si>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 or local time with an offset from UTC.</t>
    </r>
  </si>
  <si>
    <r>
      <rPr>
        <sz val="11"/>
        <color rgb="FF000000"/>
        <rFont val="Calibri"/>
      </rPr>
      <t>Determine if the network device records time stamps for audit records that can be mapped to Coordinated Universal Time (UTC) or Greenwich Mean Time (GMT). This requirement may be verified by demonstration or configuration review.</t>
    </r>
    <r>
      <rPr>
        <sz val="11"/>
        <color rgb="FF000000"/>
        <rFont val="Calibri"/>
      </rPr>
      <t xml:space="preserve">
</t>
    </r>
    <r>
      <rPr>
        <sz val="11"/>
        <color rgb="FF000000"/>
        <rFont val="Calibri"/>
      </rPr>
      <t>If the network device does not record time stamps for audit records that can be mapped to Coordinated Universal Time (UTC) or Greenwich Mean Time (GMT), this is a finding.</t>
    </r>
    <r>
      <rPr>
        <sz val="11"/>
        <color rgb="FF000000"/>
        <rFont val="Calibri"/>
      </rPr>
      <t xml:space="preserve">
</t>
    </r>
    <r>
      <rPr>
        <sz val="11"/>
        <color rgb="FF000000"/>
        <rFont val="Calibri"/>
      </rPr>
      <t>This can be configured with the following command:</t>
    </r>
    <r>
      <rPr>
        <sz val="11"/>
        <color rgb="FF000000"/>
        <rFont val="Calibri"/>
      </rPr>
      <t xml:space="preserve">
</t>
    </r>
    <r>
      <rPr>
        <sz val="11"/>
        <color rgb="FF000000"/>
        <rFont val="Calibri"/>
      </rPr>
      <t>clock timezone GMT</t>
    </r>
    <r>
      <rPr>
        <sz val="11"/>
        <color rgb="FF000000"/>
        <rFont val="Calibri"/>
      </rPr>
      <t xml:space="preserve">
</t>
    </r>
    <r>
      <rPr>
        <sz val="11"/>
        <color rgb="FF000000"/>
        <rFont val="Calibri"/>
      </rPr>
      <t xml:space="preserve">and verified by </t>
    </r>
    <r>
      <rPr>
        <sz val="11"/>
        <color rgb="FF000000"/>
        <rFont val="Calibri"/>
      </rPr>
      <t xml:space="preserve">
</t>
    </r>
    <r>
      <rPr>
        <sz val="11"/>
        <color rgb="FF000000"/>
        <rFont val="Calibri"/>
      </rPr>
      <t>show run section clock</t>
    </r>
    <r>
      <rPr>
        <sz val="11"/>
        <color rgb="FF000000"/>
        <rFont val="Calibri"/>
      </rPr>
      <t xml:space="preserve">
</t>
    </r>
    <r>
      <rPr>
        <sz val="11"/>
        <color rgb="FF000000"/>
        <rFont val="Calibri"/>
      </rPr>
      <t>Log records can be validated with:</t>
    </r>
    <r>
      <rPr>
        <sz val="11"/>
        <color rgb="FF000000"/>
        <rFont val="Calibri"/>
      </rPr>
      <t xml:space="preserve">
</t>
    </r>
    <r>
      <rPr>
        <sz val="11"/>
        <color rgb="FF000000"/>
        <rFont val="Calibri"/>
      </rPr>
      <t>show logging</t>
    </r>
  </si>
  <si>
    <t>V-60869</t>
  </si>
  <si>
    <r>
      <rPr>
        <sz val="11"/>
        <rFont val="Calibri"/>
      </rPr>
      <t>Arista Multilayer Switches used for nonlocal maintenance sessions must implement cryptographic mechanisms to protect the integrity of nonlocal maintenance and diagnostic communications.</t>
    </r>
  </si>
  <si>
    <r>
      <rPr>
        <sz val="11"/>
        <color rgb="FF000000"/>
        <rFont val="Calibri"/>
      </rPr>
      <t>Configure the network device to use secure protocols instead of their unsecured counterparts.</t>
    </r>
    <r>
      <rPr>
        <sz val="11"/>
        <color rgb="FF000000"/>
        <rFont val="Calibri"/>
      </rPr>
      <t xml:space="preserve">
</t>
    </r>
    <r>
      <rPr>
        <sz val="11"/>
        <color rgb="FF000000"/>
        <rFont val="Calibri"/>
      </rPr>
      <t xml:space="preserve">Configuration Example: </t>
    </r>
    <r>
      <rPr>
        <sz val="11"/>
        <color rgb="FF000000"/>
        <rFont val="Calibri"/>
      </rPr>
      <t xml:space="preserve">
</t>
    </r>
    <r>
      <rPr>
        <sz val="11"/>
        <color rgb="FF000000"/>
        <rFont val="Calibri"/>
      </rPr>
      <t>Disable unsecure protocols.</t>
    </r>
    <r>
      <rPr>
        <sz val="11"/>
        <color rgb="FF000000"/>
        <rFont val="Calibri"/>
      </rPr>
      <t xml:space="preserve">
</t>
    </r>
    <r>
      <rPr>
        <sz val="11"/>
        <color rgb="FF000000"/>
        <rFont val="Calibri"/>
      </rPr>
      <t>configure</t>
    </r>
    <r>
      <rPr>
        <sz val="11"/>
        <color rgb="FF000000"/>
        <rFont val="Calibri"/>
      </rPr>
      <t xml:space="preserve">
</t>
    </r>
    <r>
      <rPr>
        <sz val="11"/>
        <color rgb="FF000000"/>
        <rFont val="Calibri"/>
      </rPr>
      <t>management telnet</t>
    </r>
    <r>
      <rPr>
        <sz val="11"/>
        <color rgb="FF000000"/>
        <rFont val="Calibri"/>
      </rPr>
      <t xml:space="preserve">
</t>
    </r>
    <r>
      <rPr>
        <sz val="11"/>
        <color rgb="FF000000"/>
        <rFont val="Calibri"/>
      </rPr>
      <t>shutdown</t>
    </r>
    <r>
      <rPr>
        <sz val="11"/>
        <color rgb="FF000000"/>
        <rFont val="Calibri"/>
      </rPr>
      <t xml:space="preserve">
</t>
    </r>
    <r>
      <rPr>
        <sz val="11"/>
        <color rgb="FF000000"/>
        <rFont val="Calibri"/>
      </rPr>
      <t>exit</t>
    </r>
    <r>
      <rPr>
        <sz val="11"/>
        <color rgb="FF000000"/>
        <rFont val="Calibri"/>
      </rPr>
      <t xml:space="preserve">
</t>
    </r>
    <r>
      <rPr>
        <sz val="11"/>
        <color rgb="FF000000"/>
        <rFont val="Calibri"/>
      </rPr>
      <t>management api http-commands</t>
    </r>
    <r>
      <rPr>
        <sz val="11"/>
        <color rgb="FF000000"/>
        <rFont val="Calibri"/>
      </rPr>
      <t xml:space="preserve">
</t>
    </r>
    <r>
      <rPr>
        <sz val="11"/>
        <color rgb="FF000000"/>
        <rFont val="Calibri"/>
      </rPr>
      <t>no protocol http</t>
    </r>
    <r>
      <rPr>
        <sz val="11"/>
        <color rgb="FF000000"/>
        <rFont val="Calibri"/>
      </rPr>
      <t xml:space="preserve">
</t>
    </r>
    <r>
      <rPr>
        <sz val="11"/>
        <color rgb="FF000000"/>
        <rFont val="Calibri"/>
      </rPr>
      <t>protocol https</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Other protocols (FTP) can be denied using AAA and RBAC. For connections that require use of these maintenance protocols, creation of SSH tunnels can fulfill this security requirement. This is summarized here and available at length in the Common Criteria guidance document.</t>
    </r>
    <r>
      <rPr>
        <sz val="11"/>
        <color rgb="FF000000"/>
        <rFont val="Calibri"/>
      </rPr>
      <t xml:space="preserve">
</t>
    </r>
    <r>
      <rPr>
        <sz val="11"/>
        <color rgb="FF000000"/>
        <rFont val="Calibri"/>
      </rPr>
      <t xml:space="preserve">Configuration Example: </t>
    </r>
    <r>
      <rPr>
        <sz val="11"/>
        <color rgb="FF000000"/>
        <rFont val="Calibri"/>
      </rPr>
      <t xml:space="preserve">
</t>
    </r>
    <r>
      <rPr>
        <sz val="11"/>
        <color rgb="FF000000"/>
        <rFont val="Calibri"/>
      </rPr>
      <t>management ssh</t>
    </r>
    <r>
      <rPr>
        <sz val="11"/>
        <color rgb="FF000000"/>
        <rFont val="Calibri"/>
      </rPr>
      <t xml:space="preserve">
</t>
    </r>
    <r>
      <rPr>
        <sz val="11"/>
        <color rgb="FF000000"/>
        <rFont val="Calibri"/>
      </rPr>
      <t>tunnel NEW</t>
    </r>
    <r>
      <rPr>
        <sz val="11"/>
        <color rgb="FF000000"/>
        <rFont val="Calibri"/>
      </rPr>
      <t xml:space="preserve">
</t>
    </r>
    <r>
      <rPr>
        <sz val="11"/>
        <color rgb="FF000000"/>
        <rFont val="Calibri"/>
      </rPr>
      <t>local port 514</t>
    </r>
    <r>
      <rPr>
        <sz val="11"/>
        <color rgb="FF000000"/>
        <rFont val="Calibri"/>
      </rPr>
      <t xml:space="preserve">
</t>
    </r>
    <r>
      <rPr>
        <sz val="11"/>
        <color rgb="FF000000"/>
        <rFont val="Calibri"/>
      </rPr>
      <t>ssh-server syslogServer user authuser port 22</t>
    </r>
    <r>
      <rPr>
        <sz val="11"/>
        <color rgb="FF000000"/>
        <rFont val="Calibri"/>
      </rPr>
      <t xml:space="preserve">
</t>
    </r>
    <r>
      <rPr>
        <sz val="11"/>
        <color rgb="FF000000"/>
        <rFont val="Calibri"/>
      </rPr>
      <t>remote host localhost port 514</t>
    </r>
    <r>
      <rPr>
        <sz val="11"/>
        <color rgb="FF000000"/>
        <rFont val="Calibri"/>
      </rPr>
      <t xml:space="preserve">
</t>
    </r>
    <r>
      <rPr>
        <sz val="11"/>
        <color rgb="FF000000"/>
        <rFont val="Calibri"/>
      </rPr>
      <t>no shutdown</t>
    </r>
  </si>
  <si>
    <r>
      <rPr>
        <sz val="11"/>
        <color rgb="FF000000"/>
        <rFont val="Calibri"/>
      </rPr>
      <t>This requires the use of secure protocols instead of their unsecured counterparts, such as SSH instead of telnet, SCP instead of FTP, and HTTPS instead of HTTP.</t>
    </r>
  </si>
  <si>
    <r>
      <rPr>
        <sz val="11"/>
        <color rgb="FF000000"/>
        <rFont val="Calibri"/>
      </rPr>
      <t xml:space="preserve">Determine if the network device uses secure protocols instead of their unsecured counterparts. </t>
    </r>
    <r>
      <rPr>
        <sz val="11"/>
        <color rgb="FF000000"/>
        <rFont val="Calibri"/>
      </rPr>
      <t xml:space="preserve">
</t>
    </r>
    <r>
      <rPr>
        <sz val="11"/>
        <color rgb="FF000000"/>
        <rFont val="Calibri"/>
      </rPr>
      <t>If any unsecured maintenance protocols are in use (e.g., telnet, FTP, HTTP) and these protocols are not wrapped in a secure tunnel, this is a finding.</t>
    </r>
    <r>
      <rPr>
        <sz val="11"/>
        <color rgb="FF000000"/>
        <rFont val="Calibri"/>
      </rPr>
      <t xml:space="preserve">
</t>
    </r>
    <r>
      <rPr>
        <sz val="11"/>
        <color rgb="FF000000"/>
        <rFont val="Calibri"/>
      </rPr>
      <t>Validate by checking that unsecure protocols are either disabled or wrapped in SSH tunnels.</t>
    </r>
    <r>
      <rPr>
        <sz val="11"/>
        <color rgb="FF000000"/>
        <rFont val="Calibri"/>
      </rPr>
      <t xml:space="preserve">
</t>
    </r>
    <r>
      <rPr>
        <sz val="11"/>
        <color rgb="FF000000"/>
        <rFont val="Calibri"/>
      </rPr>
      <t>Executing a "show run" command will provide a means to validate this config. From the output of this command, verify that there is no statement enabling telnet, there is no statement enabling FTP, and there is no statement enabling the API, or the API is configured to use only HTTPS.</t>
    </r>
  </si>
  <si>
    <t>V-60871</t>
  </si>
  <si>
    <r>
      <rPr>
        <sz val="11"/>
        <rFont val="Calibri"/>
      </rPr>
      <t>Arista Multilayer Switches used for nonlocal maintenance sessions must implement cryptographic mechanisms to protect the confidentiality of nonlocal maintenance and diagnostic communications.</t>
    </r>
  </si>
  <si>
    <r>
      <rPr>
        <sz val="11"/>
        <color rgb="FF000000"/>
        <rFont val="Calibri"/>
      </rPr>
      <t>Determine if the network device uses secure protocols instead of their unsecured counterparts.</t>
    </r>
    <r>
      <rPr>
        <sz val="11"/>
        <color rgb="FF000000"/>
        <rFont val="Calibri"/>
      </rPr>
      <t xml:space="preserve">
</t>
    </r>
    <r>
      <rPr>
        <sz val="11"/>
        <color rgb="FF000000"/>
        <rFont val="Calibri"/>
      </rPr>
      <t>If any unsecured maintenance protocols are in use (e.g., telnet, FTP, HTTP) and these protocols are not wrapped in a secure tunnel, this is a finding.</t>
    </r>
    <r>
      <rPr>
        <sz val="11"/>
        <color rgb="FF000000"/>
        <rFont val="Calibri"/>
      </rPr>
      <t xml:space="preserve">
</t>
    </r>
    <r>
      <rPr>
        <sz val="11"/>
        <color rgb="FF000000"/>
        <rFont val="Calibri"/>
      </rPr>
      <t>Validate by checking that unsecure protocols are either disabled or wrapped in SSH tunnels.</t>
    </r>
    <r>
      <rPr>
        <sz val="11"/>
        <color rgb="FF000000"/>
        <rFont val="Calibri"/>
      </rPr>
      <t xml:space="preserve">
</t>
    </r>
    <r>
      <rPr>
        <sz val="11"/>
        <color rgb="FF000000"/>
        <rFont val="Calibri"/>
      </rPr>
      <t>Executing a "show run" command will provide a means to validate this config. From the output of this command, verify that there is no statement enabling telnet, no statement enabling FTP, no statement enabling HTTP, and no statement enabling the API, or the API is configured to use only HTTPS.</t>
    </r>
  </si>
  <si>
    <t>V-60873</t>
  </si>
  <si>
    <r>
      <rPr>
        <sz val="11"/>
        <rFont val="Calibri"/>
      </rPr>
      <t>The Arista Multilayer Switch must generate audit records for privileged activities or other system-level access.</t>
    </r>
  </si>
  <si>
    <r>
      <rPr>
        <sz val="11"/>
        <color rgb="FF000000"/>
        <rFont val="Calibri"/>
      </rPr>
      <t>Configure the network device to generate audit records for privileged activities or other system-level access.</t>
    </r>
    <r>
      <rPr>
        <sz val="11"/>
        <color rgb="FF000000"/>
        <rFont val="Calibri"/>
      </rPr>
      <t xml:space="preserve">
</t>
    </r>
    <r>
      <rPr>
        <sz val="11"/>
        <color rgb="FF000000"/>
        <rFont val="Calibri"/>
      </rPr>
      <t>aaa accounting commands all default start-stop</t>
    </r>
    <r>
      <rPr>
        <sz val="11"/>
        <color rgb="FF000000"/>
        <rFont val="Calibri"/>
      </rPr>
      <t xml:space="preserve">
</t>
    </r>
    <r>
      <rPr>
        <sz val="11"/>
        <color rgb="FF000000"/>
        <rFont val="Calibri"/>
      </rPr>
      <t>aaa accounting exec default start-stop</t>
    </r>
    <r>
      <rPr>
        <sz val="11"/>
        <color rgb="FF000000"/>
        <rFont val="Calibri"/>
      </rPr>
      <t xml:space="preserve">
</t>
    </r>
    <r>
      <rPr>
        <sz val="11"/>
        <color rgb="FF000000"/>
        <rFont val="Calibri"/>
      </rPr>
      <t>aaa accounting system default start-stop</t>
    </r>
  </si>
  <si>
    <r>
      <rPr>
        <sz val="11"/>
        <color rgb="FF000000"/>
        <rFont val="Calibri"/>
      </rPr>
      <t xml:space="preserve">Determine if the network device generates audit records for privileged activities or other system-level access. </t>
    </r>
    <r>
      <rPr>
        <sz val="11"/>
        <color rgb="FF000000"/>
        <rFont val="Calibri"/>
      </rPr>
      <t xml:space="preserve">
</t>
    </r>
    <r>
      <rPr>
        <sz val="11"/>
        <color rgb="FF000000"/>
        <rFont val="Calibri"/>
      </rPr>
      <t>If the network device does not generate audit records for privileged activities or other system-level access, this is a finding.</t>
    </r>
    <r>
      <rPr>
        <sz val="11"/>
        <color rgb="FF000000"/>
        <rFont val="Calibri"/>
      </rPr>
      <t xml:space="preserve">
</t>
    </r>
    <r>
      <rPr>
        <sz val="11"/>
        <color rgb="FF000000"/>
        <rFont val="Calibri"/>
      </rPr>
      <t>Verify logging is configured to audit full-text commands.</t>
    </r>
    <r>
      <rPr>
        <sz val="11"/>
        <color rgb="FF000000"/>
        <rFont val="Calibri"/>
      </rPr>
      <t xml:space="preserve">
</t>
    </r>
    <r>
      <rPr>
        <sz val="11"/>
        <color rgb="FF000000"/>
        <rFont val="Calibri"/>
      </rPr>
      <t>Execute a "show logging" command and review the logs to verify the full text of commands is included.</t>
    </r>
  </si>
  <si>
    <t>V-60875</t>
  </si>
  <si>
    <r>
      <rPr>
        <sz val="11"/>
        <rFont val="Calibri"/>
      </rPr>
      <t>The Arista Multilayer Switch must generate audit records showing starting and ending time for administrator access to the system.</t>
    </r>
  </si>
  <si>
    <r>
      <rPr>
        <sz val="11"/>
        <color rgb="FF000000"/>
        <rFont val="Calibri"/>
      </rPr>
      <t>Configure the network device to generate audit records showing starting and ending time for administrator access to the system.</t>
    </r>
    <r>
      <rPr>
        <sz val="11"/>
        <color rgb="FF000000"/>
        <rFont val="Calibri"/>
      </rPr>
      <t xml:space="preserve">
</t>
    </r>
    <r>
      <rPr>
        <sz val="11"/>
        <color rgb="FF000000"/>
        <rFont val="Calibri"/>
      </rPr>
      <t>Enable logging level 6 to ensure this event is captured.</t>
    </r>
    <r>
      <rPr>
        <sz val="11"/>
        <color rgb="FF000000"/>
        <rFont val="Calibri"/>
      </rPr>
      <t xml:space="preserve">
</t>
    </r>
    <r>
      <rPr>
        <sz val="11"/>
        <color rgb="FF000000"/>
        <rFont val="Calibri"/>
      </rPr>
      <t>Switch(config)#logging trap 6</t>
    </r>
    <r>
      <rPr>
        <sz val="11"/>
        <color rgb="FF000000"/>
        <rFont val="Calibri"/>
      </rPr>
      <t xml:space="preserve">
</t>
    </r>
    <r>
      <rPr>
        <sz val="11"/>
        <color rgb="FF000000"/>
        <rFont val="Calibri"/>
      </rPr>
      <t>switch(config)#logging level all 6</t>
    </r>
  </si>
  <si>
    <r>
      <rPr>
        <sz val="11"/>
        <color rgb="FF000000"/>
        <rFont val="Calibri"/>
      </rPr>
      <t xml:space="preserve">Determine if the network device generates audit records showing starting and ending time for administrator access to the system. </t>
    </r>
    <r>
      <rPr>
        <sz val="11"/>
        <color rgb="FF000000"/>
        <rFont val="Calibri"/>
      </rPr>
      <t xml:space="preserve">
</t>
    </r>
    <r>
      <rPr>
        <sz val="11"/>
        <color rgb="FF000000"/>
        <rFont val="Calibri"/>
      </rPr>
      <t>If the network device does not generate audit records showing starting and ending time for administrator access to the system, this is a finding.</t>
    </r>
    <r>
      <rPr>
        <sz val="11"/>
        <color rgb="FF000000"/>
        <rFont val="Calibri"/>
      </rPr>
      <t xml:space="preserve">
</t>
    </r>
    <r>
      <rPr>
        <sz val="11"/>
        <color rgb="FF000000"/>
        <rFont val="Calibri"/>
      </rPr>
      <t>Verify by reviewing log files to show start and end times for administrator access to the system via the "show logging" command.</t>
    </r>
  </si>
  <si>
    <t>V-60877</t>
  </si>
  <si>
    <r>
      <rPr>
        <sz val="11"/>
        <rFont val="Calibri"/>
      </rPr>
      <t>The Arista Multilayer Switch must generate audit records when concurrent logons from different workstations occur.</t>
    </r>
  </si>
  <si>
    <r>
      <rPr>
        <sz val="11"/>
        <color rgb="FF000000"/>
        <rFont val="Calibri"/>
      </rPr>
      <t>Configure the network device to generate audit records when concurrent logons from different workstations occur.</t>
    </r>
    <r>
      <rPr>
        <sz val="11"/>
        <color rgb="FF000000"/>
        <rFont val="Calibri"/>
      </rPr>
      <t xml:space="preserve">
</t>
    </r>
    <r>
      <rPr>
        <sz val="11"/>
        <color rgb="FF000000"/>
        <rFont val="Calibri"/>
      </rPr>
      <t>Enable logging level 6 to ensure this event is captured.</t>
    </r>
    <r>
      <rPr>
        <sz val="11"/>
        <color rgb="FF000000"/>
        <rFont val="Calibri"/>
      </rPr>
      <t xml:space="preserve">
</t>
    </r>
    <r>
      <rPr>
        <sz val="11"/>
        <color rgb="FF000000"/>
        <rFont val="Calibri"/>
      </rPr>
      <t>Switch(config)#logging trap 6</t>
    </r>
    <r>
      <rPr>
        <sz val="11"/>
        <color rgb="FF000000"/>
        <rFont val="Calibri"/>
      </rPr>
      <t xml:space="preserve">
</t>
    </r>
    <r>
      <rPr>
        <sz val="11"/>
        <color rgb="FF000000"/>
        <rFont val="Calibri"/>
      </rPr>
      <t>switch(config)#logging level all 6</t>
    </r>
  </si>
  <si>
    <r>
      <rPr>
        <sz val="11"/>
        <color rgb="FF000000"/>
        <rFont val="Calibri"/>
      </rPr>
      <t xml:space="preserve">Determine if the network device generates audit records when concurrent logons from different workstations occur. </t>
    </r>
    <r>
      <rPr>
        <sz val="11"/>
        <color rgb="FF000000"/>
        <rFont val="Calibri"/>
      </rPr>
      <t xml:space="preserve">
</t>
    </r>
    <r>
      <rPr>
        <sz val="11"/>
        <color rgb="FF000000"/>
        <rFont val="Calibri"/>
      </rPr>
      <t>If the network device does not generate audit records when concurrent logons from different workstations occur, this is a finding.</t>
    </r>
    <r>
      <rPr>
        <sz val="11"/>
        <color rgb="FF000000"/>
        <rFont val="Calibri"/>
      </rPr>
      <t xml:space="preserve">
</t>
    </r>
    <r>
      <rPr>
        <sz val="11"/>
        <color rgb="FF000000"/>
        <rFont val="Calibri"/>
      </rPr>
      <t>Verify by reviewing log files to show concurrent logons to the system via the "Show Logging" command.</t>
    </r>
  </si>
  <si>
    <t>V-60879</t>
  </si>
  <si>
    <r>
      <rPr>
        <sz val="11"/>
        <rFont val="Calibri"/>
      </rPr>
      <t>The Arista Multilayer Switch must generate audit records for all account creations, modifications, disabling, and termination events.</t>
    </r>
  </si>
  <si>
    <r>
      <rPr>
        <sz val="11"/>
        <color rgb="FF000000"/>
        <rFont val="Calibri"/>
      </rPr>
      <t>Configure the network device to generate audit records for all account creations, modifications, disabling, and termination events.</t>
    </r>
    <r>
      <rPr>
        <sz val="11"/>
        <color rgb="FF000000"/>
        <rFont val="Calibri"/>
      </rPr>
      <t xml:space="preserve">
</t>
    </r>
    <r>
      <rPr>
        <sz val="11"/>
        <color rgb="FF000000"/>
        <rFont val="Calibri"/>
      </rPr>
      <t>Enable logging level 6 to ensure this event is captured:</t>
    </r>
    <r>
      <rPr>
        <sz val="11"/>
        <color rgb="FF000000"/>
        <rFont val="Calibri"/>
      </rPr>
      <t xml:space="preserve">
</t>
    </r>
    <r>
      <rPr>
        <sz val="11"/>
        <color rgb="FF000000"/>
        <rFont val="Calibri"/>
      </rPr>
      <t>Switch(config)#logging trap 6</t>
    </r>
    <r>
      <rPr>
        <sz val="11"/>
        <color rgb="FF000000"/>
        <rFont val="Calibri"/>
      </rPr>
      <t xml:space="preserve">
</t>
    </r>
    <r>
      <rPr>
        <sz val="11"/>
        <color rgb="FF000000"/>
        <rFont val="Calibri"/>
      </rPr>
      <t>switch(config)#logging level all 6</t>
    </r>
  </si>
  <si>
    <r>
      <rPr>
        <sz val="11"/>
        <color rgb="FF000000"/>
        <rFont val="Calibri"/>
      </rPr>
      <t xml:space="preserve">Determine if the network device generates audit records for all account creations, modifications, disabling, and termination events. </t>
    </r>
    <r>
      <rPr>
        <sz val="11"/>
        <color rgb="FF000000"/>
        <rFont val="Calibri"/>
      </rPr>
      <t xml:space="preserve">
</t>
    </r>
    <r>
      <rPr>
        <sz val="11"/>
        <color rgb="FF000000"/>
        <rFont val="Calibri"/>
      </rPr>
      <t>If the network device does not generate audit records for all account creations, modifications, disabling, and termination events, this is a finding.</t>
    </r>
    <r>
      <rPr>
        <sz val="11"/>
        <color rgb="FF000000"/>
        <rFont val="Calibri"/>
      </rPr>
      <t xml:space="preserve">
</t>
    </r>
    <r>
      <rPr>
        <sz val="11"/>
        <color rgb="FF000000"/>
        <rFont val="Calibri"/>
      </rPr>
      <t>Verify by reviewing log files to show audit records for account creation, modification, disabling, and termination via the "Show Logging" command.</t>
    </r>
  </si>
  <si>
    <t>V-60881</t>
  </si>
  <si>
    <r>
      <rPr>
        <sz val="11"/>
        <rFont val="Calibri"/>
      </rPr>
      <t>The Arista Multilayer Switch must, at a minimum, off-load audit records for interconnected systems in real time.</t>
    </r>
  </si>
  <si>
    <r>
      <rPr>
        <sz val="11"/>
        <color rgb="FF000000"/>
        <rFont val="Calibri"/>
      </rPr>
      <t>Configure the network device to off-load interconnected systems in real time and off-load standalone systems weekly.</t>
    </r>
    <r>
      <rPr>
        <sz val="11"/>
        <color rgb="FF000000"/>
        <rFont val="Calibri"/>
      </rPr>
      <t xml:space="preserve">
</t>
    </r>
    <r>
      <rPr>
        <sz val="11"/>
        <color rgb="FF000000"/>
        <rFont val="Calibri"/>
      </rPr>
      <t>Arista EOS logs can be exported to, including by a regular syslog server.</t>
    </r>
    <r>
      <rPr>
        <sz val="11"/>
        <color rgb="FF000000"/>
        <rFont val="Calibri"/>
      </rPr>
      <t xml:space="preserve">
</t>
    </r>
    <r>
      <rPr>
        <sz val="11"/>
        <color rgb="FF000000"/>
        <rFont val="Calibri"/>
      </rPr>
      <t xml:space="preserve">Configuration Example: </t>
    </r>
    <r>
      <rPr>
        <sz val="11"/>
        <color rgb="FF000000"/>
        <rFont val="Calibri"/>
      </rPr>
      <t xml:space="preserve">
</t>
    </r>
    <r>
      <rPr>
        <sz val="11"/>
        <color rgb="FF000000"/>
        <rFont val="Calibri"/>
      </rPr>
      <t>switch(config)#logging host[ a.b.c.d]</t>
    </r>
    <r>
      <rPr>
        <sz val="11"/>
        <color rgb="FF000000"/>
        <rFont val="Calibri"/>
      </rPr>
      <t xml:space="preserve">
</t>
    </r>
    <r>
      <rPr>
        <sz val="11"/>
        <color rgb="FF000000"/>
        <rFont val="Calibri"/>
      </rPr>
      <t>switch(config)#logging trap informational</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</si>
  <si>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</si>
  <si>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 xml:space="preserve">Check the network device configuration to determine if the device off-loads audit records onto a different system or media than the system being audited. </t>
    </r>
    <r>
      <rPr>
        <sz val="11"/>
        <color rgb="FF000000"/>
        <rFont val="Calibri"/>
      </rPr>
      <t xml:space="preserve">
</t>
    </r>
    <r>
      <rPr>
        <sz val="11"/>
        <color rgb="FF000000"/>
        <rFont val="Calibri"/>
      </rPr>
      <t>If the device does not off-load audit records onto a different system or media, this is a finding.</t>
    </r>
    <r>
      <rPr>
        <sz val="11"/>
        <color rgb="FF000000"/>
        <rFont val="Calibri"/>
      </rPr>
      <t xml:space="preserve">
</t>
    </r>
    <r>
      <rPr>
        <sz val="11"/>
        <color rgb="FF000000"/>
        <rFont val="Calibri"/>
      </rPr>
      <t>Review the configuration for the "logging host [a.b.c.d]" statement. Execute a "show logging" to verify logging host status.</t>
    </r>
  </si>
  <si>
    <t>V-60883</t>
  </si>
  <si>
    <r>
      <rPr>
        <sz val="11"/>
        <rFont val="Calibri"/>
      </rPr>
      <t>The Arista Multilayer Switch must protect the audit records of nonlocal accesses to privileged accounts and the execution of privileged functions.</t>
    </r>
  </si>
  <si>
    <r>
      <rPr>
        <sz val="11"/>
        <color rgb="FF000000"/>
        <rFont val="Calibri"/>
      </rPr>
      <t>Configure the system to protect the audit records of nonlocal accesses to privileged accounts and the execution of privileged functions.</t>
    </r>
    <r>
      <rPr>
        <sz val="11"/>
        <color rgb="FF000000"/>
        <rFont val="Calibri"/>
      </rPr>
      <t xml:space="preserve">
</t>
    </r>
    <r>
      <rPr>
        <sz val="11"/>
        <color rgb="FF000000"/>
        <rFont val="Calibri"/>
      </rPr>
      <t>Enable remote logging with:</t>
    </r>
    <r>
      <rPr>
        <sz val="11"/>
        <color rgb="FF000000"/>
        <rFont val="Calibri"/>
      </rPr>
      <t xml:space="preserve">
</t>
    </r>
    <r>
      <rPr>
        <sz val="11"/>
        <color rgb="FF000000"/>
        <rFont val="Calibri"/>
      </rPr>
      <t>config</t>
    </r>
    <r>
      <rPr>
        <sz val="11"/>
        <color rgb="FF000000"/>
        <rFont val="Calibri"/>
      </rPr>
      <t xml:space="preserve">
</t>
    </r>
    <r>
      <rPr>
        <sz val="11"/>
        <color rgb="FF000000"/>
        <rFont val="Calibri"/>
      </rPr>
      <t>logging host a.b.c.d</t>
    </r>
    <r>
      <rPr>
        <sz val="11"/>
        <color rgb="FF000000"/>
        <rFont val="Calibri"/>
      </rPr>
      <t xml:space="preserve">
</t>
    </r>
    <r>
      <rPr>
        <sz val="11"/>
        <color rgb="FF000000"/>
        <rFont val="Calibri"/>
      </rPr>
      <t>logging trap informational</t>
    </r>
    <r>
      <rPr>
        <sz val="11"/>
        <color rgb="FF000000"/>
        <rFont val="Calibri"/>
      </rPr>
      <t xml:space="preserve">
</t>
    </r>
    <r>
      <rPr>
        <sz val="11"/>
        <color rgb="FF000000"/>
        <rFont val="Calibri"/>
      </rPr>
      <t>To assign a user to a role, use the command:</t>
    </r>
    <r>
      <rPr>
        <sz val="11"/>
        <color rgb="FF000000"/>
        <rFont val="Calibri"/>
      </rPr>
      <t xml:space="preserve">
</t>
    </r>
    <r>
      <rPr>
        <sz val="11"/>
        <color rgb="FF000000"/>
        <rFont val="Calibri"/>
      </rPr>
      <t>username [name] role [role name]</t>
    </r>
    <r>
      <rPr>
        <sz val="11"/>
        <color rgb="FF000000"/>
        <rFont val="Calibri"/>
      </rPr>
      <t xml:space="preserve">
</t>
    </r>
    <r>
      <rPr>
        <sz val="11"/>
        <color rgb="FF000000"/>
        <rFont val="Calibri"/>
      </rPr>
      <t>To deny access to logging functions via RBAC:</t>
    </r>
    <r>
      <rPr>
        <sz val="11"/>
        <color rgb="FF000000"/>
        <rFont val="Calibri"/>
      </rPr>
      <t xml:space="preserve">
</t>
    </r>
    <r>
      <rPr>
        <sz val="11"/>
        <color rgb="FF000000"/>
        <rFont val="Calibri"/>
      </rPr>
      <t>role [name]</t>
    </r>
    <r>
      <rPr>
        <sz val="11"/>
        <color rgb="FF000000"/>
        <rFont val="Calibri"/>
      </rPr>
      <t xml:space="preserve">
</t>
    </r>
    <r>
      <rPr>
        <sz val="11"/>
        <color rgb="FF000000"/>
        <rFont val="Calibri"/>
      </rPr>
      <t>deny command logging [all]</t>
    </r>
  </si>
  <si>
    <r>
      <rPr>
        <sz val="11"/>
        <color rgb="FF000000"/>
        <rFont val="Calibri"/>
      </rPr>
      <t>Auditing may not be reliable when performed by the network device to which the user being audited has privileged access. The privileged user may inhibit auditing or modify audit records. This control enhancement helps mitigate this risk by requiring that privileged access be further defined between audit-related privileges and other privileges, thus limiting the users with audit-related privileges. Reducing the risk of audit compromises by privileged users can also be achieved by performing audit activity on a separate information system or by using storage media that cannot be modified (e.g., write-once recording devices).</t>
    </r>
  </si>
  <si>
    <r>
      <rPr>
        <sz val="11"/>
        <color rgb="FF000000"/>
        <rFont val="Calibri"/>
      </rPr>
      <t>Review the network device account configuration files to determine if the privileged functions to access and modify audit settings and files are restricted to authorized security personnel. Review locations of audit logs generated as a result of nonlocal accesses to privileged accounts and the execution of privileged functions. Verify there are appropriate controls and permissions to protect the audit information from unauthorized access.</t>
    </r>
    <r>
      <rPr>
        <sz val="11"/>
        <color rgb="FF000000"/>
        <rFont val="Calibri"/>
      </rPr>
      <t xml:space="preserve">
</t>
    </r>
    <r>
      <rPr>
        <sz val="11"/>
        <color rgb="FF000000"/>
        <rFont val="Calibri"/>
      </rPr>
      <t>If the audit records that are generated upon nonlocal access to privileged accounts or upon the execution of privileged functions are not protected, this is a finding.</t>
    </r>
    <r>
      <rPr>
        <sz val="11"/>
        <color rgb="FF000000"/>
        <rFont val="Calibri"/>
      </rPr>
      <t xml:space="preserve">
</t>
    </r>
    <r>
      <rPr>
        <sz val="11"/>
        <color rgb="FF000000"/>
        <rFont val="Calibri"/>
      </rPr>
      <t>Verify remote logging is enabled via the "Show Logging" command.</t>
    </r>
    <r>
      <rPr>
        <sz val="11"/>
        <color rgb="FF000000"/>
        <rFont val="Calibri"/>
      </rPr>
      <t xml:space="preserve">
</t>
    </r>
    <r>
      <rPr>
        <sz val="11"/>
        <color rgb="FF000000"/>
        <rFont val="Calibri"/>
      </rPr>
      <t>Verify that individual accounts do not have access to logging functionality by executing the "show user-account" command and validating that only intended users are assigned to roles that permit access to logging functions. To verify what permissions are allowed by each role, execute the "show roles" command.</t>
    </r>
  </si>
  <si>
    <t>V-60885</t>
  </si>
  <si>
    <r>
      <rPr>
        <sz val="11"/>
        <rFont val="Calibri"/>
      </rPr>
      <t>The Arista Multilayer Switch must employ AAA service to centrally manage authentication settings.</t>
    </r>
  </si>
  <si>
    <r>
      <rPr>
        <sz val="11"/>
        <color rgb="FF000000"/>
        <rFont val="Calibri"/>
      </rPr>
      <t>Configure AAA services via a remote AAA server for all nonlocal accounts.</t>
    </r>
    <r>
      <rPr>
        <sz val="11"/>
        <color rgb="FF000000"/>
        <rFont val="Calibri"/>
      </rPr>
      <t xml:space="preserve">
</t>
    </r>
    <r>
      <rPr>
        <sz val="11"/>
        <color rgb="FF000000"/>
        <rFont val="Calibri"/>
      </rPr>
      <t>Configuration:</t>
    </r>
    <r>
      <rPr>
        <sz val="11"/>
        <color rgb="FF000000"/>
        <rFont val="Calibri"/>
      </rPr>
      <t xml:space="preserve">
</t>
    </r>
    <r>
      <rPr>
        <sz val="11"/>
        <color rgb="FF000000"/>
        <rFont val="Calibri"/>
      </rPr>
      <t>aaa group server [radius/tacacs] [name]</t>
    </r>
    <r>
      <rPr>
        <sz val="11"/>
        <color rgb="FF000000"/>
        <rFont val="Calibri"/>
      </rPr>
      <t xml:space="preserve">
</t>
    </r>
    <r>
      <rPr>
        <sz val="11"/>
        <color rgb="FF000000"/>
        <rFont val="Calibri"/>
      </rPr>
      <t>[radius/tacacs]-server host [IP Address] vrf [name] key [key]</t>
    </r>
    <r>
      <rPr>
        <sz val="11"/>
        <color rgb="FF000000"/>
        <rFont val="Calibri"/>
      </rPr>
      <t xml:space="preserve">
</t>
    </r>
    <r>
      <rPr>
        <sz val="11"/>
        <color rgb="FF000000"/>
        <rFont val="Calibri"/>
      </rPr>
      <t>aaa authentication login default group [group name] [radius/tacacs] [local]</t>
    </r>
    <r>
      <rPr>
        <sz val="11"/>
        <color rgb="FF000000"/>
        <rFont val="Calibri"/>
      </rPr>
      <t xml:space="preserve">
</t>
    </r>
    <r>
      <rPr>
        <sz val="11"/>
        <color rgb="FF000000"/>
        <rFont val="Calibri"/>
      </rPr>
      <t>aaa authentication login console [group] [group name/radius/tacacs+] [local]</t>
    </r>
    <r>
      <rPr>
        <sz val="11"/>
        <color rgb="FF000000"/>
        <rFont val="Calibri"/>
      </rPr>
      <t xml:space="preserve">
</t>
    </r>
    <r>
      <rPr>
        <sz val="11"/>
        <color rgb="FF000000"/>
        <rFont val="Calibri"/>
      </rPr>
      <t>aaa authentication dot1x default group [group] [radius]</t>
    </r>
    <r>
      <rPr>
        <sz val="11"/>
        <color rgb="FF000000"/>
        <rFont val="Calibri"/>
      </rPr>
      <t xml:space="preserve">
</t>
    </r>
    <r>
      <rPr>
        <sz val="11"/>
        <color rgb="FF000000"/>
        <rFont val="Calibri"/>
      </rPr>
      <t>aaa authentication policy on-success log</t>
    </r>
    <r>
      <rPr>
        <sz val="11"/>
        <color rgb="FF000000"/>
        <rFont val="Calibri"/>
      </rPr>
      <t xml:space="preserve">
</t>
    </r>
    <r>
      <rPr>
        <sz val="11"/>
        <color rgb="FF000000"/>
        <rFont val="Calibri"/>
      </rPr>
      <t>aaa authentication policy on-failure log</t>
    </r>
    <r>
      <rPr>
        <sz val="11"/>
        <color rgb="FF000000"/>
        <rFont val="Calibri"/>
      </rPr>
      <t xml:space="preserve">
</t>
    </r>
    <r>
      <rPr>
        <sz val="11"/>
        <color rgb="FF000000"/>
        <rFont val="Calibri"/>
      </rPr>
      <t>aaa authorization console</t>
    </r>
    <r>
      <rPr>
        <sz val="11"/>
        <color rgb="FF000000"/>
        <rFont val="Calibri"/>
      </rPr>
      <t xml:space="preserve">
</t>
    </r>
    <r>
      <rPr>
        <sz val="11"/>
        <color rgb="FF000000"/>
        <rFont val="Calibri"/>
      </rPr>
      <t>aaa authorization exec default [radius/tacacs] local</t>
    </r>
    <r>
      <rPr>
        <sz val="11"/>
        <color rgb="FF000000"/>
        <rFont val="Calibri"/>
      </rPr>
      <t xml:space="preserve">
</t>
    </r>
    <r>
      <rPr>
        <sz val="11"/>
        <color rgb="FF000000"/>
        <rFont val="Calibri"/>
      </rPr>
      <t>aaa authorization commands all default local</t>
    </r>
    <r>
      <rPr>
        <sz val="11"/>
        <color rgb="FF000000"/>
        <rFont val="Calibri"/>
      </rPr>
      <t xml:space="preserve">
</t>
    </r>
    <r>
      <rPr>
        <sz val="11"/>
        <color rgb="FF000000"/>
        <rFont val="Calibri"/>
      </rPr>
      <t>aaa accounting exec default start-stop logging</t>
    </r>
    <r>
      <rPr>
        <sz val="11"/>
        <color rgb="FF000000"/>
        <rFont val="Calibri"/>
      </rPr>
      <t xml:space="preserve">
</t>
    </r>
    <r>
      <rPr>
        <sz val="11"/>
        <color rgb="FF000000"/>
        <rFont val="Calibri"/>
      </rPr>
      <t>aaa accounting system default start-stop logging</t>
    </r>
    <r>
      <rPr>
        <sz val="11"/>
        <color rgb="FF000000"/>
        <rFont val="Calibri"/>
      </rPr>
      <t xml:space="preserve">
</t>
    </r>
    <r>
      <rPr>
        <sz val="11"/>
        <color rgb="FF000000"/>
        <rFont val="Calibri"/>
      </rPr>
      <t>aaa accounting commands all default start-stop logging</t>
    </r>
    <r>
      <rPr>
        <sz val="11"/>
        <color rgb="FF000000"/>
        <rFont val="Calibri"/>
      </rPr>
      <t xml:space="preserve">
</t>
    </r>
    <r>
      <rPr>
        <sz val="11"/>
        <color rgb="FF000000"/>
        <rFont val="Calibri"/>
      </rPr>
      <t>no aaa root</t>
    </r>
    <r>
      <rPr>
        <sz val="11"/>
        <color rgb="FF000000"/>
        <rFont val="Calibri"/>
      </rPr>
      <t xml:space="preserve">
</t>
    </r>
    <r>
      <rPr>
        <sz val="11"/>
        <color rgb="FF000000"/>
        <rFont val="Calibri"/>
      </rPr>
      <t>Example RBAC roles:</t>
    </r>
    <r>
      <rPr>
        <sz val="11"/>
        <color rgb="FF000000"/>
        <rFont val="Calibri"/>
      </rPr>
      <t xml:space="preserve">
</t>
    </r>
    <r>
      <rPr>
        <sz val="11"/>
        <color rgb="FF000000"/>
        <rFont val="Calibri"/>
      </rPr>
      <t>role administrator</t>
    </r>
    <r>
      <rPr>
        <sz val="11"/>
        <color rgb="FF000000"/>
        <rFont val="Calibri"/>
      </rPr>
      <t xml:space="preserve">
</t>
    </r>
    <r>
      <rPr>
        <sz val="11"/>
        <color rgb="FF000000"/>
        <rFont val="Calibri"/>
      </rPr>
      <t xml:space="preserve"> 10 permit command .*</t>
    </r>
    <r>
      <rPr>
        <sz val="11"/>
        <color rgb="FF000000"/>
        <rFont val="Calibri"/>
      </rPr>
      <t xml:space="preserve">
</t>
    </r>
    <r>
      <rPr>
        <sz val="11"/>
        <color rgb="FF000000"/>
        <rFont val="Calibri"/>
      </rPr>
      <t xml:space="preserve"> role operator</t>
    </r>
    <r>
      <rPr>
        <sz val="11"/>
        <color rgb="FF000000"/>
        <rFont val="Calibri"/>
      </rPr>
      <t xml:space="preserve">
</t>
    </r>
    <r>
      <rPr>
        <sz val="11"/>
        <color rgb="FF000000"/>
        <rFont val="Calibri"/>
      </rPr>
      <t xml:space="preserve"> 10 permit command show running-config [all|detail] sanitized</t>
    </r>
    <r>
      <rPr>
        <sz val="11"/>
        <color rgb="FF000000"/>
        <rFont val="Calibri"/>
      </rPr>
      <t xml:space="preserve">
</t>
    </r>
    <r>
      <rPr>
        <sz val="11"/>
        <color rgb="FF000000"/>
        <rFont val="Calibri"/>
      </rPr>
      <t xml:space="preserve"> 20 deny command &gt;|&gt;&gt;|extension|\||session|do|delete|copy|rmdir|mkdir|python-shell|bash|platform|scp|append|redirect|tee|more|less|who|show run.*</t>
    </r>
    <r>
      <rPr>
        <sz val="11"/>
        <color rgb="FF000000"/>
        <rFont val="Calibri"/>
      </rPr>
      <t xml:space="preserve">
</t>
    </r>
    <r>
      <rPr>
        <sz val="11"/>
        <color rgb="FF000000"/>
        <rFont val="Calibri"/>
      </rPr>
      <t xml:space="preserve"> 25 deny command bash</t>
    </r>
    <r>
      <rPr>
        <sz val="11"/>
        <color rgb="FF000000"/>
        <rFont val="Calibri"/>
      </rPr>
      <t xml:space="preserve">
</t>
    </r>
    <r>
      <rPr>
        <sz val="11"/>
        <color rgb="FF000000"/>
        <rFont val="Calibri"/>
      </rPr>
      <t xml:space="preserve"> 30 deny mode config command (no |default ) (username|role|aaa|tcpdump|schedule|event.*)</t>
    </r>
    <r>
      <rPr>
        <sz val="11"/>
        <color rgb="FF000000"/>
        <rFont val="Calibri"/>
      </rPr>
      <t xml:space="preserve">
</t>
    </r>
    <r>
      <rPr>
        <sz val="11"/>
        <color rgb="FF000000"/>
        <rFont val="Calibri"/>
      </rPr>
      <t xml:space="preserve"> 40 permit command .*</t>
    </r>
    <r>
      <rPr>
        <sz val="11"/>
        <color rgb="FF000000"/>
        <rFont val="Calibri"/>
      </rPr>
      <t xml:space="preserve">
</t>
    </r>
    <r>
      <rPr>
        <sz val="11"/>
        <color rgb="FF000000"/>
        <rFont val="Calibri"/>
      </rPr>
      <t xml:space="preserve"> 30 deny mode config command (no |default ) (username|role|aaa|tcpdump|schedule|event.*)</t>
    </r>
    <r>
      <rPr>
        <sz val="11"/>
        <color rgb="FF000000"/>
        <rFont val="Calibri"/>
      </rPr>
      <t xml:space="preserve">
</t>
    </r>
    <r>
      <rPr>
        <sz val="11"/>
        <color rgb="FF000000"/>
        <rFont val="Calibri"/>
      </rPr>
      <t xml:space="preserve"> 40 permit command .*</t>
    </r>
  </si>
  <si>
    <r>
      <rPr>
        <sz val="11"/>
        <color rgb="FF000000"/>
        <rFont val="Calibri"/>
      </rPr>
      <t>The use of authentication servers or other centralized management servers for providing centralized authentication services is required for network device management. Maintaining local administrator accounts for daily usage on each network device without centralized management is not scalable or feasible. Without centralized management, it is likely that credentials for some network devices will be forgotten, leading to delays in administration, which itself leads to delays in remediating production problems and in addressing compromises in a timely fashion.</t>
    </r>
  </si>
  <si>
    <r>
      <rPr>
        <sz val="11"/>
        <color rgb="FF000000"/>
        <rFont val="Calibri"/>
      </rPr>
      <t>Review the device's configuration and verify the use of an AAA server for Account Management. Configuration must include at least one authenticated remote AAA server and verification that authentication, authorization, and accounting are enabled. In order for AAA to execute authorizations, role-based access control (RBAC) must also be configured on the switch, as shown in the configuration example. User roles do not need to follow these exact permissions, but they must comply with organizational policies for access-control. If the AAA server is not configured to centrally manage authentication settings, this is a finding.</t>
    </r>
    <r>
      <rPr>
        <sz val="11"/>
        <color rgb="FF000000"/>
        <rFont val="Calibri"/>
      </rPr>
      <t xml:space="preserve">
</t>
    </r>
    <r>
      <rPr>
        <sz val="11"/>
        <color rgb="FF000000"/>
        <rFont val="Calibri"/>
      </rPr>
      <t>Using the "show running-config" command will display all configured AAA commands, which must include the following commands with the variables completed:</t>
    </r>
    <r>
      <rPr>
        <sz val="11"/>
        <color rgb="FF000000"/>
        <rFont val="Calibri"/>
      </rPr>
      <t xml:space="preserve">
</t>
    </r>
    <r>
      <rPr>
        <sz val="11"/>
        <color rgb="FF000000"/>
        <rFont val="Calibri"/>
      </rPr>
      <t>aaa group server [radius/tacacs] [name]</t>
    </r>
    <r>
      <rPr>
        <sz val="11"/>
        <color rgb="FF000000"/>
        <rFont val="Calibri"/>
      </rPr>
      <t xml:space="preserve">
</t>
    </r>
    <r>
      <rPr>
        <sz val="11"/>
        <color rgb="FF000000"/>
        <rFont val="Calibri"/>
      </rPr>
      <t>[radius/tacacs]-server host [IP Address] vrf [name] key [key]</t>
    </r>
    <r>
      <rPr>
        <sz val="11"/>
        <color rgb="FF000000"/>
        <rFont val="Calibri"/>
      </rPr>
      <t xml:space="preserve">
</t>
    </r>
    <r>
      <rPr>
        <sz val="11"/>
        <color rgb="FF000000"/>
        <rFont val="Calibri"/>
      </rPr>
      <t>aaa authentication login default group [group name] [radius/tacacs] [local]</t>
    </r>
    <r>
      <rPr>
        <sz val="11"/>
        <color rgb="FF000000"/>
        <rFont val="Calibri"/>
      </rPr>
      <t xml:space="preserve">
</t>
    </r>
    <r>
      <rPr>
        <sz val="11"/>
        <color rgb="FF000000"/>
        <rFont val="Calibri"/>
      </rPr>
      <t>aaa authentication login console [group] [group name/radius/tacacs+] [local]</t>
    </r>
    <r>
      <rPr>
        <sz val="11"/>
        <color rgb="FF000000"/>
        <rFont val="Calibri"/>
      </rPr>
      <t xml:space="preserve">
</t>
    </r>
    <r>
      <rPr>
        <sz val="11"/>
        <color rgb="FF000000"/>
        <rFont val="Calibri"/>
      </rPr>
      <t>aaa authentication dot1x default group [group] [radius]</t>
    </r>
    <r>
      <rPr>
        <sz val="11"/>
        <color rgb="FF000000"/>
        <rFont val="Calibri"/>
      </rPr>
      <t xml:space="preserve">
</t>
    </r>
    <r>
      <rPr>
        <sz val="11"/>
        <color rgb="FF000000"/>
        <rFont val="Calibri"/>
      </rPr>
      <t>aaa authentication policy on-success log</t>
    </r>
    <r>
      <rPr>
        <sz val="11"/>
        <color rgb="FF000000"/>
        <rFont val="Calibri"/>
      </rPr>
      <t xml:space="preserve">
</t>
    </r>
    <r>
      <rPr>
        <sz val="11"/>
        <color rgb="FF000000"/>
        <rFont val="Calibri"/>
      </rPr>
      <t>aaa authentication policy on-failure log</t>
    </r>
    <r>
      <rPr>
        <sz val="11"/>
        <color rgb="FF000000"/>
        <rFont val="Calibri"/>
      </rPr>
      <t xml:space="preserve">
</t>
    </r>
    <r>
      <rPr>
        <sz val="11"/>
        <color rgb="FF000000"/>
        <rFont val="Calibri"/>
      </rPr>
      <t>aaa authorization console</t>
    </r>
    <r>
      <rPr>
        <sz val="11"/>
        <color rgb="FF000000"/>
        <rFont val="Calibri"/>
      </rPr>
      <t xml:space="preserve">
</t>
    </r>
    <r>
      <rPr>
        <sz val="11"/>
        <color rgb="FF000000"/>
        <rFont val="Calibri"/>
      </rPr>
      <t>aaa authorization exec default [radius/tacacs] local</t>
    </r>
    <r>
      <rPr>
        <sz val="11"/>
        <color rgb="FF000000"/>
        <rFont val="Calibri"/>
      </rPr>
      <t xml:space="preserve">
</t>
    </r>
    <r>
      <rPr>
        <sz val="11"/>
        <color rgb="FF000000"/>
        <rFont val="Calibri"/>
      </rPr>
      <t>aaa authorization commands all default local</t>
    </r>
    <r>
      <rPr>
        <sz val="11"/>
        <color rgb="FF000000"/>
        <rFont val="Calibri"/>
      </rPr>
      <t xml:space="preserve">
</t>
    </r>
    <r>
      <rPr>
        <sz val="11"/>
        <color rgb="FF000000"/>
        <rFont val="Calibri"/>
      </rPr>
      <t>aaa accounting exec default start-stop logging</t>
    </r>
    <r>
      <rPr>
        <sz val="11"/>
        <color rgb="FF000000"/>
        <rFont val="Calibri"/>
      </rPr>
      <t xml:space="preserve">
</t>
    </r>
    <r>
      <rPr>
        <sz val="11"/>
        <color rgb="FF000000"/>
        <rFont val="Calibri"/>
      </rPr>
      <t>aaa accounting system default start-stop logging</t>
    </r>
    <r>
      <rPr>
        <sz val="11"/>
        <color rgb="FF000000"/>
        <rFont val="Calibri"/>
      </rPr>
      <t xml:space="preserve">
</t>
    </r>
    <r>
      <rPr>
        <sz val="11"/>
        <color rgb="FF000000"/>
        <rFont val="Calibri"/>
      </rPr>
      <t>aaa accounting commands all default start-stop logging</t>
    </r>
    <r>
      <rPr>
        <sz val="11"/>
        <color rgb="FF000000"/>
        <rFont val="Calibri"/>
      </rPr>
      <t xml:space="preserve">
</t>
    </r>
    <r>
      <rPr>
        <sz val="11"/>
        <color rgb="FF000000"/>
        <rFont val="Calibri"/>
      </rPr>
      <t>no aaa root</t>
    </r>
    <r>
      <rPr>
        <sz val="11"/>
        <color rgb="FF000000"/>
        <rFont val="Calibri"/>
      </rPr>
      <t xml:space="preserve">
</t>
    </r>
    <r>
      <rPr>
        <sz val="11"/>
        <color rgb="FF000000"/>
        <rFont val="Calibri"/>
      </rPr>
      <t>Executing the "Show aaa sessions" command will verify the operation of AAA for any connected sessions. This will include the username, role, state, authentication method, and remote host information, which must match the configured remote AAA server.</t>
    </r>
    <r>
      <rPr>
        <sz val="11"/>
        <color rgb="FF000000"/>
        <rFont val="Calibri"/>
      </rPr>
      <t xml:space="preserve">
</t>
    </r>
    <r>
      <rPr>
        <sz val="11"/>
        <color rgb="FF000000"/>
        <rFont val="Calibri"/>
      </rPr>
      <t>Verify Role Based Access Control is enabled by executing the "show roles" command, and review the configured roles to ensure they meet organization-defined requirements.</t>
    </r>
  </si>
  <si>
    <t>V-60887</t>
  </si>
  <si>
    <r>
      <rPr>
        <sz val="11"/>
        <rFont val="Calibri"/>
      </rPr>
      <t>The Arista Multilayer Switch must support organizational requirements to conduct backups of system-level information contained in the information system when changes occur or weekly, whichever is sooner.</t>
    </r>
  </si>
  <si>
    <r>
      <rPr>
        <sz val="11"/>
        <color rgb="FF000000"/>
        <rFont val="Calibri"/>
      </rPr>
      <t>Configure the network device to conduct backups of system-level information contained in the information system when changes occur or weekly, whichever is sooner.</t>
    </r>
    <r>
      <rPr>
        <sz val="11"/>
        <color rgb="FF000000"/>
        <rFont val="Calibri"/>
      </rPr>
      <t xml:space="preserve">
</t>
    </r>
    <r>
      <rPr>
        <sz val="11"/>
        <color rgb="FF000000"/>
        <rFont val="Calibri"/>
      </rPr>
      <t>For weekly backups, the following chronologically scheduled command will back up the switch information one per day at noon:</t>
    </r>
    <r>
      <rPr>
        <sz val="11"/>
        <color rgb="FF000000"/>
        <rFont val="Calibri"/>
      </rPr>
      <t xml:space="preserve">
</t>
    </r>
    <r>
      <rPr>
        <sz val="11"/>
        <color rgb="FF000000"/>
        <rFont val="Calibri"/>
      </rPr>
      <t>switch(config)#schedule [name] at [hh:mm:ss] interval 1440 max-log-files 100 command bash FastCli -p 15 -c $'enable\nshow tech-support &gt; scp:[remote destination/filename]\n'</t>
    </r>
    <r>
      <rPr>
        <sz val="11"/>
        <color rgb="FF000000"/>
        <rFont val="Calibri"/>
      </rPr>
      <t xml:space="preserve">
</t>
    </r>
    <r>
      <rPr>
        <sz val="11"/>
        <color rgb="FF000000"/>
        <rFont val="Calibri"/>
      </rPr>
      <t>The following event-handler will schedule backups any time the configuration is changed and written to memory:</t>
    </r>
    <r>
      <rPr>
        <sz val="11"/>
        <color rgb="FF000000"/>
        <rFont val="Calibri"/>
      </rPr>
      <t xml:space="preserve">
</t>
    </r>
    <r>
      <rPr>
        <sz val="11"/>
        <color rgb="FF000000"/>
        <rFont val="Calibri"/>
      </rPr>
      <t>event-handler Copy-Config</t>
    </r>
    <r>
      <rPr>
        <sz val="11"/>
        <color rgb="FF000000"/>
        <rFont val="Calibri"/>
      </rPr>
      <t xml:space="preserve">
</t>
    </r>
    <r>
      <rPr>
        <sz val="11"/>
        <color rgb="FF000000"/>
        <rFont val="Calibri"/>
      </rPr>
      <t>trigger on-startup-config</t>
    </r>
    <r>
      <rPr>
        <sz val="11"/>
        <color rgb="FF000000"/>
        <rFont val="Calibri"/>
      </rPr>
      <t xml:space="preserve">
</t>
    </r>
    <r>
      <rPr>
        <sz val="11"/>
        <color rgb="FF000000"/>
        <rFont val="Calibri"/>
      </rPr>
      <t>action bash sudo ip netns exec ns-DATA scp /mnt/flash/startup-config [user@IPaddress/filepath/filename]</t>
    </r>
    <r>
      <rPr>
        <sz val="11"/>
        <color rgb="FF000000"/>
        <rFont val="Calibri"/>
      </rPr>
      <t xml:space="preserve">
</t>
    </r>
    <r>
      <rPr>
        <sz val="11"/>
        <color rgb="FF000000"/>
        <rFont val="Calibri"/>
      </rPr>
      <t>delay 5</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</si>
  <si>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</si>
  <si>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 xml:space="preserve">Check the network device to determine if the network device is configured to conduct backups of system-level information contained in the information system when changes occur or weekly, whichever is sooner. </t>
    </r>
    <r>
      <rPr>
        <sz val="11"/>
        <color rgb="FF000000"/>
        <rFont val="Calibri"/>
      </rPr>
      <t xml:space="preserve">
</t>
    </r>
    <r>
      <rPr>
        <sz val="11"/>
        <color rgb="FF000000"/>
        <rFont val="Calibri"/>
      </rPr>
      <t>If the network device does not support the organizational requirements to conduct backups of system-level data according to the defined frequency, this is a finding.</t>
    </r>
  </si>
  <si>
    <t>V-60889</t>
  </si>
  <si>
    <r>
      <rPr>
        <sz val="11"/>
        <rFont val="Calibri"/>
      </rPr>
      <t>The Arista Multilayer Switch must disable Protocol Independent Multicast (PIM) on all interfaces that are not required to support multicast routing.</t>
    </r>
  </si>
  <si>
    <r>
      <rPr>
        <sz val="11"/>
        <color rgb="FF000000"/>
        <rFont val="Calibri"/>
      </rPr>
      <t>Document all enabled interfaces for PIM in the network's multicast topology diagram. Disable support for PIM on interfaces that are not required to support it.</t>
    </r>
    <r>
      <rPr>
        <sz val="11"/>
        <color rgb="FF000000"/>
        <rFont val="Calibri"/>
      </rPr>
      <t xml:space="preserve">
</t>
    </r>
    <r>
      <rPr>
        <sz val="11"/>
        <color rgb="FF000000"/>
        <rFont val="Calibri"/>
      </rPr>
      <t>Interfaces have PIM disabled by default. To disable PIM from an interface active in a multi-cast network, enter "no pim sparse-mode" in the interface configuration mode.</t>
    </r>
  </si>
  <si>
    <r>
      <rPr>
        <sz val="11"/>
        <color rgb="FF000000"/>
        <rFont val="Calibri"/>
      </rPr>
      <t xml:space="preserve">If multicast traffic is forwarded beyond the intended boundary, it is possible that it can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routers and passing through some routers to include only some of their interfaces." Therefore, it is imperative that the network has documented their multicast topology and thereby knows which interfaces are enabled for multicast. Once this is done, the zones can be scoped as required.</t>
    </r>
  </si>
  <si>
    <r>
      <rPr>
        <sz val="11"/>
        <color rgb="FF000000"/>
        <rFont val="Calibri"/>
      </rPr>
      <t>If IPv4 or IPv6 multicast routing is enabled, verify all interfaces enabled for PIM are documented in the network's multicast topology diagram. Review the router configuration via the "show running-config" command to determine if multicast routing is enabled and which interfaces are enabled for PIM, identified via the "ip pim sparse-mode" statement in the interface configuration. Alternatively, from the interface configuration mode, enter "show active all" and verify that the statement "no ip pim sparse-mode" is present, if PIM is not required for the active interface.</t>
    </r>
    <r>
      <rPr>
        <sz val="11"/>
        <color rgb="FF000000"/>
        <rFont val="Calibri"/>
      </rPr>
      <t xml:space="preserve">
</t>
    </r>
    <r>
      <rPr>
        <sz val="11"/>
        <color rgb="FF000000"/>
        <rFont val="Calibri"/>
      </rPr>
      <t>If an interface is not required to support multicast routing and it is enabled, this is a finding.</t>
    </r>
  </si>
  <si>
    <t>V-60891</t>
  </si>
  <si>
    <r>
      <rPr>
        <sz val="11"/>
        <rFont val="Calibri"/>
      </rPr>
      <t>The Arista Multilayer Switch must bind a Protocol Independent Multicast (PIM) neighbor filter to interfaces that have PIM enabled.</t>
    </r>
  </si>
  <si>
    <r>
      <rPr>
        <sz val="11"/>
        <color rgb="FF000000"/>
        <rFont val="Calibri"/>
      </rPr>
      <t>Configure neighbor filters to only accept PIM control plane traffic from documented PIM neighbors. Bind neighbor filters to all PIM-enabled interfaces.</t>
    </r>
    <r>
      <rPr>
        <sz val="11"/>
        <color rgb="FF000000"/>
        <rFont val="Calibri"/>
      </rPr>
      <t xml:space="preserve">
</t>
    </r>
    <r>
      <rPr>
        <sz val="11"/>
        <color rgb="FF000000"/>
        <rFont val="Calibri"/>
      </rPr>
      <t>To create a new neighbor filter, create an access list by entering:</t>
    </r>
    <r>
      <rPr>
        <sz val="11"/>
        <color rgb="FF000000"/>
        <rFont val="Calibri"/>
      </rPr>
      <t xml:space="preserve">
</t>
    </r>
    <r>
      <rPr>
        <sz val="11"/>
        <color rgb="FF000000"/>
        <rFont val="Calibri"/>
      </rPr>
      <t>ip access-list [name]</t>
    </r>
    <r>
      <rPr>
        <sz val="11"/>
        <color rgb="FF000000"/>
        <rFont val="Calibri"/>
      </rPr>
      <t xml:space="preserve">
</t>
    </r>
    <r>
      <rPr>
        <sz val="11"/>
        <color rgb="FF000000"/>
        <rFont val="Calibri"/>
      </rPr>
      <t>[ip access list permit/deny statement]</t>
    </r>
    <r>
      <rPr>
        <sz val="11"/>
        <color rgb="FF000000"/>
        <rFont val="Calibri"/>
      </rPr>
      <t xml:space="preserve">
</t>
    </r>
    <r>
      <rPr>
        <sz val="11"/>
        <color rgb="FF000000"/>
        <rFont val="Calibri"/>
      </rPr>
      <t>exit</t>
    </r>
    <r>
      <rPr>
        <sz val="11"/>
        <color rgb="FF000000"/>
        <rFont val="Calibri"/>
      </rPr>
      <t xml:space="preserve">
</t>
    </r>
    <r>
      <rPr>
        <sz val="11"/>
        <color rgb="FF000000"/>
        <rFont val="Calibri"/>
      </rPr>
      <t>Then apply the neighbor filter based on the accesslist to the PIM-enabled interface:</t>
    </r>
    <r>
      <rPr>
        <sz val="11"/>
        <color rgb="FF000000"/>
        <rFont val="Calibri"/>
      </rPr>
      <t xml:space="preserve">
</t>
    </r>
    <r>
      <rPr>
        <sz val="11"/>
        <color rgb="FF000000"/>
        <rFont val="Calibri"/>
      </rPr>
      <t>int ethernet 1</t>
    </r>
    <r>
      <rPr>
        <sz val="11"/>
        <color rgb="FF000000"/>
        <rFont val="Calibri"/>
      </rPr>
      <t xml:space="preserve">
</t>
    </r>
    <r>
      <rPr>
        <sz val="11"/>
        <color rgb="FF000000"/>
        <rFont val="Calibri"/>
      </rPr>
      <t>ip pim neighbor-filter [name-of-ACL]</t>
    </r>
  </si>
  <si>
    <r>
      <rPr>
        <sz val="11"/>
        <color rgb="FF000000"/>
        <rFont val="Calibri"/>
      </rPr>
      <t>Protocol Independent Multicast (PIM) is a routing protocol used to build multicast distribution trees for forwarding multicast traffic across the network infrastructure. Protocol Independent Multicast traffic must be limited to only known PIM neighbors by configuring and binding a PIM neighbor filter to those interfaces that have PIM enabled. If a PIM neighbor filter is not applied to those interfaces that have PIM enabled, unauthorized routers can join the PIM domain and discover and use the rendezvous points and also advertise their rendezvous points into the domain. This can result in a denial of service by traffic flooding or result in the unauthorized transfer of data.</t>
    </r>
  </si>
  <si>
    <r>
      <rPr>
        <sz val="11"/>
        <color rgb="FF000000"/>
        <rFont val="Calibri"/>
      </rPr>
      <t>Review the multicast topology diagram and determine if router interfaces are enabled for IPv4 or IPv6 multicast routing.</t>
    </r>
    <r>
      <rPr>
        <sz val="11"/>
        <color rgb="FF000000"/>
        <rFont val="Calibri"/>
      </rPr>
      <t xml:space="preserve">
</t>
    </r>
    <r>
      <rPr>
        <sz val="11"/>
        <color rgb="FF000000"/>
        <rFont val="Calibri"/>
      </rPr>
      <t>If the router is enabled for multicast routing, verify all interfaces enabled for PIM have a neighbor filter bound to the interface. The neighbor filter must only accept PIM control plane traffic from the documented PIM neighbors. To verify a neighbor filter is active, execute the "show running-config" command and find the "ip pim neighbor-filter [name]" statement in the interface configuration mode.</t>
    </r>
    <r>
      <rPr>
        <sz val="11"/>
        <color rgb="FF000000"/>
        <rFont val="Calibri"/>
      </rPr>
      <t xml:space="preserve">
</t>
    </r>
    <r>
      <rPr>
        <sz val="11"/>
        <color rgb="FF000000"/>
        <rFont val="Calibri"/>
      </rPr>
      <t>If PIM neighbor filters are not bound to all interfaces that have PIM enabled, this is a finding.</t>
    </r>
  </si>
  <si>
    <t>V-60893</t>
  </si>
  <si>
    <r>
      <rPr>
        <sz val="11"/>
        <rFont val="Calibri"/>
      </rPr>
      <t>The Arista Multilayer Switch must establish boundaries for IPv6 Admin-Local, IPv6 Site-Local, IPv6 Organization-Local scope, and IPv4 Local-Scope multicast traffic.</t>
    </r>
  </si>
  <si>
    <r>
      <rPr>
        <sz val="11"/>
        <color rgb="FF000000"/>
        <rFont val="Calibri"/>
      </rPr>
      <t>Configure the appropriate boundaries to contain packets addressed within the administratively scoped zone. Defined multicast addresses are FFx4::/16, FFx5::/16, FFx8::/16, and 239.255.0.0/16.</t>
    </r>
    <r>
      <rPr>
        <sz val="11"/>
        <color rgb="FF000000"/>
        <rFont val="Calibri"/>
      </rPr>
      <t xml:space="preserve">
</t>
    </r>
    <r>
      <rPr>
        <sz val="11"/>
        <color rgb="FF000000"/>
        <rFont val="Calibri"/>
      </rPr>
      <t>To create a PIM Boundary, create an access list by entering:</t>
    </r>
    <r>
      <rPr>
        <sz val="11"/>
        <color rgb="FF000000"/>
        <rFont val="Calibri"/>
      </rPr>
      <t xml:space="preserve">
</t>
    </r>
    <r>
      <rPr>
        <sz val="11"/>
        <color rgb="FF000000"/>
        <rFont val="Calibri"/>
      </rPr>
      <t>ip access-list [name]</t>
    </r>
    <r>
      <rPr>
        <sz val="11"/>
        <color rgb="FF000000"/>
        <rFont val="Calibri"/>
      </rPr>
      <t xml:space="preserve">
</t>
    </r>
    <r>
      <rPr>
        <sz val="11"/>
        <color rgb="FF000000"/>
        <rFont val="Calibri"/>
      </rPr>
      <t>[ip access list permit/deny statement]</t>
    </r>
    <r>
      <rPr>
        <sz val="11"/>
        <color rgb="FF000000"/>
        <rFont val="Calibri"/>
      </rPr>
      <t xml:space="preserve">
</t>
    </r>
    <r>
      <rPr>
        <sz val="11"/>
        <color rgb="FF000000"/>
        <rFont val="Calibri"/>
      </rPr>
      <t>exit</t>
    </r>
    <r>
      <rPr>
        <sz val="11"/>
        <color rgb="FF000000"/>
        <rFont val="Calibri"/>
      </rPr>
      <t xml:space="preserve">
</t>
    </r>
    <r>
      <rPr>
        <sz val="11"/>
        <color rgb="FF000000"/>
        <rFont val="Calibri"/>
      </rPr>
      <t>Then apply the boundary filter based on the accesslist to the PIM-enabled interface:</t>
    </r>
    <r>
      <rPr>
        <sz val="11"/>
        <color rgb="FF000000"/>
        <rFont val="Calibri"/>
      </rPr>
      <t xml:space="preserve">
</t>
    </r>
    <r>
      <rPr>
        <sz val="11"/>
        <color rgb="FF000000"/>
        <rFont val="Calibri"/>
      </rPr>
      <t>int ethernet [X]</t>
    </r>
    <r>
      <rPr>
        <sz val="11"/>
        <color rgb="FF000000"/>
        <rFont val="Calibri"/>
      </rPr>
      <t xml:space="preserve">
</t>
    </r>
    <r>
      <rPr>
        <sz val="11"/>
        <color rgb="FF000000"/>
        <rFont val="Calibri"/>
      </rPr>
      <t>ip multicast boundary [name-of-ACL]</t>
    </r>
  </si>
  <si>
    <r>
      <rPr>
        <sz val="11"/>
        <color rgb="FF000000"/>
        <rFont val="Calibri"/>
      </rPr>
      <t>If multicast traffic is forwarded beyond the intended boundary, it is possible that it can be intercepted by unauthorized or unintended personnel.</t>
    </r>
    <r>
      <rPr>
        <sz val="11"/>
        <color rgb="FF000000"/>
        <rFont val="Calibri"/>
      </rPr>
      <t xml:space="preserve">
</t>
    </r>
    <r>
      <rPr>
        <sz val="11"/>
        <color rgb="FF000000"/>
        <rFont val="Calibri"/>
      </rPr>
      <t>Administrative scoped multicast addresses are locally assigned and are to be used exclusively by the enterprise network or enclave. Administrative scoped multicast traffic must not cross the enclave perimeter in either direction. Restricting multicast traffic makes it more difficult for a malicious user to access sensitive traffic.</t>
    </r>
    <r>
      <rPr>
        <sz val="11"/>
        <color rgb="FF000000"/>
        <rFont val="Calibri"/>
      </rPr>
      <t xml:space="preserve">
</t>
    </r>
    <r>
      <rPr>
        <sz val="11"/>
        <color rgb="FF000000"/>
        <rFont val="Calibri"/>
      </rPr>
      <t>Admin-Local scope is encouraged for any multicast traffic within a network intended for network management, as well as for control plane traffic that must reach beyond link-local destinations.</t>
    </r>
  </si>
  <si>
    <r>
      <rPr>
        <sz val="11"/>
        <color rgb="FF000000"/>
        <rFont val="Calibri"/>
      </rPr>
      <t>Review the multicast topology diagram to determine if there are any documented Admin-Local (FFx4::/16), Site-Local (FFx5::/16), or Organization-Local (FFx8::/16) multicast boundaries for IPv6 traffic or any Local-Scope (239.255.0.0/16) boundaries for IPv4 traffic.</t>
    </r>
    <r>
      <rPr>
        <sz val="11"/>
        <color rgb="FF000000"/>
        <rFont val="Calibri"/>
      </rPr>
      <t xml:space="preserve">
</t>
    </r>
    <r>
      <rPr>
        <sz val="11"/>
        <color rgb="FF000000"/>
        <rFont val="Calibri"/>
      </rPr>
      <t>Verify the appropriate boundaries are configured on the applicable multicast-enabled interfaces via an "ip multicast boundary" statement in the interface configuration.</t>
    </r>
    <r>
      <rPr>
        <sz val="11"/>
        <color rgb="FF000000"/>
        <rFont val="Calibri"/>
      </rPr>
      <t xml:space="preserve">
</t>
    </r>
    <r>
      <rPr>
        <sz val="11"/>
        <color rgb="FF000000"/>
        <rFont val="Calibri"/>
      </rPr>
      <t>If the appropriate boundaries are not configured on applicable multicast-enabled interfaces, this is a finding.</t>
    </r>
  </si>
  <si>
    <t>V-60895</t>
  </si>
  <si>
    <r>
      <rPr>
        <sz val="11"/>
        <rFont val="Calibri"/>
      </rPr>
      <t>The Arista Multilayer Switch must be configured so inactive router interfaces are disabled.</t>
    </r>
  </si>
  <si>
    <r>
      <rPr>
        <sz val="11"/>
        <color rgb="FF000000"/>
        <rFont val="Calibri"/>
      </rPr>
      <t>Remove subinterfaces and disable any inactive ports on the router via the "shutdown" command on the interface configuration mode.</t>
    </r>
  </si>
  <si>
    <r>
      <rPr>
        <sz val="11"/>
        <color rgb="FF000000"/>
        <rFont val="Calibri"/>
      </rPr>
      <t>An inactive interface is rarely monitored or controlled and may expose a network to an undetected attack on that interface. Unauthorized personnel with access to the communication facility could gain access to a router by connecting to a configured interface that is not in use.</t>
    </r>
  </si>
  <si>
    <r>
      <rPr>
        <sz val="11"/>
        <color rgb="FF000000"/>
        <rFont val="Calibri"/>
      </rPr>
      <t>Verify inactive interfaces on the router are disabled by executing a "show interface status" command and confirming the line "disabled" is present on any interface where the interface is inactive.</t>
    </r>
    <r>
      <rPr>
        <sz val="11"/>
        <color rgb="FF000000"/>
        <rFont val="Calibri"/>
      </rPr>
      <t xml:space="preserve">
</t>
    </r>
    <r>
      <rPr>
        <sz val="11"/>
        <color rgb="FF000000"/>
        <rFont val="Calibri"/>
      </rPr>
      <t>If there are any inactive interfaces enabled on the router, this is a finding.</t>
    </r>
  </si>
  <si>
    <t>V-60897</t>
  </si>
  <si>
    <r>
      <rPr>
        <sz val="11"/>
        <rFont val="Calibri"/>
      </rPr>
      <t>The Arista Multilayer Switch must protect an enclave connected to an Alternate Gateway by using an inbound filter that only permits packets with destination addresses within the sites address space.</t>
    </r>
  </si>
  <si>
    <r>
      <rPr>
        <sz val="11"/>
        <color rgb="FF000000"/>
        <rFont val="Calibri"/>
      </rPr>
      <t>Configure the ingress filter of the perimeter router connected to an Alternate Gateway to only permit packets with destination addresses of the site's NIPRNet address space or a destination address belonging to the address block assigned by the Alternate Gateway network service provider. To configure an example of such a statement, enter:</t>
    </r>
    <r>
      <rPr>
        <sz val="11"/>
        <color rgb="FF000000"/>
        <rFont val="Calibri"/>
      </rPr>
      <t xml:space="preserve">
</t>
    </r>
    <r>
      <rPr>
        <sz val="11"/>
        <color rgb="FF000000"/>
        <rFont val="Calibri"/>
      </rPr>
      <t>ip access-list [name]</t>
    </r>
    <r>
      <rPr>
        <sz val="11"/>
        <color rgb="FF000000"/>
        <rFont val="Calibri"/>
      </rPr>
      <t xml:space="preserve">
</t>
    </r>
    <r>
      <rPr>
        <sz val="11"/>
        <color rgb="FF000000"/>
        <rFont val="Calibri"/>
      </rPr>
      <t>permit ip [source] [destination]</t>
    </r>
    <r>
      <rPr>
        <sz val="11"/>
        <color rgb="FF000000"/>
        <rFont val="Calibri"/>
      </rPr>
      <t xml:space="preserve">
</t>
    </r>
    <r>
      <rPr>
        <sz val="11"/>
        <color rgb="FF000000"/>
        <rFont val="Calibri"/>
      </rPr>
      <t>exit</t>
    </r>
    <r>
      <rPr>
        <sz val="11"/>
        <color rgb="FF000000"/>
        <rFont val="Calibri"/>
      </rPr>
      <t xml:space="preserve">
</t>
    </r>
    <r>
      <rPr>
        <sz val="11"/>
        <color rgb="FF000000"/>
        <rFont val="Calibri"/>
      </rPr>
      <t>interface [router interface]</t>
    </r>
    <r>
      <rPr>
        <sz val="11"/>
        <color rgb="FF000000"/>
        <rFont val="Calibri"/>
      </rPr>
      <t xml:space="preserve">
</t>
    </r>
    <r>
      <rPr>
        <sz val="11"/>
        <color rgb="FF000000"/>
        <rFont val="Calibri"/>
      </rPr>
      <t>ip access-group [name] in</t>
    </r>
    <r>
      <rPr>
        <sz val="11"/>
        <color rgb="FF000000"/>
        <rFont val="Calibri"/>
      </rPr>
      <t xml:space="preserve">
</t>
    </r>
    <r>
      <rPr>
        <sz val="11"/>
        <color rgb="FF000000"/>
        <rFont val="Calibri"/>
      </rPr>
      <t>exit</t>
    </r>
  </si>
  <si>
    <r>
      <rPr>
        <sz val="11"/>
        <color rgb="FF000000"/>
        <rFont val="Calibri"/>
      </rPr>
      <t>Enclaves with Alternate Gateway connections must take additional steps to ensure there is no compromise on the enclave network or NIPRNet. Without verifying the destination address of traffic coming from the site's Alternate Gateway, the perimeter router could be routing transit data from the Internet into the NIPRNet. This could also make the perimeter router vulnerable to a DoS attack as well as provide a backdoor into the NIPRNet. The DoD enclave must ensure the ingress filter applied to external interfaces on a perimeter router connecting to an Approved Gateway is secure through filters permitting packets with a destination address belonging to the DoD enclave's address block.</t>
    </r>
  </si>
  <si>
    <r>
      <rPr>
        <sz val="11"/>
        <color rgb="FF000000"/>
        <rFont val="Calibri"/>
      </rPr>
      <t>Review the configuration of each router interface connecting to an Alternate Gateway via the "show running-config" command.</t>
    </r>
    <r>
      <rPr>
        <sz val="11"/>
        <color rgb="FF000000"/>
        <rFont val="Calibri"/>
      </rPr>
      <t xml:space="preserve">
</t>
    </r>
    <r>
      <rPr>
        <sz val="11"/>
        <color rgb="FF000000"/>
        <rFont val="Calibri"/>
      </rPr>
      <t>Verify each permit statement of the ingress filter only permits packets with destination addresses of the site's NIPRNet address space or a destination address belonging to the address block assigned by the Alternate Gateway network service provider.</t>
    </r>
    <r>
      <rPr>
        <sz val="11"/>
        <color rgb="FF000000"/>
        <rFont val="Calibri"/>
      </rPr>
      <t xml:space="preserve">
</t>
    </r>
    <r>
      <rPr>
        <sz val="11"/>
        <color rgb="FF000000"/>
        <rFont val="Calibri"/>
      </rPr>
      <t>If the ingress filter permits packets with addresses other than those specified, such as destination addresses of the site's NIPRNet address space or a destination address belonging to the address block assigned by the Alternate Gateway network service provider, this is a finding.</t>
    </r>
  </si>
  <si>
    <t>V-60899</t>
  </si>
  <si>
    <r>
      <rPr>
        <sz val="11"/>
        <rFont val="Calibri"/>
      </rPr>
      <t>If Border Gateway Protocol (BGP) is enabled on The Arista Multilayer Switch, The Arista Multilayer Switch must not be a BGP peer with a router from an Autonomous System belonging to any Alternate Gateway.</t>
    </r>
  </si>
  <si>
    <r>
      <rPr>
        <sz val="11"/>
        <color rgb="FF000000"/>
        <rFont val="Calibri"/>
      </rPr>
      <t>Configure a static route on the perimeter router to reach the AS of a router connecting to an Alternate Gateway</t>
    </r>
    <r>
      <rPr>
        <sz val="11"/>
        <color rgb="FF000000"/>
        <rFont val="Calibri"/>
      </rPr>
      <t xml:space="preserve">
</t>
    </r>
    <r>
      <rPr>
        <sz val="11"/>
        <color rgb="FF000000"/>
        <rFont val="Calibri"/>
      </rPr>
      <t>Ip route [destination/mask] [forwarding interface]</t>
    </r>
  </si>
  <si>
    <r>
      <rPr>
        <sz val="11"/>
        <color rgb="FF000000"/>
        <rFont val="Calibri"/>
      </rPr>
      <t>The perimeter router will not use a routing protocol to advertise NIPRNet addresses to Alternate Gateways. Most ISPs use Border Gateway Protocol (BGP) to share route information with other autonomous systems, that is, any network under a different administrative control and policy than a local site. If BGP is configured on the perimeter router, no BGP neighbors will be defined to peer routers from an AS belonging to any Alternate Gateway. The only allowable method is a static route to reach the Alternate Gateway.</t>
    </r>
  </si>
  <si>
    <r>
      <rPr>
        <sz val="11"/>
        <color rgb="FF000000"/>
        <rFont val="Calibri"/>
      </rPr>
      <t>This requirement applies only to DoDIN enclaves. Review the configuration of the router connecting to the Alternate Gateway via the "show router bgp [processID]" command.</t>
    </r>
    <r>
      <rPr>
        <sz val="11"/>
        <color rgb="FF000000"/>
        <rFont val="Calibri"/>
      </rPr>
      <t xml:space="preserve">
</t>
    </r>
    <r>
      <rPr>
        <sz val="11"/>
        <color rgb="FF000000"/>
        <rFont val="Calibri"/>
      </rPr>
      <t>Verify there are no BGP neighbors configured to the remote AS that belongs to the Alternate Gateway service provider.</t>
    </r>
    <r>
      <rPr>
        <sz val="11"/>
        <color rgb="FF000000"/>
        <rFont val="Calibri"/>
      </rPr>
      <t xml:space="preserve">
</t>
    </r>
    <r>
      <rPr>
        <sz val="11"/>
        <color rgb="FF000000"/>
        <rFont val="Calibri"/>
      </rPr>
      <t>If there are BGP neighbors connecting the remote AS of the Alternate Gateway service provider, this is a finding.</t>
    </r>
  </si>
  <si>
    <t>V-60903</t>
  </si>
  <si>
    <r>
      <rPr>
        <sz val="11"/>
        <rFont val="Calibri"/>
      </rPr>
      <t>The Arista Multilayer Switch must not redistribute static routes to alternate gateway service provider into an Exterior Gateway Protocol or Interior Gateway Protocol to the NIPRNet or to other Autonomous System.</t>
    </r>
  </si>
  <si>
    <r>
      <rPr>
        <sz val="11"/>
        <color rgb="FF000000"/>
        <rFont val="Calibri"/>
      </rPr>
      <t>Configure the router so that static routes are not redistributed to an Alternate Gateway into either an Exterior Gateway Protocol or Interior Gateway Protocol to the NIPRNet or to other Autonomous System. Enter "no redistribute static" into the routing process configuration to fulfill this requirement.</t>
    </r>
    <r>
      <rPr>
        <sz val="11"/>
        <color rgb="FF000000"/>
        <rFont val="Calibri"/>
      </rPr>
      <t xml:space="preserve">
</t>
    </r>
    <r>
      <rPr>
        <sz val="11"/>
        <color rgb="FF000000"/>
        <rFont val="Calibri"/>
      </rPr>
      <t>To configure a Route Map to allow for redistribution of some static routes, refer to Chapter 18.3 of the Arista Configuration Manual.</t>
    </r>
  </si>
  <si>
    <r>
      <rPr>
        <sz val="11"/>
        <color rgb="FF000000"/>
        <rFont val="Calibri"/>
      </rPr>
      <t>If the static routes to the alternate gateway are being redistributed into an Exterior Gateway Protocol or Interior Gateway Protocol to a NIPRNet gateway, this could make traffic on NIPRNet flow to that particular router and not to the Internet Access Point routers. This could not only wreak havoc with traffic flows on NIPRNet, but it could overwhelm the connection from the router to the NIPRNet gateway(s) and also cause traffic destined for outside of NIPRNet to bypass the defenses of the Internet Access Points.</t>
    </r>
  </si>
  <si>
    <r>
      <rPr>
        <sz val="11"/>
        <color rgb="FF000000"/>
        <rFont val="Calibri"/>
      </rPr>
      <t>This requirement applies only to DoDIN enclaves. Review the configuration of the route connecting to the Alternate Gateway.</t>
    </r>
    <r>
      <rPr>
        <sz val="11"/>
        <color rgb="FF000000"/>
        <rFont val="Calibri"/>
      </rPr>
      <t xml:space="preserve">
</t>
    </r>
    <r>
      <rPr>
        <sz val="11"/>
        <color rgb="FF000000"/>
        <rFont val="Calibri"/>
      </rPr>
      <t>Verify redistribution of static routes to the Alternate Gateway is not occurring by reviewing the running configuration via the "show running-config" command. In the appropriate routing protocol configuration, there must not be a "redistribute static" statement. If there is a redistribute static statement, there must be an accompanying route map to prevent redistribution of routes to the alternate gateway.</t>
    </r>
    <r>
      <rPr>
        <sz val="11"/>
        <color rgb="FF000000"/>
        <rFont val="Calibri"/>
      </rPr>
      <t xml:space="preserve">
</t>
    </r>
    <r>
      <rPr>
        <sz val="11"/>
        <color rgb="FF000000"/>
        <rFont val="Calibri"/>
      </rPr>
      <t>If the static routes to the Alternate Gateway are being redistributed into an Exterior Gateway Protocol or Interior Gateway Protocol to a NIPRNet gateway, this is a finding.</t>
    </r>
  </si>
  <si>
    <t>V-60905</t>
  </si>
  <si>
    <r>
      <rPr>
        <sz val="11"/>
        <rFont val="Calibri"/>
      </rPr>
      <t>The Arista Multilayer Switch must enforce that Interior Gateway Protocol instances configured on the out-of-band management gateway router only peer with their own routing domain.</t>
    </r>
  </si>
  <si>
    <r>
      <rPr>
        <sz val="11"/>
        <color rgb="FF000000"/>
        <rFont val="Calibri"/>
      </rPr>
      <t>Configure the router to enforce that Interior Gateway Protocol instances configured on the out-of-band management gateway router only peer with their own routing domain.</t>
    </r>
    <r>
      <rPr>
        <sz val="11"/>
        <color rgb="FF000000"/>
        <rFont val="Calibri"/>
      </rPr>
      <t xml:space="preserve">
</t>
    </r>
    <r>
      <rPr>
        <sz val="11"/>
        <color rgb="FF000000"/>
        <rFont val="Calibri"/>
      </rPr>
      <t>To configure a management vrf, enter the following from the configuration mode:</t>
    </r>
    <r>
      <rPr>
        <sz val="11"/>
        <color rgb="FF000000"/>
        <rFont val="Calibri"/>
      </rPr>
      <t xml:space="preserve">
</t>
    </r>
    <r>
      <rPr>
        <sz val="11"/>
        <color rgb="FF000000"/>
        <rFont val="Calibri"/>
      </rPr>
      <t>vrf definition [name]</t>
    </r>
    <r>
      <rPr>
        <sz val="11"/>
        <color rgb="FF000000"/>
        <rFont val="Calibri"/>
      </rPr>
      <t xml:space="preserve">
</t>
    </r>
    <r>
      <rPr>
        <sz val="11"/>
        <color rgb="FF000000"/>
        <rFont val="Calibri"/>
      </rPr>
      <t>rd [AS#]:[local assignment]</t>
    </r>
    <r>
      <rPr>
        <sz val="11"/>
        <color rgb="FF000000"/>
        <rFont val="Calibri"/>
      </rPr>
      <t xml:space="preserve">
</t>
    </r>
    <r>
      <rPr>
        <sz val="11"/>
        <color rgb="FF000000"/>
        <rFont val="Calibri"/>
      </rPr>
      <t>Then, from the interface configuration mode, assign the interface to the VRF:</t>
    </r>
    <r>
      <rPr>
        <sz val="11"/>
        <color rgb="FF000000"/>
        <rFont val="Calibri"/>
      </rPr>
      <t xml:space="preserve">
</t>
    </r>
    <r>
      <rPr>
        <sz val="11"/>
        <color rgb="FF000000"/>
        <rFont val="Calibri"/>
      </rPr>
      <t>interface [type][number]</t>
    </r>
    <r>
      <rPr>
        <sz val="11"/>
        <color rgb="FF000000"/>
        <rFont val="Calibri"/>
      </rPr>
      <t xml:space="preserve">
</t>
    </r>
    <r>
      <rPr>
        <sz val="11"/>
        <color rgb="FF000000"/>
        <rFont val="Calibri"/>
      </rPr>
      <t>vrf forwarding [vrf name]</t>
    </r>
    <r>
      <rPr>
        <sz val="11"/>
        <color rgb="FF000000"/>
        <rFont val="Calibri"/>
      </rPr>
      <t xml:space="preserve">
</t>
    </r>
    <r>
      <rPr>
        <sz val="11"/>
        <color rgb="FF000000"/>
        <rFont val="Calibri"/>
      </rPr>
      <t>Then enable IP routing for the VRF:</t>
    </r>
    <r>
      <rPr>
        <sz val="11"/>
        <color rgb="FF000000"/>
        <rFont val="Calibri"/>
      </rPr>
      <t xml:space="preserve">
</t>
    </r>
    <r>
      <rPr>
        <sz val="11"/>
        <color rgb="FF000000"/>
        <rFont val="Calibri"/>
      </rPr>
      <t>ip routing vrf [name]</t>
    </r>
    <r>
      <rPr>
        <sz val="11"/>
        <color rgb="FF000000"/>
        <rFont val="Calibri"/>
      </rPr>
      <t xml:space="preserve">
</t>
    </r>
    <r>
      <rPr>
        <sz val="11"/>
        <color rgb="FF000000"/>
        <rFont val="Calibri"/>
      </rPr>
      <t>Then, from the IGP configuration mode interface, configure the routing protocols.</t>
    </r>
    <r>
      <rPr>
        <sz val="11"/>
        <color rgb="FF000000"/>
        <rFont val="Calibri"/>
      </rPr>
      <t xml:space="preserve">
</t>
    </r>
    <r>
      <rPr>
        <sz val="11"/>
        <color rgb="FF000000"/>
        <rFont val="Calibri"/>
      </rPr>
      <t>router [protocol] [processID]</t>
    </r>
    <r>
      <rPr>
        <sz val="11"/>
        <color rgb="FF000000"/>
        <rFont val="Calibri"/>
      </rPr>
      <t xml:space="preserve">
</t>
    </r>
    <r>
      <rPr>
        <sz val="11"/>
        <color rgb="FF000000"/>
        <rFont val="Calibri"/>
      </rPr>
      <t>vrf [name]</t>
    </r>
    <r>
      <rPr>
        <sz val="11"/>
        <color rgb="FF000000"/>
        <rFont val="Calibri"/>
      </rPr>
      <t xml:space="preserve">
</t>
    </r>
    <r>
      <rPr>
        <sz val="11"/>
        <color rgb="FF000000"/>
        <rFont val="Calibri"/>
      </rPr>
      <t>[configuration statement]</t>
    </r>
    <r>
      <rPr>
        <sz val="11"/>
        <color rgb="FF000000"/>
        <rFont val="Calibri"/>
      </rPr>
      <t xml:space="preserve">
</t>
    </r>
    <r>
      <rPr>
        <sz val="11"/>
        <color rgb="FF000000"/>
        <rFont val="Calibri"/>
      </rPr>
      <t>To remove offending redistribute statements, enter the command:</t>
    </r>
    <r>
      <rPr>
        <sz val="11"/>
        <color rgb="FF000000"/>
        <rFont val="Calibri"/>
      </rPr>
      <t xml:space="preserve">
</t>
    </r>
    <r>
      <rPr>
        <sz val="11"/>
        <color rgb="FF000000"/>
        <rFont val="Calibri"/>
      </rPr>
      <t>no redistribute [connected/ospf/bgp/etc]</t>
    </r>
  </si>
  <si>
    <r>
      <rPr>
        <sz val="11"/>
        <color rgb="FF000000"/>
        <rFont val="Calibri"/>
      </rPr>
      <t>If the gateway router is not a dedicated device for the out-of-band management network, implementation of several safeguards for containment of management and production traffic boundaries must occur. Since the managed and management network are separate routing domains, configuration of separate Interior Gateway Protocol routing instances is critical on the router to segregate traffic from each network.</t>
    </r>
  </si>
  <si>
    <r>
      <rPr>
        <sz val="11"/>
        <color rgb="FF000000"/>
        <rFont val="Calibri"/>
      </rPr>
      <t>Verify that the out-of-band management interface is an adjacency in the Interior Gateway Protocol routing domain for the management network. This requirement does not apply to in-band management networks.</t>
    </r>
    <r>
      <rPr>
        <sz val="11"/>
        <color rgb="FF000000"/>
        <rFont val="Calibri"/>
      </rPr>
      <t xml:space="preserve">
</t>
    </r>
    <r>
      <rPr>
        <sz val="11"/>
        <color rgb="FF000000"/>
        <rFont val="Calibri"/>
      </rPr>
      <t>The out-of-band management interface will not form an adjacency with the IGP running on the switch. If the Arista MLS is acting as the gateway for the management network, and management traffic is ingressing the switch via in-band dataplane interfaces, these interfaces may be in a dedicated VRF for the management network. To verify this VRF, run a "show vrf" and confirm the interfaces handling management traffic are displayed in the resulting output. Alternatively, if VRFs are not used, the management network must use a separate routing domain that is not advertised or redistributed to the managed network. This can be verified by checking the relevant configuration statements for the routing protocol instances and ensuring no redistribute statement exists that will bridge the managed and management networks.</t>
    </r>
    <r>
      <rPr>
        <sz val="11"/>
        <color rgb="FF000000"/>
        <rFont val="Calibri"/>
      </rPr>
      <t xml:space="preserve">
</t>
    </r>
    <r>
      <rPr>
        <sz val="11"/>
        <color rgb="FF000000"/>
        <rFont val="Calibri"/>
      </rPr>
      <t>Using the "show ip route" command will also verify this requirement by displaying the routing tables. Stipulating the VRF via the "show ip route vrf [name]" will display a separate routing table for a configured VRF, distinct from the default routing table in the default VRF, provided by the "show ip route" command with an unspecified VRF.</t>
    </r>
    <r>
      <rPr>
        <sz val="11"/>
        <color rgb="FF000000"/>
        <rFont val="Calibri"/>
      </rPr>
      <t xml:space="preserve">
</t>
    </r>
    <r>
      <rPr>
        <sz val="11"/>
        <color rgb="FF000000"/>
        <rFont val="Calibri"/>
      </rPr>
      <t>If the router does not enforce that Interior Gateway Protocol instances configured on the out-of-band management gateway router only peer with their own routing domain, this is a finding.</t>
    </r>
  </si>
  <si>
    <t>V-60907</t>
  </si>
  <si>
    <r>
      <rPr>
        <sz val="11"/>
        <rFont val="Calibri"/>
      </rPr>
      <t>The Arista Multilayer Switch must enforce that the managed network domain and the management network domain are separate routing domains and the Interior Gateway Protocol instances are not redistributed or advertised to each other.</t>
    </r>
  </si>
  <si>
    <r>
      <rPr>
        <sz val="11"/>
        <color rgb="FF000000"/>
        <rFont val="Calibri"/>
      </rPr>
      <t>Configure the Interior Gateway Protocol instance used for the managed network to prohibit redistribution of routes into the Interior Gateway Protocol instance used for the management network, and vice versa.</t>
    </r>
    <r>
      <rPr>
        <sz val="11"/>
        <color rgb="FF000000"/>
        <rFont val="Calibri"/>
      </rPr>
      <t xml:space="preserve">
</t>
    </r>
    <r>
      <rPr>
        <sz val="11"/>
        <color rgb="FF000000"/>
        <rFont val="Calibri"/>
      </rPr>
      <t>This can be configured via the VRF configuration provided in SRG-NET-000019-RTR-000012.</t>
    </r>
  </si>
  <si>
    <r>
      <rPr>
        <sz val="11"/>
        <color rgb="FF000000"/>
        <rFont val="Calibri"/>
      </rPr>
      <t xml:space="preserve">If the gateway router is not a dedicated device for the out-of-band management network, several safeguards must be implemented for containment of management and production traffic boundaries; otherwise, it is possible that management traffic will not be separated from production traffic. </t>
    </r>
    <r>
      <rPr>
        <sz val="11"/>
        <color rgb="FF000000"/>
        <rFont val="Calibri"/>
      </rPr>
      <t xml:space="preserve">
</t>
    </r>
    <r>
      <rPr>
        <sz val="11"/>
        <color rgb="FF000000"/>
        <rFont val="Calibri"/>
      </rPr>
      <t>Since the managed network and the management network are separate routing domains, separate Interior Gateway Protocol routing instances must be configured on the router, one for the managed network and one for the out-of-band management network. In addition, the routes from the two domains must not be redistributed to each other.</t>
    </r>
  </si>
  <si>
    <r>
      <rPr>
        <sz val="11"/>
        <color rgb="FF000000"/>
        <rFont val="Calibri"/>
      </rPr>
      <t>Verify the Interior Gateway Protocol instance used for the managed network does not redistribute routes into the Interior Gateway Protocol instance used for the management network, and vice versa.</t>
    </r>
    <r>
      <rPr>
        <sz val="11"/>
        <color rgb="FF000000"/>
        <rFont val="Calibri"/>
      </rPr>
      <t xml:space="preserve">
</t>
    </r>
    <r>
      <rPr>
        <sz val="11"/>
        <color rgb="FF000000"/>
        <rFont val="Calibri"/>
      </rPr>
      <t>This can be verified via the "show run section [routing protocol]" command. The output of this command will display the active configuration for the routing protocol on the switch. Verify the routing protocol configuration does not contain a statement redistributing or advertising routes from the managed domain into the management domain, or vice versa.</t>
    </r>
    <r>
      <rPr>
        <sz val="11"/>
        <color rgb="FF000000"/>
        <rFont val="Calibri"/>
      </rPr>
      <t xml:space="preserve">
</t>
    </r>
    <r>
      <rPr>
        <sz val="11"/>
        <color rgb="FF000000"/>
        <rFont val="Calibri"/>
      </rPr>
      <t>Using the "show ip route" command will also verify this requirement by displaying the routing tables. Stipulating the VRF via the "show ip route vrf [name]" will display a separate routing table for a configured VRF, distinct from the default routing table in the default VRF, provided by the "show ip route" command with an unspecified VRF.</t>
    </r>
    <r>
      <rPr>
        <sz val="11"/>
        <color rgb="FF000000"/>
        <rFont val="Calibri"/>
      </rPr>
      <t xml:space="preserve">
</t>
    </r>
    <r>
      <rPr>
        <sz val="11"/>
        <color rgb="FF000000"/>
        <rFont val="Calibri"/>
      </rPr>
      <t>If the Interior Gateway Protocol instance used for the managed network redistributes routes into the Interior Gateway Protocol instance used for the management network, or vice versa, this is a finding.</t>
    </r>
  </si>
  <si>
    <t>V-60909</t>
  </si>
  <si>
    <r>
      <rPr>
        <sz val="11"/>
        <rFont val="Calibri"/>
      </rPr>
      <t>The Arista Multilayer Switch must enforce that any interface used for out-of-band management traffic is configured to be passive for the Interior Gateway Protocol that is utilized on that management interface.</t>
    </r>
  </si>
  <si>
    <r>
      <rPr>
        <sz val="11"/>
        <color rgb="FF000000"/>
        <rFont val="Calibri"/>
      </rPr>
      <t>Configure the management interface as passive for the Interior Gateway Protocol instance configured for the managed network.</t>
    </r>
    <r>
      <rPr>
        <sz val="11"/>
        <color rgb="FF000000"/>
        <rFont val="Calibri"/>
      </rPr>
      <t xml:space="preserve">
</t>
    </r>
    <r>
      <rPr>
        <sz val="11"/>
        <color rgb="FF000000"/>
        <rFont val="Calibri"/>
      </rPr>
      <t>From the router configuration interface:</t>
    </r>
    <r>
      <rPr>
        <sz val="11"/>
        <color rgb="FF000000"/>
        <rFont val="Calibri"/>
      </rPr>
      <t xml:space="preserve">
</t>
    </r>
    <r>
      <rPr>
        <sz val="11"/>
        <color rgb="FF000000"/>
        <rFont val="Calibri"/>
      </rPr>
      <t>passive-interface management [#]</t>
    </r>
  </si>
  <si>
    <r>
      <rPr>
        <sz val="11"/>
        <color rgb="FF000000"/>
        <rFont val="Calibri"/>
      </rPr>
      <t>The out-of-band management access switch will connect to the management interface of the managed network elements. The management interface can be a true out-of-band management interface or a standard interface functioning as the management interface. In either case, the management interface of the managed network element will directly connect to the out-of-band management network.</t>
    </r>
    <r>
      <rPr>
        <sz val="11"/>
        <color rgb="FF000000"/>
        <rFont val="Calibri"/>
      </rPr>
      <t xml:space="preserve">
</t>
    </r>
    <r>
      <rPr>
        <sz val="11"/>
        <color rgb="FF000000"/>
        <rFont val="Calibri"/>
      </rPr>
      <t>An out-of-band management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out-of-band management port, the interface functioning as the management interface must be configured so that management traffic, both data plane and control plane, does not leak into the managed network and that production traffic does not leak into the management network.</t>
    </r>
  </si>
  <si>
    <r>
      <rPr>
        <sz val="11"/>
        <color rgb="FF000000"/>
        <rFont val="Calibri"/>
      </rPr>
      <t>Review the configuration to verify the management interface is configured as passive for the Interior Gateway Protocol instance for the managed network.</t>
    </r>
    <r>
      <rPr>
        <sz val="11"/>
        <color rgb="FF000000"/>
        <rFont val="Calibri"/>
      </rPr>
      <t xml:space="preserve">
</t>
    </r>
    <r>
      <rPr>
        <sz val="11"/>
        <color rgb="FF000000"/>
        <rFont val="Calibri"/>
      </rPr>
      <t>The configuration of the routing protocol viewable via the "show running-config" command must include the following statement:</t>
    </r>
    <r>
      <rPr>
        <sz val="11"/>
        <color rgb="FF000000"/>
        <rFont val="Calibri"/>
      </rPr>
      <t xml:space="preserve">
</t>
    </r>
    <r>
      <rPr>
        <sz val="11"/>
        <color rgb="FF000000"/>
        <rFont val="Calibri"/>
      </rPr>
      <t>passive-interface [management] [#]</t>
    </r>
    <r>
      <rPr>
        <sz val="11"/>
        <color rgb="FF000000"/>
        <rFont val="Calibri"/>
      </rPr>
      <t xml:space="preserve">
</t>
    </r>
    <r>
      <rPr>
        <sz val="11"/>
        <color rgb="FF000000"/>
        <rFont val="Calibri"/>
      </rPr>
      <t>or</t>
    </r>
    <r>
      <rPr>
        <sz val="11"/>
        <color rgb="FF000000"/>
        <rFont val="Calibri"/>
      </rPr>
      <t xml:space="preserve">
</t>
    </r>
    <r>
      <rPr>
        <sz val="11"/>
        <color rgb="FF000000"/>
        <rFont val="Calibri"/>
      </rPr>
      <t>passive-interface [default]</t>
    </r>
    <r>
      <rPr>
        <sz val="11"/>
        <color rgb="FF000000"/>
        <rFont val="Calibri"/>
      </rPr>
      <t xml:space="preserve">
</t>
    </r>
    <r>
      <rPr>
        <sz val="11"/>
        <color rgb="FF000000"/>
        <rFont val="Calibri"/>
      </rPr>
      <t>Note that not all protocols support the concept of a passive interface, such as the use of BGP for an IGP. As the function of these protocols is different, if this statement is missing from a protocol that does not support this function, this is not a finding.</t>
    </r>
    <r>
      <rPr>
        <sz val="11"/>
        <color rgb="FF000000"/>
        <rFont val="Calibri"/>
      </rPr>
      <t xml:space="preserve">
</t>
    </r>
    <r>
      <rPr>
        <sz val="11"/>
        <color rgb="FF000000"/>
        <rFont val="Calibri"/>
      </rPr>
      <t>If the management interface is not configured as passive for the Interior Gateway Protocol instance for the managed network, this is a finding.</t>
    </r>
  </si>
  <si>
    <t>V-60911</t>
  </si>
  <si>
    <r>
      <rPr>
        <sz val="11"/>
        <rFont val="Calibri"/>
      </rPr>
      <t>The Arista Multilayer Switch must enforce information flow control using explicit security attributes (for example, IP addresses, port numbers, protocol, Autonomous System, or interface) on information, source, and destination objects.</t>
    </r>
  </si>
  <si>
    <r>
      <rPr>
        <sz val="11"/>
        <color rgb="FF000000"/>
        <rFont val="Calibri"/>
      </rPr>
      <t>Configure the router to enforce flow control using explicit security attributes (for example, IP addresses, port numbers, protocol, Autonomous System, or interface) on information, source, and destination objects as a basis for flow control decisions.</t>
    </r>
    <r>
      <rPr>
        <sz val="11"/>
        <color rgb="FF000000"/>
        <rFont val="Calibri"/>
      </rPr>
      <t xml:space="preserve">
</t>
    </r>
    <r>
      <rPr>
        <sz val="11"/>
        <color rgb="FF000000"/>
        <rFont val="Calibri"/>
      </rPr>
      <t>To enforce flow control using explicit security attributes, configure access control lists as per organization-defined requirements, to include statements such as:</t>
    </r>
    <r>
      <rPr>
        <sz val="11"/>
        <color rgb="FF000000"/>
        <rFont val="Calibri"/>
      </rPr>
      <t xml:space="preserve">
</t>
    </r>
    <r>
      <rPr>
        <sz val="11"/>
        <color rgb="FF000000"/>
        <rFont val="Calibri"/>
      </rPr>
      <t>ip access-list [Name}</t>
    </r>
    <r>
      <rPr>
        <sz val="11"/>
        <color rgb="FF000000"/>
        <rFont val="Calibri"/>
      </rPr>
      <t xml:space="preserve">
</t>
    </r>
    <r>
      <rPr>
        <sz val="11"/>
        <color rgb="FF000000"/>
        <rFont val="Calibri"/>
      </rPr>
      <t>deny [protocol] [source address] [source port] [destination address] [destination port] [dscp filter] [ttl filter]</t>
    </r>
  </si>
  <si>
    <r>
      <rPr>
        <sz val="11"/>
        <color rgb="FF000000"/>
        <rFont val="Calibri"/>
      </rPr>
      <t>Information flow control regulates where information is allowed to travel within a network and between interconnected networks. The flow of all network traffic must be monitored and controlled so it does not introduce any unacceptable risk to the network infrastructure or data. Restrictions can be enforced based on source and destination IP addresses as well as the ports and services being requested. This requirement should enforce the deny-by-default policy whereby only the known and accepted traffic will be allowed outbound and inbound.</t>
    </r>
  </si>
  <si>
    <r>
      <rPr>
        <sz val="11"/>
        <color rgb="FF000000"/>
        <rFont val="Calibri"/>
      </rPr>
      <t>If explicit security attributes (for example, IP addresses, port numbers, protocol, Autonomous System, or interface) are not used to enforce information flow control, this is a finding.</t>
    </r>
    <r>
      <rPr>
        <sz val="11"/>
        <color rgb="FF000000"/>
        <rFont val="Calibri"/>
      </rPr>
      <t xml:space="preserve">
</t>
    </r>
    <r>
      <rPr>
        <sz val="11"/>
        <color rgb="FF000000"/>
        <rFont val="Calibri"/>
      </rPr>
      <t>Review the configuration of any access control list on the switch to determine if explicit attributes are being utilized. The ACL must include explicit attributes such as ip addresses, port numbers, protocols, etc.</t>
    </r>
    <r>
      <rPr>
        <sz val="11"/>
        <color rgb="FF000000"/>
        <rFont val="Calibri"/>
      </rPr>
      <t xml:space="preserve">
</t>
    </r>
    <r>
      <rPr>
        <sz val="11"/>
        <color rgb="FF000000"/>
        <rFont val="Calibri"/>
      </rPr>
      <t>Note that the Arista MLS includes a deny-by-default statement that is not displayed in the CLI. This statement exists at the end of every ACL.</t>
    </r>
  </si>
  <si>
    <t>V-60913</t>
  </si>
  <si>
    <r>
      <rPr>
        <sz val="11"/>
        <rFont val="Calibri"/>
      </rPr>
      <t>The Arista Multilayer Switch must enable neighbor router authentication for control plane protocols except RIP.</t>
    </r>
  </si>
  <si>
    <r>
      <rPr>
        <sz val="11"/>
        <color rgb="FF000000"/>
        <rFont val="Calibri"/>
      </rPr>
      <t>Configure authentication to be enabled for every protocol that affects the routing or forwarding tables.</t>
    </r>
    <r>
      <rPr>
        <sz val="11"/>
        <color rgb="FF000000"/>
        <rFont val="Calibri"/>
      </rPr>
      <t xml:space="preserve">
</t>
    </r>
    <r>
      <rPr>
        <sz val="11"/>
        <color rgb="FF000000"/>
        <rFont val="Calibri"/>
      </rPr>
      <t>To configure BGP authentication, in the BGP configuration mode interface, when adding neighbors, include the following statement:</t>
    </r>
    <r>
      <rPr>
        <sz val="11"/>
        <color rgb="FF000000"/>
        <rFont val="Calibri"/>
      </rPr>
      <t xml:space="preserve">
</t>
    </r>
    <r>
      <rPr>
        <sz val="11"/>
        <color rgb="FF000000"/>
        <rFont val="Calibri"/>
      </rPr>
      <t>neighbor [ip address] password [type] [password]</t>
    </r>
    <r>
      <rPr>
        <sz val="11"/>
        <color rgb="FF000000"/>
        <rFont val="Calibri"/>
      </rPr>
      <t xml:space="preserve">
</t>
    </r>
    <r>
      <rPr>
        <sz val="11"/>
        <color rgb="FF000000"/>
        <rFont val="Calibri"/>
      </rPr>
      <t>For OSPF, under the interface configuration mode, enter the following commands:</t>
    </r>
    <r>
      <rPr>
        <sz val="11"/>
        <color rgb="FF000000"/>
        <rFont val="Calibri"/>
      </rPr>
      <t xml:space="preserve">
</t>
    </r>
    <r>
      <rPr>
        <sz val="11"/>
        <color rgb="FF000000"/>
        <rFont val="Calibri"/>
      </rPr>
      <t>ip ospf authentication message-digest</t>
    </r>
    <r>
      <rPr>
        <sz val="11"/>
        <color rgb="FF000000"/>
        <rFont val="Calibri"/>
      </rPr>
      <t xml:space="preserve">
</t>
    </r>
    <r>
      <rPr>
        <sz val="11"/>
        <color rgb="FF000000"/>
        <rFont val="Calibri"/>
      </rPr>
      <t xml:space="preserve">ip ospf authentication-key [type] [key] </t>
    </r>
    <r>
      <rPr>
        <sz val="11"/>
        <color rgb="FF000000"/>
        <rFont val="Calibri"/>
      </rPr>
      <t xml:space="preserve">
</t>
    </r>
    <r>
      <rPr>
        <sz val="11"/>
        <color rgb="FF000000"/>
        <rFont val="Calibri"/>
      </rPr>
      <t>To Globally Configure IS-IS Authentication, use:</t>
    </r>
    <r>
      <rPr>
        <sz val="11"/>
        <color rgb="FF000000"/>
        <rFont val="Calibri"/>
      </rPr>
      <t xml:space="preserve">
</t>
    </r>
    <r>
      <rPr>
        <sz val="11"/>
        <color rgb="FF000000"/>
        <rFont val="Calibri"/>
      </rPr>
      <t>router isis [instance number] authentication mode md5 [level 1 | level 2] authentication key [0|7] [key string] [level 1 | level 2]</t>
    </r>
    <r>
      <rPr>
        <sz val="11"/>
        <color rgb="FF000000"/>
        <rFont val="Calibri"/>
      </rPr>
      <t xml:space="preserve">
</t>
    </r>
    <r>
      <rPr>
        <sz val="11"/>
        <color rgb="FF000000"/>
        <rFont val="Calibri"/>
      </rPr>
      <t xml:space="preserve">Where level 1 and level 2 variable specify the authentication to be used for each type or ISIS router, the ISIS instance number is the routing protocol instance, the variables 0 and 7 represent an encrypted or unencrypted key string, and the key string is the text for the encryption string. Global configuration authenticates ISIS LSPs, CSNPs and PSNPs. </t>
    </r>
    <r>
      <rPr>
        <sz val="11"/>
        <color rgb="FF000000"/>
        <rFont val="Calibri"/>
      </rPr>
      <t xml:space="preserve">
</t>
    </r>
    <r>
      <rPr>
        <sz val="11"/>
        <color rgb="FF000000"/>
        <rFont val="Calibri"/>
      </rPr>
      <t>Interface configuration authenticates ISIS Hello PDUs, and is configured as such:</t>
    </r>
    <r>
      <rPr>
        <sz val="11"/>
        <color rgb="FF000000"/>
        <rFont val="Calibri"/>
      </rPr>
      <t xml:space="preserve">
</t>
    </r>
    <r>
      <rPr>
        <sz val="11"/>
        <color rgb="FF000000"/>
        <rFont val="Calibri"/>
      </rPr>
      <t xml:space="preserve">interface [ethernet | port-channel | vlan] [X] </t>
    </r>
    <r>
      <rPr>
        <sz val="11"/>
        <color rgb="FF000000"/>
        <rFont val="Calibri"/>
      </rPr>
      <t xml:space="preserve">
</t>
    </r>
    <r>
      <rPr>
        <sz val="11"/>
        <color rgb="FF000000"/>
        <rFont val="Calibri"/>
      </rPr>
      <t xml:space="preserve">isis authentication mode md5 </t>
    </r>
    <r>
      <rPr>
        <sz val="11"/>
        <color rgb="FF000000"/>
        <rFont val="Calibri"/>
      </rPr>
      <t xml:space="preserve">
</t>
    </r>
    <r>
      <rPr>
        <sz val="11"/>
        <color rgb="FF000000"/>
        <rFont val="Calibri"/>
      </rPr>
      <t>isis authentication key [0|7] [text]</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</si>
  <si>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merely used to disrupt the network's ability to communicate with other networks. This is known as a "traffic attraction attack" and is prevented by configuring neighbor router authentication for routing updates.</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</si>
  <si>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router configuration; for every protocol that affects the routing or forwarding tables (where information is exchanged between neighbors), verify that neighbor router authentication is enabled.</t>
    </r>
    <r>
      <rPr>
        <sz val="11"/>
        <color rgb="FF000000"/>
        <rFont val="Calibri"/>
      </rPr>
      <t xml:space="preserve">
</t>
    </r>
    <r>
      <rPr>
        <sz val="11"/>
        <color rgb="FF000000"/>
        <rFont val="Calibri"/>
      </rPr>
      <t>For BGP, this can be verified via the "show running-config" command and validating that any configured neighbor has an associated password statement. For OSPF, under the interface configuration mode, verify the following statements are configured:</t>
    </r>
    <r>
      <rPr>
        <sz val="11"/>
        <color rgb="FF000000"/>
        <rFont val="Calibri"/>
      </rPr>
      <t xml:space="preserve">
</t>
    </r>
    <r>
      <rPr>
        <sz val="11"/>
        <color rgb="FF000000"/>
        <rFont val="Calibri"/>
      </rPr>
      <t>ip ospf authentication message-digest</t>
    </r>
    <r>
      <rPr>
        <sz val="11"/>
        <color rgb="FF000000"/>
        <rFont val="Calibri"/>
      </rPr>
      <t xml:space="preserve">
</t>
    </r>
    <r>
      <rPr>
        <sz val="11"/>
        <color rgb="FF000000"/>
        <rFont val="Calibri"/>
      </rPr>
      <t>ip ospf message-digest-key [number] md5 [type] [key]</t>
    </r>
    <r>
      <rPr>
        <sz val="11"/>
        <color rgb="FF000000"/>
        <rFont val="Calibri"/>
      </rPr>
      <t xml:space="preserve">
</t>
    </r>
    <r>
      <rPr>
        <sz val="11"/>
        <color rgb="FF000000"/>
        <rFont val="Calibri"/>
      </rPr>
      <t>For IS-IS, under the interface configuration mode, verify the following statements are configured:</t>
    </r>
    <r>
      <rPr>
        <sz val="11"/>
        <color rgb="FF000000"/>
        <rFont val="Calibri"/>
      </rPr>
      <t xml:space="preserve">
</t>
    </r>
    <r>
      <rPr>
        <sz val="11"/>
        <color rgb="FF000000"/>
        <rFont val="Calibri"/>
      </rPr>
      <t>isis authentication mode md5 [level-1|level-2]</t>
    </r>
    <r>
      <rPr>
        <sz val="11"/>
        <color rgb="FF000000"/>
        <rFont val="Calibri"/>
      </rPr>
      <t xml:space="preserve">
</t>
    </r>
    <r>
      <rPr>
        <sz val="11"/>
        <color rgb="FF000000"/>
        <rFont val="Calibri"/>
      </rPr>
      <t>isis authentication key [key-string] [level-1|level-2]</t>
    </r>
    <r>
      <rPr>
        <sz val="11"/>
        <color rgb="FF000000"/>
        <rFont val="Calibri"/>
      </rPr>
      <t xml:space="preserve">
</t>
    </r>
    <r>
      <rPr>
        <sz val="11"/>
        <color rgb="FF000000"/>
        <rFont val="Calibri"/>
      </rPr>
      <t>Alternatively, under “show isis interface” the authentication mode on the interface must show as being set to MD5.</t>
    </r>
    <r>
      <rPr>
        <sz val="11"/>
        <color rgb="FF000000"/>
        <rFont val="Calibri"/>
      </rPr>
      <t xml:space="preserve">
</t>
    </r>
    <r>
      <rPr>
        <sz val="11"/>
        <color rgb="FF000000"/>
        <rFont val="Calibri"/>
      </rPr>
      <t>Additionally, the global IS-IS router configuration must be set. From the output of “show isis summary” verify that the authentication mode for Level-1 and/or Level-2 as applicable, is set to MD5.</t>
    </r>
    <r>
      <rPr>
        <sz val="11"/>
        <color rgb="FF000000"/>
        <rFont val="Calibri"/>
      </rPr>
      <t xml:space="preserve">
</t>
    </r>
    <r>
      <rPr>
        <sz val="11"/>
        <color rgb="FF000000"/>
        <rFont val="Calibri"/>
      </rPr>
      <t>If authentication is not enabled for BGP, OSPF, and IS-IS, this is a finding.</t>
    </r>
  </si>
  <si>
    <t>V-60915</t>
  </si>
  <si>
    <r>
      <rPr>
        <sz val="11"/>
        <rFont val="Calibri"/>
      </rPr>
      <t>The Arista Multilayer Switch must be configured to restrict it from accepting outbound IP packets that contain an illegitimate address in the source address field via egress filter or by enabling Unicast Reverse Path Forwarding.</t>
    </r>
  </si>
  <si>
    <r>
      <rPr>
        <sz val="11"/>
        <color rgb="FF000000"/>
        <rFont val="Calibri"/>
      </rPr>
      <t>This check is only applicable to external-facing interfaces of a network edge router.</t>
    </r>
    <r>
      <rPr>
        <sz val="11"/>
        <color rgb="FF000000"/>
        <rFont val="Calibri"/>
      </rPr>
      <t xml:space="preserve">
</t>
    </r>
    <r>
      <rPr>
        <sz val="11"/>
        <color rgb="FF000000"/>
        <rFont val="Calibri"/>
      </rPr>
      <t>Configure the router to ensure that an egress filter or uRPF is configured to restrict the router from accepting any outbound IP packet that contains an external IP address in the source field.</t>
    </r>
    <r>
      <rPr>
        <sz val="11"/>
        <color rgb="FF000000"/>
        <rFont val="Calibri"/>
      </rPr>
      <t xml:space="preserve">
</t>
    </r>
    <r>
      <rPr>
        <sz val="11"/>
        <color rgb="FF000000"/>
        <rFont val="Calibri"/>
      </rPr>
      <t>Configure uRPF via the "ip-verify unicast source reachable-via [any/strict]" statement from the interface configuration mode.</t>
    </r>
    <r>
      <rPr>
        <sz val="11"/>
        <color rgb="FF000000"/>
        <rFont val="Calibri"/>
      </rPr>
      <t xml:space="preserve">
</t>
    </r>
    <r>
      <rPr>
        <sz val="11"/>
        <color rgb="FF000000"/>
        <rFont val="Calibri"/>
      </rPr>
      <t>To apply an egress filter, configure an IP access List:</t>
    </r>
    <r>
      <rPr>
        <sz val="11"/>
        <color rgb="FF000000"/>
        <rFont val="Calibri"/>
      </rPr>
      <t xml:space="preserve">
</t>
    </r>
    <r>
      <rPr>
        <sz val="11"/>
        <color rgb="FF000000"/>
        <rFont val="Calibri"/>
      </rPr>
      <t>ip access-list [name]</t>
    </r>
    <r>
      <rPr>
        <sz val="11"/>
        <color rgb="FF000000"/>
        <rFont val="Calibri"/>
      </rPr>
      <t xml:space="preserve">
</t>
    </r>
    <r>
      <rPr>
        <sz val="11"/>
        <color rgb="FF000000"/>
        <rFont val="Calibri"/>
      </rPr>
      <t>[ip access list permit/deny statement]</t>
    </r>
    <r>
      <rPr>
        <sz val="11"/>
        <color rgb="FF000000"/>
        <rFont val="Calibri"/>
      </rPr>
      <t xml:space="preserve">
</t>
    </r>
    <r>
      <rPr>
        <sz val="11"/>
        <color rgb="FF000000"/>
        <rFont val="Calibri"/>
      </rPr>
      <t>exit</t>
    </r>
    <r>
      <rPr>
        <sz val="11"/>
        <color rgb="FF000000"/>
        <rFont val="Calibri"/>
      </rPr>
      <t xml:space="preserve">
</t>
    </r>
    <r>
      <rPr>
        <sz val="11"/>
        <color rgb="FF000000"/>
        <rFont val="Calibri"/>
      </rPr>
      <t>then apply the access list to the external facing interface:</t>
    </r>
    <r>
      <rPr>
        <sz val="11"/>
        <color rgb="FF000000"/>
        <rFont val="Calibri"/>
      </rPr>
      <t xml:space="preserve">
</t>
    </r>
    <r>
      <rPr>
        <sz val="11"/>
        <color rgb="FF000000"/>
        <rFont val="Calibri"/>
      </rPr>
      <t>int ethernet [X]</t>
    </r>
    <r>
      <rPr>
        <sz val="11"/>
        <color rgb="FF000000"/>
        <rFont val="Calibri"/>
      </rPr>
      <t xml:space="preserve">
</t>
    </r>
    <r>
      <rPr>
        <sz val="11"/>
        <color rgb="FF000000"/>
        <rFont val="Calibri"/>
      </rPr>
      <t>ip access-group [name-of-ACL] out</t>
    </r>
  </si>
  <si>
    <r>
      <rPr>
        <sz val="11"/>
        <color rgb="FF000000"/>
        <rFont val="Calibri"/>
      </rPr>
      <t>A compromised host in an enclave can be used by a malicious actor as a platform to launch cyber attacks on third parties. This is a common practice in "botnets", which are collections of compromised computers using malware to attack (usually DDoS) other computers or networks. DDoS attacks frequently leverage IP source address spoofing, in which packets with false source IP addresses send traffic to multiple hosts, which then send return traffic to the hosts with the IP addresses that were forged. This can generate significant, even massive, amounts of traffic. Therefore, protection measures to counteract IP source address spoofing must be taken.</t>
    </r>
    <r>
      <rPr>
        <sz val="11"/>
        <color rgb="FF000000"/>
        <rFont val="Calibri"/>
      </rPr>
      <t xml:space="preserve">
</t>
    </r>
    <r>
      <rPr>
        <sz val="11"/>
        <color rgb="FF000000"/>
        <rFont val="Calibri"/>
      </rPr>
      <t>The router must not accept any outbound IP packets that contain an illegitimate address in the source address field by enabling Unicast Reverse Path Forwarding (uRPF) strict mode or by implementing an egress ACL. Unicast Reverse Path Forwarding (uRPF) provides an IP address spoof protection capability. When uRPF is enabled in strict mode, the packet must be received on the interface that the device would use to forward the return packet.</t>
    </r>
  </si>
  <si>
    <r>
      <rPr>
        <sz val="11"/>
        <color rgb="FF000000"/>
        <rFont val="Calibri"/>
      </rPr>
      <t>This check is only applicable to external-facing interfaces of a network edge router.</t>
    </r>
    <r>
      <rPr>
        <sz val="11"/>
        <color rgb="FF000000"/>
        <rFont val="Calibri"/>
      </rPr>
      <t xml:space="preserve">
</t>
    </r>
    <r>
      <rPr>
        <sz val="11"/>
        <color rgb="FF000000"/>
        <rFont val="Calibri"/>
      </rPr>
      <t>Review the router configuration to verify uRPF or an egress filter to restrict the router from accepting outbound IP packets that contain an illegitimate address in the source address field has been configured on all external interfaces. This is only applicable to perimeter routers.</t>
    </r>
    <r>
      <rPr>
        <sz val="11"/>
        <color rgb="FF000000"/>
        <rFont val="Calibri"/>
      </rPr>
      <t xml:space="preserve">
</t>
    </r>
    <r>
      <rPr>
        <sz val="11"/>
        <color rgb="FF000000"/>
        <rFont val="Calibri"/>
      </rPr>
      <t>If uRPF or an egress filter to restrict the router from accepting outbound IP packets that contain an illegitimate address in the source address field has not been configured on all internal interfaces in an enclave, this is a finding.</t>
    </r>
    <r>
      <rPr>
        <sz val="11"/>
        <color rgb="FF000000"/>
        <rFont val="Calibri"/>
      </rPr>
      <t xml:space="preserve">
</t>
    </r>
    <r>
      <rPr>
        <sz val="11"/>
        <color rgb="FF000000"/>
        <rFont val="Calibri"/>
      </rPr>
      <t>To verify that uRPF is configured, review the running-config for the interfaces required. The statement "ip-verify unicast source reachable" must be in the configuration. To verify use of an egress filter, verify an IP access list is configured that permits traffic sourced from within the organization address space and that the access list is applied to the egress interface.</t>
    </r>
  </si>
  <si>
    <t>V-60917</t>
  </si>
  <si>
    <r>
      <rPr>
        <sz val="11"/>
        <rFont val="Calibri"/>
      </rPr>
      <t>The Arista Multilayer Switch must be configured to disable non-essential capabilities.</t>
    </r>
  </si>
  <si>
    <r>
      <rPr>
        <sz val="11"/>
        <color rgb="FF000000"/>
        <rFont val="Calibri"/>
      </rPr>
      <t>Remove unneeded services and functions from the router. Removal is recommended since the service or function may be inadvertently enabled otherwise. However, if removal is not possible, disable the service or function.</t>
    </r>
  </si>
  <si>
    <r>
      <rPr>
        <sz val="11"/>
        <color rgb="FF000000"/>
        <rFont val="Calibri"/>
      </rPr>
      <t>A compromised router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router is to enable only the capabilities required for operation.</t>
    </r>
  </si>
  <si>
    <r>
      <rPr>
        <sz val="11"/>
        <color rgb="FF000000"/>
        <rFont val="Calibri"/>
      </rPr>
      <t>Review the router configuration to determine if services or functions not required for operation, or not related to router functionality (e.g., DNS, email client or server, FTP server, or web server) are enabled.</t>
    </r>
    <r>
      <rPr>
        <sz val="11"/>
        <color rgb="FF000000"/>
        <rFont val="Calibri"/>
      </rPr>
      <t xml:space="preserve">
</t>
    </r>
    <r>
      <rPr>
        <sz val="11"/>
        <color rgb="FF000000"/>
        <rFont val="Calibri"/>
      </rPr>
      <t>If unnecessary services and functions are enabled on the router, this is a finding.</t>
    </r>
  </si>
  <si>
    <t>V-60919</t>
  </si>
  <si>
    <r>
      <rPr>
        <sz val="11"/>
        <rFont val="Calibri"/>
      </rPr>
      <t>The Arista Multilayer Switch must encrypt all methods of configured authentication for the OSPF routing protocol.</t>
    </r>
  </si>
  <si>
    <r>
      <rPr>
        <sz val="11"/>
        <color rgb="FF000000"/>
        <rFont val="Calibri"/>
      </rPr>
      <t>Configure routing protocol authentication to encrypt the authentication key via the following commands under the interface configuration mode. SHA1 must be used instead of MD5 in all cases when that option is available.</t>
    </r>
    <r>
      <rPr>
        <sz val="11"/>
        <color rgb="FF000000"/>
        <rFont val="Calibri"/>
      </rPr>
      <t xml:space="preserve">
</t>
    </r>
    <r>
      <rPr>
        <sz val="11"/>
        <color rgb="FF000000"/>
        <rFont val="Calibri"/>
      </rPr>
      <t>ip ospf authentication message-digest</t>
    </r>
    <r>
      <rPr>
        <sz val="11"/>
        <color rgb="FF000000"/>
        <rFont val="Calibri"/>
      </rPr>
      <t xml:space="preserve">
</t>
    </r>
    <r>
      <rPr>
        <sz val="11"/>
        <color rgb="FF000000"/>
        <rFont val="Calibri"/>
      </rPr>
      <t>ip ospf message-digest-key [number] md5 [type] [key]</t>
    </r>
    <r>
      <rPr>
        <sz val="11"/>
        <color rgb="FF000000"/>
        <rFont val="Calibri"/>
      </rPr>
      <t xml:space="preserve">
</t>
    </r>
    <r>
      <rPr>
        <sz val="11"/>
        <color rgb="FF000000"/>
        <rFont val="Calibri"/>
      </rPr>
      <t>For IPv6 global configuration, enter:</t>
    </r>
    <r>
      <rPr>
        <sz val="11"/>
        <color rgb="FF000000"/>
        <rFont val="Calibri"/>
      </rPr>
      <t xml:space="preserve">
</t>
    </r>
    <r>
      <rPr>
        <sz val="11"/>
        <color rgb="FF000000"/>
        <rFont val="Calibri"/>
      </rPr>
      <t>ipv6 router ospf [process number]</t>
    </r>
    <r>
      <rPr>
        <sz val="11"/>
        <color rgb="FF000000"/>
        <rFont val="Calibri"/>
      </rPr>
      <t xml:space="preserve">
</t>
    </r>
    <r>
      <rPr>
        <sz val="11"/>
        <color rgb="FF000000"/>
        <rFont val="Calibri"/>
      </rPr>
      <t>area [area number] authentication ipsec spi [spi number] [md5/sha1] [passphrase/key] [0/7] [passphrase/key]</t>
    </r>
    <r>
      <rPr>
        <sz val="11"/>
        <color rgb="FF000000"/>
        <rFont val="Calibri"/>
      </rPr>
      <t xml:space="preserve">
</t>
    </r>
    <r>
      <rPr>
        <sz val="11"/>
        <color rgb="FF000000"/>
        <rFont val="Calibri"/>
      </rPr>
      <t>Alternatively, under the interface configuration mode, enter:</t>
    </r>
    <r>
      <rPr>
        <sz val="11"/>
        <color rgb="FF000000"/>
        <rFont val="Calibri"/>
      </rPr>
      <t xml:space="preserve">
</t>
    </r>
    <r>
      <rPr>
        <sz val="11"/>
        <color rgb="FF000000"/>
        <rFont val="Calibri"/>
      </rPr>
      <t>ipv6 ospf authentication ipsec spi [spi number] [md5/sha1] [passphrase/key] [0/7] [passphrase/key]</t>
    </r>
    <r>
      <rPr>
        <sz val="11"/>
        <color rgb="FF000000"/>
        <rFont val="Calibri"/>
      </rPr>
      <t xml:space="preserve">
</t>
    </r>
    <r>
      <rPr>
        <sz val="11"/>
        <color rgb="FF000000"/>
        <rFont val="Calibri"/>
      </rPr>
      <t>To use ESP encryption on AH headers, instead enter:</t>
    </r>
    <r>
      <rPr>
        <sz val="11"/>
        <color rgb="FF000000"/>
        <rFont val="Calibri"/>
      </rPr>
      <t xml:space="preserve">
</t>
    </r>
    <r>
      <rPr>
        <sz val="11"/>
        <color rgb="FF000000"/>
        <rFont val="Calibri"/>
      </rPr>
      <t>ipv6 router ospf [process number]</t>
    </r>
    <r>
      <rPr>
        <sz val="11"/>
        <color rgb="FF000000"/>
        <rFont val="Calibri"/>
      </rPr>
      <t xml:space="preserve">
</t>
    </r>
    <r>
      <rPr>
        <sz val="11"/>
        <color rgb="FF000000"/>
        <rFont val="Calibri"/>
      </rPr>
      <t xml:space="preserve">area [area number] encryption ipsec spi [spi number] esp null [md5/sha1] [passphrase/key] [0/7] [passphrase/key] </t>
    </r>
    <r>
      <rPr>
        <sz val="11"/>
        <color rgb="FF000000"/>
        <rFont val="Calibri"/>
      </rPr>
      <t xml:space="preserve">
</t>
    </r>
    <r>
      <rPr>
        <sz val="11"/>
        <color rgb="FF000000"/>
        <rFont val="Calibri"/>
      </rPr>
      <t>or on an interface:</t>
    </r>
    <r>
      <rPr>
        <sz val="11"/>
        <color rgb="FF000000"/>
        <rFont val="Calibri"/>
      </rPr>
      <t xml:space="preserve">
</t>
    </r>
    <r>
      <rPr>
        <sz val="11"/>
        <color rgb="FF000000"/>
        <rFont val="Calibri"/>
      </rPr>
      <t>ipv6 ospf encryption ipsec spi [spi number] esp null [md5/sha1] [passphrase/key] [0/7] [passphrase/key]</t>
    </r>
  </si>
  <si>
    <r>
      <rPr>
        <sz val="11"/>
        <color rgb="FF000000"/>
        <rFont val="Calibri"/>
      </rPr>
      <t xml:space="preserve">A rogue router could send a fictitious routing update to convince a site's perimeter router to send traffic to an incorrect or even a rogue destination. This diverted traffic could be analyzed to learn confidential information about the site's network, or merely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 </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</si>
  <si>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router configuration for the following configuration statement under the interface configuration for any interface participating in the OSPF topology. SHA1 must be used instead of MD5 in all cases when that option is available.</t>
    </r>
    <r>
      <rPr>
        <sz val="11"/>
        <color rgb="FF000000"/>
        <rFont val="Calibri"/>
      </rPr>
      <t xml:space="preserve">
</t>
    </r>
    <r>
      <rPr>
        <sz val="11"/>
        <color rgb="FF000000"/>
        <rFont val="Calibri"/>
      </rPr>
      <t>ip ospf authentication message-digest</t>
    </r>
    <r>
      <rPr>
        <sz val="11"/>
        <color rgb="FF000000"/>
        <rFont val="Calibri"/>
      </rPr>
      <t xml:space="preserve">
</t>
    </r>
    <r>
      <rPr>
        <sz val="11"/>
        <color rgb="FF000000"/>
        <rFont val="Calibri"/>
      </rPr>
      <t>ip ospf message-digest-key [number] md5 [type] [key]</t>
    </r>
    <r>
      <rPr>
        <sz val="11"/>
        <color rgb="FF000000"/>
        <rFont val="Calibri"/>
      </rPr>
      <t xml:space="preserve">
</t>
    </r>
    <r>
      <rPr>
        <sz val="11"/>
        <color rgb="FF000000"/>
        <rFont val="Calibri"/>
      </rPr>
      <t>For IPv6 Authentication, one of the following statements must be present under the ipv6 router OSPF configuration statement, or on any interface running OSPFv3, depending on the type of encryption established. There are two methods of authentication for OSPFv3 in this scenario; the first uses authentication header (AH), and the second uses Authentication Header with Encapsulating Security Payload. OSPFv3 authentication can be configured for an interface or an area, and interface configuration will override area configuration. Users may configure a key or a passphrase.</t>
    </r>
    <r>
      <rPr>
        <sz val="11"/>
        <color rgb="FF000000"/>
        <rFont val="Calibri"/>
      </rPr>
      <t xml:space="preserve">
</t>
    </r>
    <r>
      <rPr>
        <sz val="11"/>
        <color rgb="FF000000"/>
        <rFont val="Calibri"/>
      </rPr>
      <t>interface ethernet1</t>
    </r>
    <r>
      <rPr>
        <sz val="11"/>
        <color rgb="FF000000"/>
        <rFont val="Calibri"/>
      </rPr>
      <t xml:space="preserve">
</t>
    </r>
    <r>
      <rPr>
        <sz val="11"/>
        <color rgb="FF000000"/>
        <rFont val="Calibri"/>
      </rPr>
      <t>ipv6 ospf authentication ipsec spi [spi number] [md5/sha1] [passphrase/key] [0/7] [passphrase/key]</t>
    </r>
    <r>
      <rPr>
        <sz val="11"/>
        <color rgb="FF000000"/>
        <rFont val="Calibri"/>
      </rPr>
      <t xml:space="preserve">
</t>
    </r>
    <r>
      <rPr>
        <sz val="11"/>
        <color rgb="FF000000"/>
        <rFont val="Calibri"/>
      </rPr>
      <t>OR</t>
    </r>
    <r>
      <rPr>
        <sz val="11"/>
        <color rgb="FF000000"/>
        <rFont val="Calibri"/>
      </rPr>
      <t xml:space="preserve">
</t>
    </r>
    <r>
      <rPr>
        <sz val="11"/>
        <color rgb="FF000000"/>
        <rFont val="Calibri"/>
      </rPr>
      <t>interface ethernet1</t>
    </r>
    <r>
      <rPr>
        <sz val="11"/>
        <color rgb="FF000000"/>
        <rFont val="Calibri"/>
      </rPr>
      <t xml:space="preserve">
</t>
    </r>
    <r>
      <rPr>
        <sz val="11"/>
        <color rgb="FF000000"/>
        <rFont val="Calibri"/>
      </rPr>
      <t xml:space="preserve">ipv6 ospf encryption ipsec spi [spi number] esp null [md5/sha1] [passphrase/key] [0/7] [passphrase/key] </t>
    </r>
    <r>
      <rPr>
        <sz val="11"/>
        <color rgb="FF000000"/>
        <rFont val="Calibri"/>
      </rPr>
      <t xml:space="preserve">
</t>
    </r>
    <r>
      <rPr>
        <sz val="11"/>
        <color rgb="FF000000"/>
        <rFont val="Calibri"/>
      </rPr>
      <t>In an area configuration, the following text must be included under the "ipv6 router ospf [process ID]" configuration section.</t>
    </r>
    <r>
      <rPr>
        <sz val="11"/>
        <color rgb="FF000000"/>
        <rFont val="Calibri"/>
      </rPr>
      <t xml:space="preserve">
</t>
    </r>
    <r>
      <rPr>
        <sz val="11"/>
        <color rgb="FF000000"/>
        <rFont val="Calibri"/>
      </rPr>
      <t>ipv6 router ospf 200</t>
    </r>
    <r>
      <rPr>
        <sz val="11"/>
        <color rgb="FF000000"/>
        <rFont val="Calibri"/>
      </rPr>
      <t xml:space="preserve">
</t>
    </r>
    <r>
      <rPr>
        <sz val="11"/>
        <color rgb="FF000000"/>
        <rFont val="Calibri"/>
      </rPr>
      <t xml:space="preserve">area [area number] authentication ipsec spi [spi number] [md5/sha1] [passphrase/key] [0/7] [passphrase/key] </t>
    </r>
    <r>
      <rPr>
        <sz val="11"/>
        <color rgb="FF000000"/>
        <rFont val="Calibri"/>
      </rPr>
      <t xml:space="preserve">
</t>
    </r>
    <r>
      <rPr>
        <sz val="11"/>
        <color rgb="FF000000"/>
        <rFont val="Calibri"/>
      </rPr>
      <t>OR for ESP</t>
    </r>
    <r>
      <rPr>
        <sz val="11"/>
        <color rgb="FF000000"/>
        <rFont val="Calibri"/>
      </rPr>
      <t xml:space="preserve">
</t>
    </r>
    <r>
      <rPr>
        <sz val="11"/>
        <color rgb="FF000000"/>
        <rFont val="Calibri"/>
      </rPr>
      <t>ipv6 router ospf 200</t>
    </r>
    <r>
      <rPr>
        <sz val="11"/>
        <color rgb="FF000000"/>
        <rFont val="Calibri"/>
      </rPr>
      <t xml:space="preserve">
</t>
    </r>
    <r>
      <rPr>
        <sz val="11"/>
        <color rgb="FF000000"/>
        <rFont val="Calibri"/>
      </rPr>
      <t>area 0 encryption ipsec spi [spi] esp null [md5/sha1] [0/7] [key] |</t>
    </r>
    <r>
      <rPr>
        <sz val="11"/>
        <color rgb="FF000000"/>
        <rFont val="Calibri"/>
      </rPr>
      <t xml:space="preserve">
</t>
    </r>
    <r>
      <rPr>
        <sz val="11"/>
        <color rgb="FF000000"/>
        <rFont val="Calibri"/>
      </rPr>
      <t>passphrase [0/7] [key]</t>
    </r>
    <r>
      <rPr>
        <sz val="11"/>
        <color rgb="FF000000"/>
        <rFont val="Calibri"/>
      </rPr>
      <t xml:space="preserve">
</t>
    </r>
    <r>
      <rPr>
        <sz val="11"/>
        <color rgb="FF000000"/>
        <rFont val="Calibri"/>
      </rPr>
      <t>If either of these statements is not present, OSPF is not using encryption for authentication, and this is a finding.</t>
    </r>
  </si>
  <si>
    <t>V-60921</t>
  </si>
  <si>
    <r>
      <rPr>
        <sz val="11"/>
        <rFont val="Calibri"/>
      </rPr>
      <t>The Arista Multilayer Switch must ensure all Exterior Border Gateway Protocol (eBGP) routers are configured to use Generalized TTL Security Mechanism (GTSM) or are configured to meet RFC3682.</t>
    </r>
  </si>
  <si>
    <r>
      <rPr>
        <sz val="11"/>
        <color rgb="FF000000"/>
        <rFont val="Calibri"/>
      </rPr>
      <t>Configure all Exterior Border Gateway Protocol peering sessions to use Generalized TTL Security Mechanism (GTSM) or an equivalent configuration as per RFC3682.</t>
    </r>
    <r>
      <rPr>
        <sz val="11"/>
        <color rgb="FF000000"/>
        <rFont val="Calibri"/>
      </rPr>
      <t xml:space="preserve">
</t>
    </r>
    <r>
      <rPr>
        <sz val="11"/>
        <color rgb="FF000000"/>
        <rFont val="Calibri"/>
      </rPr>
      <t>For adjacent EBGP neighbors, under the router configuration section, enter:</t>
    </r>
    <r>
      <rPr>
        <sz val="11"/>
        <color rgb="FF000000"/>
        <rFont val="Calibri"/>
      </rPr>
      <t xml:space="preserve">
</t>
    </r>
    <r>
      <rPr>
        <sz val="11"/>
        <color rgb="FF000000"/>
        <rFont val="Calibri"/>
      </rPr>
      <t>config</t>
    </r>
    <r>
      <rPr>
        <sz val="11"/>
        <color rgb="FF000000"/>
        <rFont val="Calibri"/>
      </rPr>
      <t xml:space="preserve">
</t>
    </r>
    <r>
      <rPr>
        <sz val="11"/>
        <color rgb="FF000000"/>
        <rFont val="Calibri"/>
      </rPr>
      <t>router bgp [AS number]</t>
    </r>
    <r>
      <rPr>
        <sz val="11"/>
        <color rgb="FF000000"/>
        <rFont val="Calibri"/>
      </rPr>
      <t xml:space="preserve">
</t>
    </r>
    <r>
      <rPr>
        <sz val="11"/>
        <color rgb="FF000000"/>
        <rFont val="Calibri"/>
      </rPr>
      <t>neighbor [address] ebgp-multihop 255</t>
    </r>
    <r>
      <rPr>
        <sz val="11"/>
        <color rgb="FF000000"/>
        <rFont val="Calibri"/>
      </rPr>
      <t xml:space="preserve">
</t>
    </r>
    <r>
      <rPr>
        <sz val="11"/>
        <color rgb="FF000000"/>
        <rFont val="Calibri"/>
      </rPr>
      <t>exit</t>
    </r>
    <r>
      <rPr>
        <sz val="11"/>
        <color rgb="FF000000"/>
        <rFont val="Calibri"/>
      </rPr>
      <t xml:space="preserve">
</t>
    </r>
    <r>
      <rPr>
        <sz val="11"/>
        <color rgb="FF000000"/>
        <rFont val="Calibri"/>
      </rPr>
      <t>ip access-list [name]</t>
    </r>
    <r>
      <rPr>
        <sz val="11"/>
        <color rgb="FF000000"/>
        <rFont val="Calibri"/>
      </rPr>
      <t xml:space="preserve">
</t>
    </r>
    <r>
      <rPr>
        <sz val="11"/>
        <color rgb="FF000000"/>
        <rFont val="Calibri"/>
      </rPr>
      <t>permit tcp [src address/mask] [dst address/mask] eq bgp ttl eq 255 log</t>
    </r>
    <r>
      <rPr>
        <sz val="11"/>
        <color rgb="FF000000"/>
        <rFont val="Calibri"/>
      </rPr>
      <t xml:space="preserve">
</t>
    </r>
    <r>
      <rPr>
        <sz val="11"/>
        <color rgb="FF000000"/>
        <rFont val="Calibri"/>
      </rPr>
      <t>exit</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ip access-group [name] [direction]</t>
    </r>
  </si>
  <si>
    <r>
      <rPr>
        <sz val="11"/>
        <color rgb="FF000000"/>
        <rFont val="Calibri"/>
      </rPr>
      <t>As described in RFC 3682, Generalized TTL Security Mechanism (GTSM) is designed to protect a router's IP-based control plane from DoS attacks. Many attacks focused on CPU load and line-card overload can be prevented by implementing GTSM on all Exterior Border Gateway Protocol-speaking routers. GTSM is based on the fact that the vast majority of control plane peering is established between adjacent routers; that is, the Exterior Border Gateway Protocol peers are either between connecting interfaces or between loopback interfaces. Since TTL spoofing is considered nearly impossible, a mechanism based on an expected TTL value provides a simple and reasonably robust defense from infrastructure attacks based on forged control plane traffic.</t>
    </r>
  </si>
  <si>
    <r>
      <rPr>
        <sz val="11"/>
        <color rgb="FF000000"/>
        <rFont val="Calibri"/>
      </rPr>
      <t>Review the router configuration.</t>
    </r>
    <r>
      <rPr>
        <sz val="11"/>
        <color rgb="FF000000"/>
        <rFont val="Calibri"/>
      </rPr>
      <t xml:space="preserve">
</t>
    </r>
    <r>
      <rPr>
        <sz val="11"/>
        <color rgb="FF000000"/>
        <rFont val="Calibri"/>
      </rPr>
      <t>If it is not configured to use Generalized TTL Security Mechanism (GTSM) or is not configured to provide equivalent functionality as per RFC3682 for all Exterior Border Gateway Protocol peering sessions, this is a finding.</t>
    </r>
    <r>
      <rPr>
        <sz val="11"/>
        <color rgb="FF000000"/>
        <rFont val="Calibri"/>
      </rPr>
      <t xml:space="preserve">
</t>
    </r>
    <r>
      <rPr>
        <sz val="11"/>
        <color rgb="FF000000"/>
        <rFont val="Calibri"/>
      </rPr>
      <t>The Arista MLS does not have a command to enable GTSM. Instead, any EBGP neighbor statement must include the "ebgp-multihop [hop]" configuration statement, viewable in the "router bgp [AS number]" section of the running config. For adjacent peers, this number must be 255.</t>
    </r>
    <r>
      <rPr>
        <sz val="11"/>
        <color rgb="FF000000"/>
        <rFont val="Calibri"/>
      </rPr>
      <t xml:space="preserve">
</t>
    </r>
    <r>
      <rPr>
        <sz val="11"/>
        <color rgb="FF000000"/>
        <rFont val="Calibri"/>
      </rPr>
      <t>Additionally, the control-plane ACL must have a statement that matches against the neighbor's correct TTL to allow inbound packets to the Switch. The neighbor TTL must be 255 for an adjacent peer or the result of 255-(number of hops) for a multihop peer.</t>
    </r>
  </si>
  <si>
    <t>V-60923</t>
  </si>
  <si>
    <r>
      <rPr>
        <sz val="11"/>
        <rFont val="Calibri"/>
      </rPr>
      <t>The Arista Multilayer Switch must manage excess bandwidth to limit the effects of packet flooding types of denial of service (DoS) attacks.</t>
    </r>
  </si>
  <si>
    <r>
      <rPr>
        <sz val="11"/>
        <color rgb="FF000000"/>
        <rFont val="Calibri"/>
      </rPr>
      <t>Implement a mechanism for traffic prioritization and bandwidth reservation. This mechanism must enforce the traffic priorities specified by the Combatant Commanders/Services/Agencies.</t>
    </r>
    <r>
      <rPr>
        <sz val="11"/>
        <color rgb="FF000000"/>
        <rFont val="Calibri"/>
      </rPr>
      <t xml:space="preserve">
</t>
    </r>
    <r>
      <rPr>
        <sz val="11"/>
        <color rgb="FF000000"/>
        <rFont val="Calibri"/>
      </rPr>
      <t>Arista QoS implementations vary according to the underlying hardware platform. For a complete reference on how to configure QoS for the platform under evaluation, refer to the Arista configuration manual, Chapter 21.</t>
    </r>
  </si>
  <si>
    <r>
      <rPr>
        <sz val="11"/>
        <color rgb="FF000000"/>
        <rFont val="Calibri"/>
      </rPr>
      <t xml:space="preserve">Denial of service is a condition when a resource is not available for legitimate users. Packet flooding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by using readily available tools such as Low Orbit Ion Cannon or by using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</si>
  <si>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Review the router configuration and interview the system administrator; verify that a mechanism for traffic prioritization and bandwidth reservation exists. This arrangement must ensure that sufficient capacity is available for mission-critical traffic and enforce the traffic priorities specified by the Combatant Commanders/Services/Agencies.</t>
    </r>
    <r>
      <rPr>
        <sz val="11"/>
        <color rgb="FF000000"/>
        <rFont val="Calibri"/>
      </rPr>
      <t xml:space="preserve">
</t>
    </r>
    <r>
      <rPr>
        <sz val="11"/>
        <color rgb="FF000000"/>
        <rFont val="Calibri"/>
      </rPr>
      <t>To review the configuration, execute a "show qos interfaces" command to see the qos configuration for all interfaces or "show qos interfaces [type] [number] to review the configuration for a specific interface.</t>
    </r>
    <r>
      <rPr>
        <sz val="11"/>
        <color rgb="FF000000"/>
        <rFont val="Calibri"/>
      </rPr>
      <t xml:space="preserve">
</t>
    </r>
    <r>
      <rPr>
        <sz val="11"/>
        <color rgb="FF000000"/>
        <rFont val="Calibri"/>
      </rPr>
      <t>QoS must be configured according to organizational policies.</t>
    </r>
    <r>
      <rPr>
        <sz val="11"/>
        <color rgb="FF000000"/>
        <rFont val="Calibri"/>
      </rPr>
      <t xml:space="preserve">
</t>
    </r>
    <r>
      <rPr>
        <sz val="11"/>
        <color rgb="FF000000"/>
        <rFont val="Calibri"/>
      </rPr>
      <t>If no such scheme exists or it is not configured, this is a finding.</t>
    </r>
  </si>
  <si>
    <t>V-60927</t>
  </si>
  <si>
    <r>
      <rPr>
        <sz val="11"/>
        <rFont val="Calibri"/>
      </rPr>
      <t>The Arista Multilayer Switch must configure the maximum hop limit value to at least 32.</t>
    </r>
  </si>
  <si>
    <r>
      <rPr>
        <sz val="11"/>
        <color rgb="FF000000"/>
        <rFont val="Calibri"/>
      </rPr>
      <t>Configure the router maximum hop limit value to at least 32.</t>
    </r>
    <r>
      <rPr>
        <sz val="11"/>
        <color rgb="FF000000"/>
        <rFont val="Calibri"/>
      </rPr>
      <t xml:space="preserve">
</t>
    </r>
    <r>
      <rPr>
        <sz val="11"/>
        <color rgb="FF000000"/>
        <rFont val="Calibri"/>
      </rPr>
      <t>From the interface configuration mode, enter:</t>
    </r>
    <r>
      <rPr>
        <sz val="11"/>
        <color rgb="FF000000"/>
        <rFont val="Calibri"/>
      </rPr>
      <t xml:space="preserve">
</t>
    </r>
    <r>
      <rPr>
        <sz val="11"/>
        <color rgb="FF000000"/>
        <rFont val="Calibri"/>
      </rPr>
      <t>ipv6 nd ra hop-limit 32</t>
    </r>
  </si>
  <si>
    <r>
      <rPr>
        <sz val="11"/>
        <color rgb="FF000000"/>
        <rFont val="Calibri"/>
      </rPr>
      <t>The Neighbor Discovery protocol allows a hop limit value to be advertised by routers in a Router Advertisement message to be used by hosts instead of the standardized default value. If a very small value was configured and advertised to hosts on the LAN segment, communications would fail due to the hop limit reaching zero before the packets sent by a host reached their destination.</t>
    </r>
  </si>
  <si>
    <r>
      <rPr>
        <sz val="11"/>
        <color rgb="FF000000"/>
        <rFont val="Calibri"/>
      </rPr>
      <t>Review the router configuration to determine if the maximum hop limit has been configured.</t>
    </r>
    <r>
      <rPr>
        <sz val="11"/>
        <color rgb="FF000000"/>
        <rFont val="Calibri"/>
      </rPr>
      <t xml:space="preserve">
</t>
    </r>
    <r>
      <rPr>
        <sz val="11"/>
        <color rgb="FF000000"/>
        <rFont val="Calibri"/>
      </rPr>
      <t>If it has been configured, then it must be set to at least 32.</t>
    </r>
    <r>
      <rPr>
        <sz val="11"/>
        <color rgb="FF000000"/>
        <rFont val="Calibri"/>
      </rPr>
      <t xml:space="preserve">
</t>
    </r>
    <r>
      <rPr>
        <sz val="11"/>
        <color rgb="FF000000"/>
        <rFont val="Calibri"/>
      </rPr>
      <t>If it has not been configured, the default value must be determined. The default value for the Arista MLS is 64.</t>
    </r>
    <r>
      <rPr>
        <sz val="11"/>
        <color rgb="FF000000"/>
        <rFont val="Calibri"/>
      </rPr>
      <t xml:space="preserve">
</t>
    </r>
    <r>
      <rPr>
        <sz val="11"/>
        <color rgb="FF000000"/>
        <rFont val="Calibri"/>
      </rPr>
      <t>Review the interface configuration via the "show running-config" command for the statement</t>
    </r>
    <r>
      <rPr>
        <sz val="11"/>
        <color rgb="FF000000"/>
        <rFont val="Calibri"/>
      </rPr>
      <t xml:space="preserve">
</t>
    </r>
    <r>
      <rPr>
        <sz val="11"/>
        <color rgb="FF000000"/>
        <rFont val="Calibri"/>
      </rPr>
      <t>ipv6 nd ra hop-limit 32</t>
    </r>
    <r>
      <rPr>
        <sz val="11"/>
        <color rgb="FF000000"/>
        <rFont val="Calibri"/>
      </rPr>
      <t xml:space="preserve">
</t>
    </r>
    <r>
      <rPr>
        <sz val="11"/>
        <color rgb="FF000000"/>
        <rFont val="Calibri"/>
      </rPr>
      <t>If the default value is below 32 and the maximum hop limit value has not been configured (set to at least 32), this is a finding.</t>
    </r>
    <r>
      <rPr>
        <sz val="11"/>
        <color rgb="FF000000"/>
        <rFont val="Calibri"/>
      </rPr>
      <t xml:space="preserve">
</t>
    </r>
    <r>
      <rPr>
        <sz val="11"/>
        <color rgb="FF000000"/>
        <rFont val="Calibri"/>
      </rPr>
      <t>In any case, maximum hop limit must be at least 32.</t>
    </r>
  </si>
  <si>
    <t>V-60929</t>
  </si>
  <si>
    <r>
      <rPr>
        <sz val="11"/>
        <rFont val="Calibri"/>
      </rPr>
      <t>The Arista Multilayer Switch must only allow incoming communications from authorized sources to be routed to authorized destinations.</t>
    </r>
  </si>
  <si>
    <r>
      <rPr>
        <sz val="11"/>
        <color rgb="FF000000"/>
        <rFont val="Calibri"/>
      </rPr>
      <t>Configure the router to only allow incoming communications from authorized sources to be routed to authorized destinations.</t>
    </r>
    <r>
      <rPr>
        <sz val="11"/>
        <color rgb="FF000000"/>
        <rFont val="Calibri"/>
      </rPr>
      <t xml:space="preserve">
</t>
    </r>
    <r>
      <rPr>
        <sz val="11"/>
        <color rgb="FF000000"/>
        <rFont val="Calibri"/>
      </rPr>
      <t>Implement access control lists or policy-based routing as defined in the Arista Configuration Manual, chapters 18 and 22 respectively.</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</si>
  <si>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Traffic can be restricted directly by an ACL (which is a firewall function) or by Policy Routing. Policy Routing is a technique used to make routing decisions based on a number of different criteria other than just the destination network, including source or destination network, source or destination address, source or destination port, protocol, packet size, and packet classification. This overrides the router's normal routing procedures used to control the specific paths of network traffic. It is normally used for traffic engineering but can also be used to meet security requirements; for example, traffic that is not allowed can be routed to the Null0 or discard interface. Policy Routing can also be used to control which prefixes appear in the routing table.</t>
    </r>
    <r>
      <rPr>
        <sz val="11"/>
        <color rgb="FF000000"/>
        <rFont val="Calibri"/>
      </rPr>
      <t xml:space="preserve">
</t>
    </r>
    <r>
      <rPr>
        <sz val="11"/>
        <color rgb="FF000000"/>
        <rFont val="Calibri"/>
      </rPr>
      <t>Traffic can be restricted directly by an ACL (which is a firewall function), or by Policy Routing. This requirement is intended to allow network administrators the flexibility to use whatever technique is most effective.</t>
    </r>
  </si>
  <si>
    <r>
      <rPr>
        <sz val="11"/>
        <color rgb="FF000000"/>
        <rFont val="Calibri"/>
      </rPr>
      <t>Review the router configuration to determine if the router only allows incoming communications from authorized sources to be routed to authorized destinations.</t>
    </r>
    <r>
      <rPr>
        <sz val="11"/>
        <color rgb="FF000000"/>
        <rFont val="Calibri"/>
      </rPr>
      <t xml:space="preserve">
</t>
    </r>
    <r>
      <rPr>
        <sz val="11"/>
        <color rgb="FF000000"/>
        <rFont val="Calibri"/>
      </rPr>
      <t>To verify an ACL is configured to allow only incoming communications from authorized sources, execute a "show ip access-list" command and verify the pertinent permit and deny statements are in place. Validate the access list is configured on the appropriate interface via the "show ip access-list summary" command or by reviewing the interface configuration viewable in the "show running-config" command.</t>
    </r>
    <r>
      <rPr>
        <sz val="11"/>
        <color rgb="FF000000"/>
        <rFont val="Calibri"/>
      </rPr>
      <t xml:space="preserve">
</t>
    </r>
    <r>
      <rPr>
        <sz val="11"/>
        <color rgb="FF000000"/>
        <rFont val="Calibri"/>
      </rPr>
      <t>If PBR is being used, verify the appropriate policy maps have been configured by reviewing the switch running-config via the "show running-config" command.</t>
    </r>
    <r>
      <rPr>
        <sz val="11"/>
        <color rgb="FF000000"/>
        <rFont val="Calibri"/>
      </rPr>
      <t xml:space="preserve">
</t>
    </r>
    <r>
      <rPr>
        <sz val="11"/>
        <color rgb="FF000000"/>
        <rFont val="Calibri"/>
      </rPr>
      <t>If the router does not restrict incoming communications to allow only authorized sources and destinations, this is a finding.</t>
    </r>
  </si>
  <si>
    <t>V-60933</t>
  </si>
  <si>
    <r>
      <rPr>
        <sz val="11"/>
        <rFont val="Calibri"/>
      </rPr>
      <t>The Arista Multilayer Switch must not enable the RIP routing protocol.</t>
    </r>
  </si>
  <si>
    <r>
      <rPr>
        <sz val="11"/>
        <color rgb="FF000000"/>
        <rFont val="Calibri"/>
      </rPr>
      <t>Disable RIP via the "no router rip" command.</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</si>
  <si>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merely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</si>
  <si>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router configuration to determine if RIP is enabled via the "show running-config" command. RIP is disabled by default on an Arista switch and is only enabled when explicitly configured. If a configuration statement enabling RIP is in the Arista Multilayer Switch configuration, this is a finding.</t>
    </r>
  </si>
  <si>
    <t>V-67195</t>
  </si>
  <si>
    <r>
      <rPr>
        <sz val="11"/>
        <rFont val="Calibri"/>
      </rPr>
      <t>The Arista Multilayer Switch must be updated to one of the minimum approved versions of EOS.</t>
    </r>
  </si>
  <si>
    <r>
      <rPr>
        <sz val="11"/>
        <color rgb="FF000000"/>
        <rFont val="Calibri"/>
      </rPr>
      <t>Configure the Arista Multilayer Switch to use an approved software version. Download the approved version from www.arista.com/support, copy the .swi file to flash via an approved file transfer mechanism, and then enter:</t>
    </r>
    <r>
      <rPr>
        <sz val="11"/>
        <color rgb="FF000000"/>
        <rFont val="Calibri"/>
      </rPr>
      <t xml:space="preserve">
</t>
    </r>
    <r>
      <rPr>
        <sz val="11"/>
        <color rgb="FF000000"/>
        <rFont val="Calibri"/>
      </rPr>
      <t>Enable</t>
    </r>
    <r>
      <rPr>
        <sz val="11"/>
        <color rgb="FF000000"/>
        <rFont val="Calibri"/>
      </rPr>
      <t xml:space="preserve">
</t>
    </r>
    <r>
      <rPr>
        <sz val="11"/>
        <color rgb="FF000000"/>
        <rFont val="Calibri"/>
      </rPr>
      <t>Configure</t>
    </r>
    <r>
      <rPr>
        <sz val="11"/>
        <color rgb="FF000000"/>
        <rFont val="Calibri"/>
      </rPr>
      <t xml:space="preserve">
</t>
    </r>
    <r>
      <rPr>
        <sz val="11"/>
        <color rgb="FF000000"/>
        <rFont val="Calibri"/>
      </rPr>
      <t>Boot system flash:&lt;your_image.swi&gt;</t>
    </r>
    <r>
      <rPr>
        <sz val="11"/>
        <color rgb="FF000000"/>
        <rFont val="Calibri"/>
      </rPr>
      <t xml:space="preserve">
</t>
    </r>
    <r>
      <rPr>
        <sz val="11"/>
        <color rgb="FF000000"/>
        <rFont val="Calibri"/>
      </rPr>
      <t>Write memory</t>
    </r>
    <r>
      <rPr>
        <sz val="11"/>
        <color rgb="FF000000"/>
        <rFont val="Calibri"/>
      </rPr>
      <t xml:space="preserve">
</t>
    </r>
    <r>
      <rPr>
        <sz val="11"/>
        <color rgb="FF000000"/>
        <rFont val="Calibri"/>
      </rPr>
      <t>reload</t>
    </r>
  </si>
  <si>
    <r>
      <rPr>
        <sz val="11"/>
        <color rgb="FF000000"/>
        <rFont val="Calibri"/>
      </rPr>
      <t>The Arista Multilayer Switch uses the EOS operating system. Updates to EOS contain new security-related features and security patches that address known vulnerabilities. Running a current DoD-approved software version improves the security posture of the network device.</t>
    </r>
  </si>
  <si>
    <r>
      <rPr>
        <sz val="11"/>
        <color rgb="FF000000"/>
        <rFont val="Calibri"/>
      </rPr>
      <t>Verify the Arista Multilayer Switch configuration using the “Show version” command. Review the software image version, and verify it is a minimum DoD-approved version. The current approved minimum versions are 4.16.0F, 4.15.3F, 4.14.11M, or later. If the Arista Multilayer Switch is not using a minimum approved versions of EOS, this is a finding.</t>
    </r>
  </si>
  <si>
    <t>V-67197</t>
  </si>
  <si>
    <r>
      <rPr>
        <sz val="11"/>
        <rFont val="Calibri"/>
      </rPr>
      <t>The Arista Multilayer Switch must use FIPS-compliant mechanisms for authentication to a cryptographic module.</t>
    </r>
  </si>
  <si>
    <r>
      <rPr>
        <sz val="11"/>
        <color rgb="FF000000"/>
        <rFont val="Calibri"/>
      </rPr>
      <t>Enable FIPS restrictions via the following commands:</t>
    </r>
    <r>
      <rPr>
        <sz val="11"/>
        <color rgb="FF000000"/>
        <rFont val="Calibri"/>
      </rPr>
      <t xml:space="preserve">
</t>
    </r>
    <r>
      <rPr>
        <sz val="11"/>
        <color rgb="FF000000"/>
        <rFont val="Calibri"/>
      </rPr>
      <t>Enable</t>
    </r>
    <r>
      <rPr>
        <sz val="11"/>
        <color rgb="FF000000"/>
        <rFont val="Calibri"/>
      </rPr>
      <t xml:space="preserve">
</t>
    </r>
    <r>
      <rPr>
        <sz val="11"/>
        <color rgb="FF000000"/>
        <rFont val="Calibri"/>
      </rPr>
      <t>Configure</t>
    </r>
    <r>
      <rPr>
        <sz val="11"/>
        <color rgb="FF000000"/>
        <rFont val="Calibri"/>
      </rPr>
      <t xml:space="preserve">
</t>
    </r>
    <r>
      <rPr>
        <sz val="11"/>
        <color rgb="FF000000"/>
        <rFont val="Calibri"/>
      </rPr>
      <t>Management ssh</t>
    </r>
    <r>
      <rPr>
        <sz val="11"/>
        <color rgb="FF000000"/>
        <rFont val="Calibri"/>
      </rPr>
      <t xml:space="preserve">
</t>
    </r>
    <r>
      <rPr>
        <sz val="11"/>
        <color rgb="FF000000"/>
        <rFont val="Calibri"/>
      </rPr>
      <t>Fips restrictions</t>
    </r>
    <r>
      <rPr>
        <sz val="11"/>
        <color rgb="FF000000"/>
        <rFont val="Calibri"/>
      </rPr>
      <t xml:space="preserve">
</t>
    </r>
    <r>
      <rPr>
        <sz val="11"/>
        <color rgb="FF000000"/>
        <rFont val="Calibri"/>
      </rPr>
      <t>Exit</t>
    </r>
    <r>
      <rPr>
        <sz val="11"/>
        <color rgb="FF000000"/>
        <rFont val="Calibri"/>
      </rPr>
      <t xml:space="preserve">
</t>
    </r>
    <r>
      <rPr>
        <sz val="11"/>
        <color rgb="FF000000"/>
        <rFont val="Calibri"/>
      </rPr>
      <t>Additionally, the switch should be configured to use its Hardware Random Number Generator as a source of entropy for the SSH protocol. To enable this, configure:</t>
    </r>
    <r>
      <rPr>
        <sz val="11"/>
        <color rgb="FF000000"/>
        <rFont val="Calibri"/>
      </rPr>
      <t xml:space="preserve">
</t>
    </r>
    <r>
      <rPr>
        <sz val="11"/>
        <color rgb="FF000000"/>
        <rFont val="Calibri"/>
      </rPr>
      <t>Enable</t>
    </r>
    <r>
      <rPr>
        <sz val="11"/>
        <color rgb="FF000000"/>
        <rFont val="Calibri"/>
      </rPr>
      <t xml:space="preserve">
</t>
    </r>
    <r>
      <rPr>
        <sz val="11"/>
        <color rgb="FF000000"/>
        <rFont val="Calibri"/>
      </rPr>
      <t>Configure</t>
    </r>
    <r>
      <rPr>
        <sz val="11"/>
        <color rgb="FF000000"/>
        <rFont val="Calibri"/>
      </rPr>
      <t xml:space="preserve">
</t>
    </r>
    <r>
      <rPr>
        <sz val="11"/>
        <color rgb="FF000000"/>
        <rFont val="Calibri"/>
      </rPr>
      <t>Management security</t>
    </r>
    <r>
      <rPr>
        <sz val="11"/>
        <color rgb="FF000000"/>
        <rFont val="Calibri"/>
      </rPr>
      <t xml:space="preserve">
</t>
    </r>
    <r>
      <rPr>
        <sz val="11"/>
        <color rgb="FF000000"/>
        <rFont val="Calibri"/>
      </rPr>
      <t>Entropy source hardware</t>
    </r>
    <r>
      <rPr>
        <sz val="11"/>
        <color rgb="FF000000"/>
        <rFont val="Calibri"/>
      </rPr>
      <t xml:space="preserve">
</t>
    </r>
    <r>
      <rPr>
        <sz val="11"/>
        <color rgb="FF000000"/>
        <rFont val="Calibri"/>
      </rPr>
      <t>Once this has been changed, regenerate the SSH RSA Keys with:</t>
    </r>
    <r>
      <rPr>
        <sz val="11"/>
        <color rgb="FF000000"/>
        <rFont val="Calibri"/>
      </rPr>
      <t xml:space="preserve">
</t>
    </r>
    <r>
      <rPr>
        <sz val="11"/>
        <color rgb="FF000000"/>
        <rFont val="Calibri"/>
      </rPr>
      <t>Reset ssh hostkey rsa</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</si>
  <si>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Network devices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t>
    </r>
  </si>
  <si>
    <r>
      <rPr>
        <sz val="11"/>
        <color rgb="FF000000"/>
        <rFont val="Calibri"/>
      </rPr>
      <t>Review the device configuration via the “show running-config” command for the following statement:</t>
    </r>
    <r>
      <rPr>
        <sz val="11"/>
        <color rgb="FF000000"/>
        <rFont val="Calibri"/>
      </rPr>
      <t xml:space="preserve">
</t>
    </r>
    <r>
      <rPr>
        <sz val="11"/>
        <color rgb="FF000000"/>
        <rFont val="Calibri"/>
      </rPr>
      <t>management ssh</t>
    </r>
    <r>
      <rPr>
        <sz val="11"/>
        <color rgb="FF000000"/>
        <rFont val="Calibri"/>
      </rPr>
      <t xml:space="preserve">
</t>
    </r>
    <r>
      <rPr>
        <sz val="11"/>
        <color rgb="FF000000"/>
        <rFont val="Calibri"/>
      </rPr>
      <t>fips restrictions</t>
    </r>
    <r>
      <rPr>
        <sz val="11"/>
        <color rgb="FF000000"/>
        <rFont val="Calibri"/>
      </rPr>
      <t xml:space="preserve">
</t>
    </r>
    <r>
      <rPr>
        <sz val="11"/>
        <color rgb="FF000000"/>
        <rFont val="Calibri"/>
      </rPr>
      <t>If this statement is not present,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</si>
  <si>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</si>
  <si>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</si>
  <si>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</si>
  <si>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</si>
  <si>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</si>
  <si>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</si>
  <si>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</si>
  <si>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</si>
  <si>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</si>
  <si>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</si>
  <si>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</si>
  <si>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</si>
  <si>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</si>
  <si>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</si>
  <si>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</si>
  <si>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</si>
  <si>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</si>
  <si>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</si>
  <si>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</si>
  <si>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</si>
  <si>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</si>
  <si>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</si>
  <si>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</si>
  <si>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</si>
  <si>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</si>
  <si>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</si>
  <si>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</si>
  <si>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</si>
  <si>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</si>
  <si>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Arista MLS DCS-7000 Series Security Technical Implementation Guide Y20M07</t>
  </si>
  <si>
    <t>Developed By:</t>
  </si>
  <si>
    <t>Defense Information Systems Agency (DISA) for the US DoD</t>
  </si>
  <si>
    <t>Release Information:</t>
  </si>
  <si>
    <r>
      <rPr>
        <b/>
        <sz val="11"/>
        <color rgb="FF000000"/>
        <rFont val="Calibri"/>
      </rPr>
      <t>Version:</t>
    </r>
    <r>
      <rPr>
        <sz val="11"/>
        <color rgb="FF000000"/>
        <rFont val="Calibri"/>
      </rPr>
      <t xml:space="preserve"> Y20M07    </t>
    </r>
    <r>
      <rPr>
        <b/>
        <sz val="11"/>
        <color rgb="FF000000"/>
        <rFont val="Calibri"/>
      </rPr>
      <t>Date:</t>
    </r>
    <r>
      <rPr>
        <sz val="11"/>
        <color rgb="FF000000"/>
        <rFont val="Calibri"/>
      </rPr>
      <t xml:space="preserve"> 24 July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59</t>
    </r>
  </si>
  <si>
    <t>Download Url:</t>
  </si>
  <si>
    <t>https://www.cyber.mil/stigs</t>
  </si>
  <si>
    <t>Guide Overview:</t>
  </si>
  <si>
    <r>
      <rPr>
        <sz val="11"/>
        <color rgb="FF000000"/>
        <rFont val="Calibri"/>
      </rPr>
      <t>The Arista Multilayer Switch (MLS) DCS-7000 Series Security Technical Implementation Guide (STIG) provides the technical security policies, requirements, and implementation details for applying security concepts to Arista MLS DCS-7000 Series devices.</t>
    </r>
    <r>
      <rPr>
        <sz val="11"/>
        <color rgb="FF000000"/>
        <rFont val="Calibri"/>
      </rPr>
      <t xml:space="preserve">
</t>
    </r>
    <r>
      <rPr>
        <sz val="11"/>
        <color rgb="FF000000"/>
        <rFont val="Calibri"/>
      </rPr>
      <t>The Arista MLS DCS-7000 Series STIG is a package of three (3) STIGs for configuring Arista MLS DCS-7000 Series devices according to the configuration and purpose of the device. The following are the three STIGs included as part of the Arista MLS DCS-7000 Series STIG package:</t>
    </r>
    <r>
      <rPr>
        <sz val="11"/>
        <color rgb="FF000000"/>
        <rFont val="Calibri"/>
      </rPr>
      <t xml:space="preserve">
</t>
    </r>
    <r>
      <rPr>
        <sz val="11"/>
        <color rgb="FF000000"/>
        <rFont val="Calibri"/>
      </rPr>
      <t> Arista MLS DCS-7000 Series Network Device Management (NDM) STIG  Arista MLS DCS-7000 Series Layer 2 Switch (L2S) STIG  Arista MLS DCS-7000 Series Router (RTR) STIG</t>
    </r>
  </si>
  <si>
    <t>Components:</t>
  </si>
  <si>
    <r>
      <rPr>
        <i/>
        <sz val="11"/>
        <color rgb="FF000000"/>
        <rFont val="Calibri"/>
      </rPr>
      <t>Title:</t>
    </r>
    <r>
      <rPr>
        <sz val="11"/>
        <color rgb="FF000000"/>
        <rFont val="Calibri"/>
      </rPr>
      <t xml:space="preserve"> Arista MLS DCS-7000 Series L2S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22 April 2016     </t>
    </r>
    <r>
      <rPr>
        <i/>
        <sz val="11"/>
        <color rgb="FF000000"/>
        <rFont val="Calibri"/>
      </rPr>
      <t>Recommendation Count:</t>
    </r>
    <r>
      <rPr>
        <sz val="11"/>
        <color rgb="FF000000"/>
        <rFont val="Calibri"/>
      </rPr>
      <t xml:space="preserve"> 7</t>
    </r>
  </si>
  <si>
    <r>
      <rPr>
        <i/>
        <sz val="11"/>
        <color rgb="FF000000"/>
        <rFont val="Calibri"/>
      </rPr>
      <t>Title:</t>
    </r>
    <r>
      <rPr>
        <sz val="11"/>
        <color rgb="FF000000"/>
        <rFont val="Calibri"/>
      </rPr>
      <t xml:space="preserve"> Arista MLS DCS-7000 Series NDM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25 October 2019     </t>
    </r>
    <r>
      <rPr>
        <i/>
        <sz val="11"/>
        <color rgb="FF000000"/>
        <rFont val="Calibri"/>
      </rPr>
      <t>Recommendation Count:</t>
    </r>
    <r>
      <rPr>
        <sz val="11"/>
        <color rgb="FF000000"/>
        <rFont val="Calibri"/>
      </rPr>
      <t xml:space="preserve"> 31</t>
    </r>
  </si>
  <si>
    <r>
      <rPr>
        <i/>
        <sz val="11"/>
        <color rgb="FF000000"/>
        <rFont val="Calibri"/>
      </rPr>
      <t>Title:</t>
    </r>
    <r>
      <rPr>
        <sz val="11"/>
        <color rgb="FF000000"/>
        <rFont val="Calibri"/>
      </rPr>
      <t xml:space="preserve"> Arista MLS DCS-7000 Series RTR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24 July 2020     </t>
    </r>
    <r>
      <rPr>
        <i/>
        <sz val="11"/>
        <color rgb="FF000000"/>
        <rFont val="Calibri"/>
      </rPr>
      <t>Recommendation Count:</t>
    </r>
    <r>
      <rPr>
        <sz val="11"/>
        <color rgb="FF000000"/>
        <rFont val="Calibri"/>
      </rPr>
      <t xml:space="preserve"> 21</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</si>
  <si>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</si>
  <si>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</si>
  <si>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</si>
  <si>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</si>
  <si>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</si>
  <si>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</si>
  <si>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</si>
  <si>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</si>
  <si>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</si>
  <si>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</si>
  <si>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</si>
  <si>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</si>
  <si>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</si>
  <si>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</si>
  <si>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</si>
  <si>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</si>
  <si>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</si>
  <si>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</si>
  <si>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</si>
  <si>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</si>
  <si>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</si>
  <si>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</si>
  <si>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Arista MLS DCS-7000 Series Security Technical Implementation Guide Y20M07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</si>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</sst>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982-43D9-82DC-0F9D69DE42F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982-43D9-82DC-0F9D69DE42F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59</c:v>
                </c:pt>
              </c:numCache>
            </c:numRef>
          </c:val>
          <c:extLst>
            <c:ext xmlns:c16="http://schemas.microsoft.com/office/drawing/2014/chart" uri="{C3380CC4-5D6E-409C-BE32-E72D297353CC}">
              <c16:uniqueId val="{00000002-8982-43D9-82DC-0F9D69DE42F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1CB6-405E-A1B5-95291E2CC49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1CB6-405E-A1B5-95291E2CC49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Dashboard!$E$29:$E$31</c:f>
              <c:numCache>
                <c:formatCode>General</c:formatCode>
                <c:ptCount val="3"/>
                <c:pt idx="0">
                  <c:v>7</c:v>
                </c:pt>
                <c:pt idx="1">
                  <c:v>31</c:v>
                </c:pt>
                <c:pt idx="2">
                  <c:v>21</c:v>
                </c:pt>
              </c:numCache>
            </c:numRef>
          </c:val>
          <c:extLst>
            <c:ext xmlns:c16="http://schemas.microsoft.com/office/drawing/2014/chart" uri="{C3380CC4-5D6E-409C-BE32-E72D297353CC}">
              <c16:uniqueId val="{00000002-1CB6-405E-A1B5-95291E2CC49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02D-41AC-BED9-F584BAC1184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02D-41AC-BED9-F584BAC1184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59</c:v>
                </c:pt>
              </c:numCache>
            </c:numRef>
          </c:val>
          <c:extLst>
            <c:ext xmlns:c16="http://schemas.microsoft.com/office/drawing/2014/chart" uri="{C3380CC4-5D6E-409C-BE32-E72D297353CC}">
              <c16:uniqueId val="{00000002-902D-41AC-BED9-F584BAC1184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F830-4906-8760-02D0856BC2B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F830-4906-8760-02D0856BC2B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2</c:v>
                </c:pt>
                <c:pt idx="1">
                  <c:v>51</c:v>
                </c:pt>
                <c:pt idx="2">
                  <c:v>6</c:v>
                </c:pt>
              </c:numCache>
            </c:numRef>
          </c:val>
          <c:extLst>
            <c:ext xmlns:c16="http://schemas.microsoft.com/office/drawing/2014/chart" uri="{C3380CC4-5D6E-409C-BE32-E72D297353CC}">
              <c16:uniqueId val="{00000002-F830-4906-8760-02D0856BC2B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A18-47B3-9649-713DE4B9CC6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A18-47B3-9649-713DE4B9CC6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59</c:v>
                </c:pt>
              </c:numCache>
            </c:numRef>
          </c:val>
          <c:extLst>
            <c:ext xmlns:c16="http://schemas.microsoft.com/office/drawing/2014/chart" uri="{C3380CC4-5D6E-409C-BE32-E72D297353CC}">
              <c16:uniqueId val="{00000002-0A18-47B3-9649-713DE4B9CC6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DB7-4BC4-B8AF-F81EB24091C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DB7-4BC4-B8AF-F81EB24091C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59</c:v>
                </c:pt>
              </c:numCache>
            </c:numRef>
          </c:val>
          <c:extLst>
            <c:ext xmlns:c16="http://schemas.microsoft.com/office/drawing/2014/chart" uri="{C3380CC4-5D6E-409C-BE32-E72D297353CC}">
              <c16:uniqueId val="{00000002-4DB7-4BC4-B8AF-F81EB24091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587-41CD-8529-76C52BB2F9F5}"/>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587-41CD-8529-76C52BB2F9F5}"/>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587-41CD-8529-76C52BB2F9F5}"/>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587-41CD-8529-76C52BB2F9F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2AE-4312-854E-D8BE5393575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1gfu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3rfnw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zjrso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ix4r0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wj0bj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bne24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03rh1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1t1nki">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60">
  <autoFilter ref="A1:N60"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302</v>
      </c>
    </row>
    <row r="3" spans="2:3" ht="15" customHeight="1" x14ac:dyDescent="0.35"/>
    <row r="4" spans="2:3" ht="58" x14ac:dyDescent="0.35">
      <c r="B4" s="20" t="s">
        <v>303</v>
      </c>
      <c r="C4" s="21" t="s">
        <v>304</v>
      </c>
    </row>
    <row r="5" spans="2:3" x14ac:dyDescent="0.35">
      <c r="C5" s="21" t="s">
        <v>305</v>
      </c>
    </row>
    <row r="6" spans="2:3" x14ac:dyDescent="0.35">
      <c r="C6" s="18" t="s">
        <v>306</v>
      </c>
    </row>
    <row r="7" spans="2:3" ht="10" customHeight="1" x14ac:dyDescent="0.35"/>
    <row r="8" spans="2:3" ht="232" x14ac:dyDescent="0.35">
      <c r="B8" s="22" t="s">
        <v>307</v>
      </c>
      <c r="C8" s="21" t="s">
        <v>308</v>
      </c>
    </row>
    <row r="9" spans="2:3" ht="10" customHeight="1" x14ac:dyDescent="0.35"/>
    <row r="10" spans="2:3" ht="35" customHeight="1" x14ac:dyDescent="0.35">
      <c r="B10" s="22" t="s">
        <v>309</v>
      </c>
      <c r="C10" s="21" t="s">
        <v>310</v>
      </c>
    </row>
    <row r="11" spans="2:3" ht="75" customHeight="1" x14ac:dyDescent="0.35">
      <c r="B11" s="18" t="s">
        <v>21</v>
      </c>
      <c r="C11" s="21" t="s">
        <v>311</v>
      </c>
    </row>
    <row r="12" spans="2:3" ht="47" customHeight="1" x14ac:dyDescent="0.35">
      <c r="B12" s="18" t="s">
        <v>21</v>
      </c>
      <c r="C12" s="21" t="s">
        <v>312</v>
      </c>
    </row>
    <row r="13" spans="2:3" ht="35" customHeight="1" x14ac:dyDescent="0.35">
      <c r="B13" s="18" t="s">
        <v>21</v>
      </c>
      <c r="C13" s="21" t="s">
        <v>313</v>
      </c>
    </row>
    <row r="14" spans="2:3" ht="32" customHeight="1" x14ac:dyDescent="0.35">
      <c r="B14" s="18" t="s">
        <v>21</v>
      </c>
      <c r="C14" s="21" t="s">
        <v>314</v>
      </c>
    </row>
    <row r="15" spans="2:3" ht="30" customHeight="1" x14ac:dyDescent="0.35">
      <c r="B15" s="18" t="s">
        <v>21</v>
      </c>
      <c r="C15" s="21" t="s">
        <v>315</v>
      </c>
    </row>
    <row r="16" spans="2:3" ht="10" customHeight="1" x14ac:dyDescent="0.35"/>
    <row r="17" spans="1:3" ht="145" customHeight="1" x14ac:dyDescent="0.35">
      <c r="B17" s="22" t="s">
        <v>316</v>
      </c>
      <c r="C17" s="21" t="s">
        <v>317</v>
      </c>
    </row>
    <row r="18" spans="1:3" ht="10" customHeight="1" x14ac:dyDescent="0.35"/>
    <row r="19" spans="1:3" ht="3" customHeight="1" x14ac:dyDescent="0.35">
      <c r="B19" s="23"/>
      <c r="C19" s="23"/>
    </row>
    <row r="20" spans="1:3" ht="12" customHeight="1" x14ac:dyDescent="0.35"/>
    <row r="21" spans="1:3" ht="35" customHeight="1" x14ac:dyDescent="0.35">
      <c r="A21" s="25"/>
      <c r="B21" s="26" t="s">
        <v>318</v>
      </c>
      <c r="C21" s="27" t="s">
        <v>319</v>
      </c>
    </row>
    <row r="22" spans="1:3" ht="18" customHeight="1" x14ac:dyDescent="0.35">
      <c r="A22" s="25"/>
      <c r="B22" s="25" t="s">
        <v>21</v>
      </c>
      <c r="C22" s="27" t="s">
        <v>320</v>
      </c>
    </row>
    <row r="23" spans="1:3" ht="18" customHeight="1" x14ac:dyDescent="0.35">
      <c r="A23" s="25"/>
      <c r="B23" s="25" t="s">
        <v>21</v>
      </c>
      <c r="C23" s="27" t="s">
        <v>321</v>
      </c>
    </row>
    <row r="24" spans="1:3" ht="18" customHeight="1" x14ac:dyDescent="0.35">
      <c r="A24" s="25"/>
      <c r="B24" s="25" t="s">
        <v>21</v>
      </c>
      <c r="C24" s="27" t="s">
        <v>322</v>
      </c>
    </row>
    <row r="25" spans="1:3" ht="18" customHeight="1" x14ac:dyDescent="0.35">
      <c r="A25" s="25"/>
      <c r="B25" s="25" t="s">
        <v>21</v>
      </c>
      <c r="C25" s="27" t="s">
        <v>323</v>
      </c>
    </row>
    <row r="26" spans="1:3" ht="18" customHeight="1" x14ac:dyDescent="0.35">
      <c r="A26" s="25"/>
      <c r="B26" s="25" t="s">
        <v>21</v>
      </c>
      <c r="C26" s="27" t="s">
        <v>324</v>
      </c>
    </row>
    <row r="27" spans="1:3" ht="18" customHeight="1" x14ac:dyDescent="0.35">
      <c r="A27" s="25"/>
      <c r="B27" s="25" t="s">
        <v>21</v>
      </c>
      <c r="C27" s="27" t="s">
        <v>325</v>
      </c>
    </row>
    <row r="28" spans="1:3" ht="18" customHeight="1" x14ac:dyDescent="0.35">
      <c r="A28" s="25"/>
      <c r="B28" s="25" t="s">
        <v>21</v>
      </c>
      <c r="C28" s="27" t="s">
        <v>326</v>
      </c>
    </row>
    <row r="29" spans="1:3" ht="18" customHeight="1" x14ac:dyDescent="0.35">
      <c r="A29" s="25"/>
      <c r="B29" s="25" t="s">
        <v>21</v>
      </c>
      <c r="C29" s="27" t="s">
        <v>327</v>
      </c>
    </row>
    <row r="30" spans="1:3" ht="44" customHeight="1" x14ac:dyDescent="0.35">
      <c r="A30" s="25"/>
      <c r="B30" s="25" t="s">
        <v>21</v>
      </c>
      <c r="C30" s="28" t="s">
        <v>328</v>
      </c>
    </row>
    <row r="31" spans="1:3" ht="10" customHeight="1" x14ac:dyDescent="0.35"/>
    <row r="32" spans="1:3" ht="3" customHeight="1" x14ac:dyDescent="0.35">
      <c r="B32" s="23"/>
      <c r="C32" s="23"/>
    </row>
    <row r="33" spans="2:3" ht="12" customHeight="1" x14ac:dyDescent="0.35"/>
    <row r="34" spans="2:3" ht="24" customHeight="1" x14ac:dyDescent="0.35">
      <c r="B34" s="29" t="s">
        <v>329</v>
      </c>
      <c r="C34" s="30" t="s">
        <v>330</v>
      </c>
    </row>
    <row r="35" spans="2:3" ht="18.5" x14ac:dyDescent="0.35">
      <c r="B35" s="29" t="s">
        <v>331</v>
      </c>
      <c r="C35" s="31" t="s">
        <v>332</v>
      </c>
    </row>
    <row r="36" spans="2:3" ht="27" customHeight="1" x14ac:dyDescent="0.35">
      <c r="B36" s="32" t="s">
        <v>333</v>
      </c>
      <c r="C36" s="24" t="s">
        <v>334</v>
      </c>
    </row>
    <row r="37" spans="2:3" x14ac:dyDescent="0.35">
      <c r="B37" s="29" t="s">
        <v>335</v>
      </c>
      <c r="C37" s="33" t="s">
        <v>336</v>
      </c>
    </row>
    <row r="38" spans="2:3" ht="10" customHeight="1" x14ac:dyDescent="0.35"/>
    <row r="39" spans="2:3" ht="145" x14ac:dyDescent="0.35">
      <c r="B39" s="29" t="s">
        <v>337</v>
      </c>
      <c r="C39" s="34" t="s">
        <v>338</v>
      </c>
    </row>
    <row r="40" spans="2:3" ht="10" customHeight="1" x14ac:dyDescent="0.35"/>
    <row r="41" spans="2:3" ht="20" customHeight="1" x14ac:dyDescent="0.35">
      <c r="B41" s="29" t="s">
        <v>339</v>
      </c>
      <c r="C41" s="35" t="s">
        <v>17</v>
      </c>
    </row>
    <row r="42" spans="2:3" ht="29" x14ac:dyDescent="0.35">
      <c r="C42" s="21" t="s">
        <v>340</v>
      </c>
    </row>
    <row r="43" spans="2:3" ht="10" customHeight="1" x14ac:dyDescent="0.35"/>
    <row r="44" spans="2:3" ht="20" customHeight="1" x14ac:dyDescent="0.35">
      <c r="C44" s="35" t="s">
        <v>28</v>
      </c>
    </row>
    <row r="45" spans="2:3" ht="29" x14ac:dyDescent="0.35">
      <c r="C45" s="21" t="s">
        <v>341</v>
      </c>
    </row>
    <row r="46" spans="2:3" ht="10" customHeight="1" x14ac:dyDescent="0.35"/>
    <row r="47" spans="2:3" ht="20" customHeight="1" x14ac:dyDescent="0.35">
      <c r="C47" s="35" t="s">
        <v>34</v>
      </c>
    </row>
    <row r="48" spans="2:3" ht="29" x14ac:dyDescent="0.35">
      <c r="C48" s="21" t="s">
        <v>342</v>
      </c>
    </row>
    <row r="49" spans="2:3" ht="10" customHeight="1" x14ac:dyDescent="0.35"/>
    <row r="50" spans="2:3" ht="43.5" x14ac:dyDescent="0.35">
      <c r="B50" s="29" t="s">
        <v>343</v>
      </c>
      <c r="C50" s="21" t="s">
        <v>344</v>
      </c>
    </row>
    <row r="51" spans="2:3" ht="10" customHeight="1" x14ac:dyDescent="0.35"/>
    <row r="52" spans="2:3" ht="15.5" x14ac:dyDescent="0.35">
      <c r="C52" s="36" t="s">
        <v>27</v>
      </c>
    </row>
    <row r="53" spans="2:3" ht="29" x14ac:dyDescent="0.35">
      <c r="C53" s="21" t="s">
        <v>345</v>
      </c>
    </row>
    <row r="54" spans="2:3" ht="10" customHeight="1" x14ac:dyDescent="0.35"/>
    <row r="55" spans="2:3" ht="15.5" x14ac:dyDescent="0.35">
      <c r="C55" s="37" t="s">
        <v>16</v>
      </c>
    </row>
    <row r="56" spans="2:3" ht="29" x14ac:dyDescent="0.35">
      <c r="C56" s="21" t="s">
        <v>346</v>
      </c>
    </row>
    <row r="57" spans="2:3" ht="10" customHeight="1" x14ac:dyDescent="0.35"/>
    <row r="58" spans="2:3" ht="15.5" x14ac:dyDescent="0.35">
      <c r="C58" s="38" t="s">
        <v>93</v>
      </c>
    </row>
    <row r="59" spans="2:3" ht="29" x14ac:dyDescent="0.35">
      <c r="C59" s="21" t="s">
        <v>347</v>
      </c>
    </row>
    <row r="60" spans="2:3" ht="10" customHeight="1" x14ac:dyDescent="0.35"/>
    <row r="61" spans="2:3" ht="3" customHeight="1" x14ac:dyDescent="0.35">
      <c r="B61" s="23"/>
      <c r="C61" s="23"/>
    </row>
    <row r="62" spans="2:3" ht="12" customHeight="1" x14ac:dyDescent="0.35"/>
    <row r="63" spans="2:3" ht="130.5" x14ac:dyDescent="0.35">
      <c r="B63" s="20" t="s">
        <v>348</v>
      </c>
      <c r="C63" s="21" t="s">
        <v>349</v>
      </c>
    </row>
    <row r="64" spans="2:3" ht="6" customHeight="1" x14ac:dyDescent="0.35"/>
    <row r="65" spans="2:3" ht="217.5" x14ac:dyDescent="0.35">
      <c r="C65" s="21" t="s">
        <v>350</v>
      </c>
    </row>
    <row r="66" spans="2:3" ht="6" customHeight="1" x14ac:dyDescent="0.35"/>
    <row r="67" spans="2:3" ht="43.5" x14ac:dyDescent="0.35">
      <c r="C67" s="21" t="s">
        <v>351</v>
      </c>
    </row>
    <row r="68" spans="2:3" ht="10" customHeight="1" x14ac:dyDescent="0.35"/>
    <row r="69" spans="2:3" ht="3" customHeight="1" x14ac:dyDescent="0.35">
      <c r="B69" s="23"/>
      <c r="C69" s="23"/>
    </row>
    <row r="70" spans="2:3" ht="12" customHeight="1" x14ac:dyDescent="0.35"/>
    <row r="71" spans="2:3" ht="145" x14ac:dyDescent="0.35">
      <c r="B71" s="20" t="s">
        <v>352</v>
      </c>
      <c r="C71" s="21" t="s">
        <v>353</v>
      </c>
    </row>
    <row r="72" spans="2:3" ht="6" customHeight="1" x14ac:dyDescent="0.35"/>
    <row r="73" spans="2:3" ht="203" x14ac:dyDescent="0.35">
      <c r="C73" s="21" t="s">
        <v>354</v>
      </c>
    </row>
    <row r="74" spans="2:3" ht="6" customHeight="1" x14ac:dyDescent="0.35"/>
    <row r="75" spans="2:3" ht="43.5" x14ac:dyDescent="0.35">
      <c r="C75" s="21" t="s">
        <v>355</v>
      </c>
    </row>
    <row r="76" spans="2:3" ht="10" customHeight="1" x14ac:dyDescent="0.35"/>
    <row r="77" spans="2:3" ht="3" customHeight="1" x14ac:dyDescent="0.35">
      <c r="B77" s="23"/>
      <c r="C77" s="23"/>
    </row>
    <row r="78" spans="2:3" ht="12" customHeight="1" x14ac:dyDescent="0.35"/>
    <row r="79" spans="2:3" ht="101.5" x14ac:dyDescent="0.35">
      <c r="B79" s="20" t="s">
        <v>356</v>
      </c>
      <c r="C79" s="21" t="s">
        <v>357</v>
      </c>
    </row>
    <row r="80" spans="2:3" ht="6" customHeight="1" x14ac:dyDescent="0.35"/>
    <row r="81" spans="2:3" ht="145" x14ac:dyDescent="0.35">
      <c r="C81" s="21" t="s">
        <v>358</v>
      </c>
    </row>
    <row r="82" spans="2:3" ht="6" customHeight="1" x14ac:dyDescent="0.35"/>
    <row r="83" spans="2:3" ht="43.5" x14ac:dyDescent="0.35">
      <c r="C83" s="21" t="s">
        <v>359</v>
      </c>
    </row>
    <row r="87" spans="2:3" ht="32" customHeight="1" x14ac:dyDescent="0.35">
      <c r="B87" s="81" t="s">
        <v>301</v>
      </c>
      <c r="C87" s="81"/>
    </row>
  </sheetData>
  <sheetProtection password="90EA" sheet="1"/>
  <mergeCells count="1">
    <mergeCell ref="B87:C87"/>
  </mergeCells>
  <hyperlinks>
    <hyperlink ref="C5" r:id="rId1" xr:uid="{00000000-0004-0000-0000-000000000000}"/>
    <hyperlink ref="C6" r:id="rId2" xr:uid="{00000000-0004-0000-0000-000001000000}"/>
    <hyperlink ref="C37" r:id="rId3" xr:uid="{00000000-0004-0000-0000-000002000000}"/>
    <hyperlink ref="B87"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360</v>
      </c>
      <c r="C2" s="83"/>
      <c r="D2" s="83"/>
      <c r="E2" s="83"/>
      <c r="F2" s="83"/>
      <c r="G2" s="83"/>
      <c r="H2" s="83"/>
      <c r="I2" s="83"/>
    </row>
    <row r="4" spans="2:15" ht="18.5" x14ac:dyDescent="0.45">
      <c r="B4" s="40" t="s">
        <v>361</v>
      </c>
    </row>
    <row r="5" spans="2:15" x14ac:dyDescent="0.35">
      <c r="B5" s="42" t="s">
        <v>21</v>
      </c>
      <c r="C5" s="42" t="s">
        <v>362</v>
      </c>
      <c r="D5" s="42" t="s">
        <v>363</v>
      </c>
      <c r="F5" s="84" t="s">
        <v>364</v>
      </c>
      <c r="G5" s="84"/>
      <c r="H5" s="84"/>
      <c r="I5" s="85" t="s">
        <v>365</v>
      </c>
      <c r="J5" s="85"/>
      <c r="K5" s="85"/>
      <c r="L5" s="85"/>
      <c r="M5" s="85"/>
      <c r="N5" s="85"/>
      <c r="O5" s="85"/>
    </row>
    <row r="6" spans="2:15" x14ac:dyDescent="0.35">
      <c r="B6" s="48" t="s">
        <v>366</v>
      </c>
      <c r="C6" s="49">
        <v>59</v>
      </c>
      <c r="D6" s="50" t="s">
        <v>21</v>
      </c>
      <c r="F6" s="84" t="s">
        <v>367</v>
      </c>
      <c r="G6" s="84"/>
      <c r="H6" s="84"/>
      <c r="I6" s="86" t="s">
        <v>368</v>
      </c>
      <c r="J6" s="86"/>
      <c r="K6" s="86"/>
      <c r="L6" s="86"/>
      <c r="M6" s="86"/>
      <c r="N6" s="86"/>
      <c r="O6" s="86"/>
    </row>
    <row r="7" spans="2:15" x14ac:dyDescent="0.35">
      <c r="B7" s="51" t="s">
        <v>369</v>
      </c>
      <c r="C7" s="52">
        <f>C6-C8-C9</f>
        <v>59</v>
      </c>
      <c r="D7" s="53">
        <f>IF(C6&gt;0,C7/C6,0)</f>
        <v>1</v>
      </c>
      <c r="F7" s="84" t="s">
        <v>370</v>
      </c>
      <c r="G7" s="84"/>
      <c r="H7" s="84"/>
      <c r="I7" s="86" t="s">
        <v>368</v>
      </c>
      <c r="J7" s="86"/>
      <c r="K7" s="86"/>
      <c r="L7" s="86"/>
      <c r="M7" s="86"/>
      <c r="N7" s="86"/>
      <c r="O7" s="86"/>
    </row>
    <row r="8" spans="2:15" x14ac:dyDescent="0.35">
      <c r="B8" s="44" t="s">
        <v>371</v>
      </c>
      <c r="C8" s="45">
        <f>COUNTIF('Recommendations'!H:H,"Risk Accepted")</f>
        <v>0</v>
      </c>
      <c r="D8" s="46">
        <f>IF(C6&gt;0,C8/C6,0)</f>
        <v>0</v>
      </c>
      <c r="F8" s="84" t="s">
        <v>372</v>
      </c>
      <c r="G8" s="84"/>
      <c r="H8" s="84"/>
      <c r="I8" s="86" t="s">
        <v>368</v>
      </c>
      <c r="J8" s="86"/>
      <c r="K8" s="86"/>
      <c r="L8" s="86"/>
      <c r="M8" s="86"/>
      <c r="N8" s="86"/>
      <c r="O8" s="86"/>
    </row>
    <row r="9" spans="2:15" x14ac:dyDescent="0.35">
      <c r="B9" s="44" t="s">
        <v>373</v>
      </c>
      <c r="C9" s="45">
        <f>COUNTIF('Recommendations'!H:H,"N/A")</f>
        <v>0</v>
      </c>
      <c r="D9" s="46">
        <f>IF(C6&gt;0,C9/C6,0)</f>
        <v>0</v>
      </c>
      <c r="F9" s="84" t="s">
        <v>374</v>
      </c>
      <c r="G9" s="84"/>
      <c r="H9" s="84"/>
      <c r="I9" s="86" t="s">
        <v>368</v>
      </c>
      <c r="J9" s="86"/>
      <c r="K9" s="86"/>
      <c r="L9" s="86"/>
      <c r="M9" s="86"/>
      <c r="N9" s="86"/>
      <c r="O9" s="86"/>
    </row>
    <row r="12" spans="2:15" ht="18.5" x14ac:dyDescent="0.45">
      <c r="B12" s="40" t="s">
        <v>375</v>
      </c>
    </row>
    <row r="14" spans="2:15" x14ac:dyDescent="0.35">
      <c r="B14" s="54" t="s">
        <v>376</v>
      </c>
    </row>
    <row r="15" spans="2:15" x14ac:dyDescent="0.35">
      <c r="B15" s="42" t="s">
        <v>21</v>
      </c>
      <c r="C15" s="42" t="s">
        <v>377</v>
      </c>
      <c r="D15" s="42" t="s">
        <v>378</v>
      </c>
      <c r="E15" s="42" t="s">
        <v>379</v>
      </c>
      <c r="F15" s="42" t="s">
        <v>380</v>
      </c>
    </row>
    <row r="16" spans="2:15" x14ac:dyDescent="0.35">
      <c r="B16" s="44" t="s">
        <v>381</v>
      </c>
      <c r="C16" s="45">
        <f>COUNTIF('Recommendations'!M:M,"Resolved")</f>
        <v>0</v>
      </c>
      <c r="D16" s="45">
        <f>COUNTIF('Recommendations'!M:M,"Testing")</f>
        <v>0</v>
      </c>
      <c r="E16" s="45">
        <f>COUNTIF('Recommendations'!M:M,"Outstanding")</f>
        <v>59</v>
      </c>
      <c r="F16" s="45">
        <f>SUM(C16:E16)</f>
        <v>59</v>
      </c>
    </row>
    <row r="18" spans="2:6" x14ac:dyDescent="0.35">
      <c r="B18" s="54" t="s">
        <v>382</v>
      </c>
    </row>
    <row r="19" spans="2:6" x14ac:dyDescent="0.35">
      <c r="B19" s="55" t="s">
        <v>21</v>
      </c>
      <c r="C19" s="55" t="s">
        <v>377</v>
      </c>
      <c r="D19" s="55" t="s">
        <v>378</v>
      </c>
      <c r="E19" s="55" t="s">
        <v>379</v>
      </c>
      <c r="F19" s="55" t="s">
        <v>21</v>
      </c>
    </row>
    <row r="20" spans="2:6" x14ac:dyDescent="0.35">
      <c r="B20" s="44" t="s">
        <v>381</v>
      </c>
      <c r="C20" s="46">
        <f>IF(F16&gt;0, C16/F16, 0)</f>
        <v>0</v>
      </c>
      <c r="D20" s="46">
        <f>IF(F16&gt;0, D16/F16, 0)</f>
        <v>0</v>
      </c>
      <c r="E20" s="46">
        <f>IF(F16&gt;0, E16/F16, 0)</f>
        <v>1</v>
      </c>
      <c r="F20" s="47" t="s">
        <v>21</v>
      </c>
    </row>
    <row r="25" spans="2:6" ht="18.5" x14ac:dyDescent="0.45">
      <c r="B25" s="40" t="s">
        <v>383</v>
      </c>
    </row>
    <row r="27" spans="2:6" x14ac:dyDescent="0.35">
      <c r="B27" s="54" t="s">
        <v>376</v>
      </c>
    </row>
    <row r="28" spans="2:6" x14ac:dyDescent="0.35">
      <c r="B28" s="42" t="s">
        <v>3</v>
      </c>
      <c r="C28" s="42" t="s">
        <v>377</v>
      </c>
      <c r="D28" s="42" t="s">
        <v>378</v>
      </c>
      <c r="E28" s="42" t="s">
        <v>379</v>
      </c>
      <c r="F28" s="42" t="s">
        <v>380</v>
      </c>
    </row>
    <row r="29" spans="2:6" x14ac:dyDescent="0.35">
      <c r="B29" s="44" t="s">
        <v>17</v>
      </c>
      <c r="C29" s="45">
        <f>COUNTIFS('Recommendations'!D:D,"L2S",'Recommendations'!M:M,"=Resolved")</f>
        <v>0</v>
      </c>
      <c r="D29" s="45">
        <f>COUNTIFS('Recommendations'!D:D,"=L2S",'Recommendations'!M:M,"=Testing")</f>
        <v>0</v>
      </c>
      <c r="E29" s="45">
        <f>COUNTIFS('Recommendations'!D:D,"=L2S",'Recommendations'!M:M,"=Outstanding")</f>
        <v>7</v>
      </c>
      <c r="F29" s="45">
        <f>SUM(C29:E29)</f>
        <v>7</v>
      </c>
    </row>
    <row r="30" spans="2:6" x14ac:dyDescent="0.35">
      <c r="B30" s="44" t="s">
        <v>28</v>
      </c>
      <c r="C30" s="45">
        <f>COUNTIFS('Recommendations'!D:D,"NDM",'Recommendations'!M:M,"=Resolved")</f>
        <v>0</v>
      </c>
      <c r="D30" s="45">
        <f>COUNTIFS('Recommendations'!D:D,"=NDM",'Recommendations'!M:M,"=Testing")</f>
        <v>0</v>
      </c>
      <c r="E30" s="45">
        <f>COUNTIFS('Recommendations'!D:D,"=NDM",'Recommendations'!M:M,"=Outstanding")</f>
        <v>31</v>
      </c>
      <c r="F30" s="45">
        <f>SUM(C30:E30)</f>
        <v>31</v>
      </c>
    </row>
    <row r="31" spans="2:6" x14ac:dyDescent="0.35">
      <c r="B31" s="44" t="s">
        <v>34</v>
      </c>
      <c r="C31" s="45">
        <f>COUNTIFS('Recommendations'!D:D,"RTR",'Recommendations'!M:M,"=Resolved")</f>
        <v>0</v>
      </c>
      <c r="D31" s="45">
        <f>COUNTIFS('Recommendations'!D:D,"=RTR",'Recommendations'!M:M,"=Testing")</f>
        <v>0</v>
      </c>
      <c r="E31" s="45">
        <f>COUNTIFS('Recommendations'!D:D,"=RTR",'Recommendations'!M:M,"=Outstanding")</f>
        <v>21</v>
      </c>
      <c r="F31" s="45">
        <f>SUM(C31:E31)</f>
        <v>21</v>
      </c>
    </row>
    <row r="33" spans="2:6" x14ac:dyDescent="0.35">
      <c r="B33" s="54" t="s">
        <v>382</v>
      </c>
    </row>
    <row r="34" spans="2:6" x14ac:dyDescent="0.35">
      <c r="B34" s="55" t="s">
        <v>3</v>
      </c>
      <c r="C34" s="55" t="s">
        <v>377</v>
      </c>
      <c r="D34" s="55" t="s">
        <v>378</v>
      </c>
      <c r="E34" s="55" t="s">
        <v>379</v>
      </c>
      <c r="F34" s="55" t="s">
        <v>21</v>
      </c>
    </row>
    <row r="35" spans="2:6" x14ac:dyDescent="0.35">
      <c r="B35" s="44" t="s">
        <v>17</v>
      </c>
      <c r="C35" s="46">
        <f>IF(F29&gt;0, C29/F29, 0)</f>
        <v>0</v>
      </c>
      <c r="D35" s="46">
        <f>IF(F29&gt;0, D29/F29, 0)</f>
        <v>0</v>
      </c>
      <c r="E35" s="46">
        <f>IF(F29&gt;0, E29/F29, 0)</f>
        <v>1</v>
      </c>
      <c r="F35" s="47" t="s">
        <v>21</v>
      </c>
    </row>
    <row r="36" spans="2:6" x14ac:dyDescent="0.35">
      <c r="B36" s="44" t="s">
        <v>28</v>
      </c>
      <c r="C36" s="46">
        <f>IF(F30&gt;0, C30/F30, 0)</f>
        <v>0</v>
      </c>
      <c r="D36" s="46">
        <f>IF(F30&gt;0, D30/F30, 0)</f>
        <v>0</v>
      </c>
      <c r="E36" s="46">
        <f>IF(F30&gt;0, E30/F30, 0)</f>
        <v>1</v>
      </c>
      <c r="F36" s="47" t="s">
        <v>21</v>
      </c>
    </row>
    <row r="37" spans="2:6" x14ac:dyDescent="0.35">
      <c r="B37" s="44" t="s">
        <v>34</v>
      </c>
      <c r="C37" s="46">
        <f>IF(F31&gt;0, C31/F31, 0)</f>
        <v>0</v>
      </c>
      <c r="D37" s="46">
        <f>IF(F31&gt;0, D31/F31, 0)</f>
        <v>0</v>
      </c>
      <c r="E37" s="46">
        <f>IF(F31&gt;0, E31/F31, 0)</f>
        <v>1</v>
      </c>
      <c r="F37" s="47" t="s">
        <v>21</v>
      </c>
    </row>
    <row r="42" spans="2:6" ht="18.5" x14ac:dyDescent="0.45">
      <c r="B42" s="40" t="s">
        <v>384</v>
      </c>
    </row>
    <row r="44" spans="2:6" x14ac:dyDescent="0.35">
      <c r="B44" s="54" t="s">
        <v>376</v>
      </c>
    </row>
    <row r="45" spans="2:6" x14ac:dyDescent="0.35">
      <c r="B45" s="42" t="s">
        <v>6</v>
      </c>
      <c r="C45" s="42" t="s">
        <v>377</v>
      </c>
      <c r="D45" s="42" t="s">
        <v>378</v>
      </c>
      <c r="E45" s="42" t="s">
        <v>379</v>
      </c>
      <c r="F45" s="42" t="s">
        <v>380</v>
      </c>
    </row>
    <row r="46" spans="2:6" x14ac:dyDescent="0.35">
      <c r="B46" s="44" t="s">
        <v>385</v>
      </c>
      <c r="C46" s="45">
        <f>COUNTIFS('Recommendations'!G:G,"Phase1",'Recommendations'!M:M,"=Resolved")</f>
        <v>0</v>
      </c>
      <c r="D46" s="45">
        <f>COUNTIFS('Recommendations'!G:G,"=Phase1",'Recommendations'!M:M,"=Testing")</f>
        <v>0</v>
      </c>
      <c r="E46" s="45">
        <f>COUNTIFS('Recommendations'!G:G,"=Phase1",'Recommendations'!M:M,"=Outstanding")</f>
        <v>0</v>
      </c>
      <c r="F46" s="45">
        <f t="shared" ref="F46:F51" si="0">SUM(C46:E46)</f>
        <v>0</v>
      </c>
    </row>
    <row r="47" spans="2:6" x14ac:dyDescent="0.35">
      <c r="B47" s="44" t="s">
        <v>386</v>
      </c>
      <c r="C47" s="45">
        <f>COUNTIFS('Recommendations'!G:G,"Phase2",'Recommendations'!M:M,"=Resolved")</f>
        <v>0</v>
      </c>
      <c r="D47" s="45">
        <f>COUNTIFS('Recommendations'!G:G,"=Phase2",'Recommendations'!M:M,"=Testing")</f>
        <v>0</v>
      </c>
      <c r="E47" s="45">
        <f>COUNTIFS('Recommendations'!G:G,"=Phase2",'Recommendations'!M:M,"=Outstanding")</f>
        <v>0</v>
      </c>
      <c r="F47" s="45">
        <f t="shared" si="0"/>
        <v>0</v>
      </c>
    </row>
    <row r="48" spans="2:6" x14ac:dyDescent="0.35">
      <c r="B48" s="44" t="s">
        <v>387</v>
      </c>
      <c r="C48" s="45">
        <f>COUNTIFS('Recommendations'!G:G,"Phase3",'Recommendations'!M:M,"=Resolved")</f>
        <v>0</v>
      </c>
      <c r="D48" s="45">
        <f>COUNTIFS('Recommendations'!G:G,"=Phase3",'Recommendations'!M:M,"=Testing")</f>
        <v>0</v>
      </c>
      <c r="E48" s="45">
        <f>COUNTIFS('Recommendations'!G:G,"=Phase3",'Recommendations'!M:M,"=Outstanding")</f>
        <v>0</v>
      </c>
      <c r="F48" s="45">
        <f t="shared" si="0"/>
        <v>0</v>
      </c>
    </row>
    <row r="49" spans="2:6" x14ac:dyDescent="0.35">
      <c r="B49" s="44" t="s">
        <v>388</v>
      </c>
      <c r="C49" s="45">
        <f>COUNTIFS('Recommendations'!G:G,"Phase4",'Recommendations'!M:M,"=Resolved")</f>
        <v>0</v>
      </c>
      <c r="D49" s="45">
        <f>COUNTIFS('Recommendations'!G:G,"=Phase4",'Recommendations'!M:M,"=Testing")</f>
        <v>0</v>
      </c>
      <c r="E49" s="45">
        <f>COUNTIFS('Recommendations'!G:G,"=Phase4",'Recommendations'!M:M,"=Outstanding")</f>
        <v>0</v>
      </c>
      <c r="F49" s="45">
        <f t="shared" si="0"/>
        <v>0</v>
      </c>
    </row>
    <row r="50" spans="2:6" x14ac:dyDescent="0.35">
      <c r="B50" s="44" t="s">
        <v>389</v>
      </c>
      <c r="C50" s="45">
        <f>COUNTIFS('Recommendations'!G:G,"Phase5",'Recommendations'!M:M,"=Resolved")</f>
        <v>0</v>
      </c>
      <c r="D50" s="45">
        <f>COUNTIFS('Recommendations'!G:G,"=Phase5",'Recommendations'!M:M,"=Testing")</f>
        <v>0</v>
      </c>
      <c r="E50" s="45">
        <f>COUNTIFS('Recommendations'!G:G,"=Phase5",'Recommendations'!M:M,"=Outstanding")</f>
        <v>0</v>
      </c>
      <c r="F50" s="45">
        <f t="shared" si="0"/>
        <v>0</v>
      </c>
    </row>
    <row r="51" spans="2:6" x14ac:dyDescent="0.35">
      <c r="B51" s="44" t="s">
        <v>20</v>
      </c>
      <c r="C51" s="45">
        <f>COUNTIFS('Recommendations'!G:G,"Pending",'Recommendations'!M:M,"=Resolved")</f>
        <v>0</v>
      </c>
      <c r="D51" s="45">
        <f>COUNTIFS('Recommendations'!G:G,"=Pending",'Recommendations'!M:M,"=Testing")</f>
        <v>0</v>
      </c>
      <c r="E51" s="45">
        <f>COUNTIFS('Recommendations'!G:G,"=Pending",'Recommendations'!M:M,"=Outstanding")</f>
        <v>59</v>
      </c>
      <c r="F51" s="45">
        <f t="shared" si="0"/>
        <v>59</v>
      </c>
    </row>
    <row r="53" spans="2:6" x14ac:dyDescent="0.35">
      <c r="B53" s="54" t="s">
        <v>382</v>
      </c>
    </row>
    <row r="54" spans="2:6" x14ac:dyDescent="0.35">
      <c r="B54" s="55" t="s">
        <v>6</v>
      </c>
      <c r="C54" s="55" t="s">
        <v>377</v>
      </c>
      <c r="D54" s="55" t="s">
        <v>378</v>
      </c>
      <c r="E54" s="55" t="s">
        <v>379</v>
      </c>
      <c r="F54" s="55" t="s">
        <v>21</v>
      </c>
    </row>
    <row r="55" spans="2:6" x14ac:dyDescent="0.35">
      <c r="B55" s="44" t="s">
        <v>385</v>
      </c>
      <c r="C55" s="46">
        <f t="shared" ref="C55:C60" si="1">IF(F46&gt;0, C46/F46, 0)</f>
        <v>0</v>
      </c>
      <c r="D55" s="46">
        <f t="shared" ref="D55:D60" si="2">IF(F46&gt;0, D46/F46, 0)</f>
        <v>0</v>
      </c>
      <c r="E55" s="46">
        <f t="shared" ref="E55:E60" si="3">IF(F46&gt;0, E46/F46, 0)</f>
        <v>0</v>
      </c>
      <c r="F55" s="47" t="s">
        <v>21</v>
      </c>
    </row>
    <row r="56" spans="2:6" x14ac:dyDescent="0.35">
      <c r="B56" s="44" t="s">
        <v>386</v>
      </c>
      <c r="C56" s="46">
        <f t="shared" si="1"/>
        <v>0</v>
      </c>
      <c r="D56" s="46">
        <f t="shared" si="2"/>
        <v>0</v>
      </c>
      <c r="E56" s="46">
        <f t="shared" si="3"/>
        <v>0</v>
      </c>
      <c r="F56" s="47" t="s">
        <v>21</v>
      </c>
    </row>
    <row r="57" spans="2:6" x14ac:dyDescent="0.35">
      <c r="B57" s="44" t="s">
        <v>387</v>
      </c>
      <c r="C57" s="46">
        <f t="shared" si="1"/>
        <v>0</v>
      </c>
      <c r="D57" s="46">
        <f t="shared" si="2"/>
        <v>0</v>
      </c>
      <c r="E57" s="46">
        <f t="shared" si="3"/>
        <v>0</v>
      </c>
      <c r="F57" s="47" t="s">
        <v>21</v>
      </c>
    </row>
    <row r="58" spans="2:6" x14ac:dyDescent="0.35">
      <c r="B58" s="44" t="s">
        <v>388</v>
      </c>
      <c r="C58" s="46">
        <f t="shared" si="1"/>
        <v>0</v>
      </c>
      <c r="D58" s="46">
        <f t="shared" si="2"/>
        <v>0</v>
      </c>
      <c r="E58" s="46">
        <f t="shared" si="3"/>
        <v>0</v>
      </c>
      <c r="F58" s="47" t="s">
        <v>21</v>
      </c>
    </row>
    <row r="59" spans="2:6" x14ac:dyDescent="0.35">
      <c r="B59" s="44" t="s">
        <v>389</v>
      </c>
      <c r="C59" s="46">
        <f t="shared" si="1"/>
        <v>0</v>
      </c>
      <c r="D59" s="46">
        <f t="shared" si="2"/>
        <v>0</v>
      </c>
      <c r="E59" s="46">
        <f t="shared" si="3"/>
        <v>0</v>
      </c>
      <c r="F59" s="47" t="s">
        <v>21</v>
      </c>
    </row>
    <row r="60" spans="2:6" x14ac:dyDescent="0.35">
      <c r="B60" s="44" t="s">
        <v>20</v>
      </c>
      <c r="C60" s="46">
        <f t="shared" si="1"/>
        <v>0</v>
      </c>
      <c r="D60" s="46">
        <f t="shared" si="2"/>
        <v>0</v>
      </c>
      <c r="E60" s="46">
        <f t="shared" si="3"/>
        <v>1</v>
      </c>
      <c r="F60" s="47" t="s">
        <v>21</v>
      </c>
    </row>
    <row r="65" spans="2:6" ht="18.5" x14ac:dyDescent="0.45">
      <c r="B65" s="40" t="s">
        <v>390</v>
      </c>
    </row>
    <row r="67" spans="2:6" x14ac:dyDescent="0.35">
      <c r="B67" s="54" t="s">
        <v>376</v>
      </c>
    </row>
    <row r="68" spans="2:6" x14ac:dyDescent="0.35">
      <c r="B68" s="42" t="s">
        <v>2</v>
      </c>
      <c r="C68" s="42" t="s">
        <v>377</v>
      </c>
      <c r="D68" s="42" t="s">
        <v>378</v>
      </c>
      <c r="E68" s="42" t="s">
        <v>379</v>
      </c>
      <c r="F68" s="42" t="s">
        <v>380</v>
      </c>
    </row>
    <row r="69" spans="2:6" x14ac:dyDescent="0.35">
      <c r="B69" s="44" t="s">
        <v>27</v>
      </c>
      <c r="C69" s="45">
        <f>COUNTIFS('Recommendations'!C:C,"CAT I (High)",'Recommendations'!M:M,"=Resolved")</f>
        <v>0</v>
      </c>
      <c r="D69" s="45">
        <f>COUNTIFS('Recommendations'!C:C,"=CAT I (High)",'Recommendations'!M:M,"=Testing")</f>
        <v>0</v>
      </c>
      <c r="E69" s="45">
        <f>COUNTIFS('Recommendations'!C:C,"=CAT I (High)",'Recommendations'!M:M,"=Outstanding")</f>
        <v>2</v>
      </c>
      <c r="F69" s="45">
        <f>SUM(C69:E69)</f>
        <v>2</v>
      </c>
    </row>
    <row r="70" spans="2:6" x14ac:dyDescent="0.35">
      <c r="B70" s="44" t="s">
        <v>16</v>
      </c>
      <c r="C70" s="45">
        <f>COUNTIFS('Recommendations'!C:C,"CAT II (Medium)",'Recommendations'!M:M,"=Resolved")</f>
        <v>0</v>
      </c>
      <c r="D70" s="45">
        <f>COUNTIFS('Recommendations'!C:C,"=CAT II (Medium)",'Recommendations'!M:M,"=Testing")</f>
        <v>0</v>
      </c>
      <c r="E70" s="45">
        <f>COUNTIFS('Recommendations'!C:C,"=CAT II (Medium)",'Recommendations'!M:M,"=Outstanding")</f>
        <v>51</v>
      </c>
      <c r="F70" s="45">
        <f>SUM(C70:E70)</f>
        <v>51</v>
      </c>
    </row>
    <row r="71" spans="2:6" x14ac:dyDescent="0.35">
      <c r="B71" s="44" t="s">
        <v>93</v>
      </c>
      <c r="C71" s="45">
        <f>COUNTIFS('Recommendations'!C:C,"CAT III (Low)",'Recommendations'!M:M,"=Resolved")</f>
        <v>0</v>
      </c>
      <c r="D71" s="45">
        <f>COUNTIFS('Recommendations'!C:C,"=CAT III (Low)",'Recommendations'!M:M,"=Testing")</f>
        <v>0</v>
      </c>
      <c r="E71" s="45">
        <f>COUNTIFS('Recommendations'!C:C,"=CAT III (Low)",'Recommendations'!M:M,"=Outstanding")</f>
        <v>6</v>
      </c>
      <c r="F71" s="45">
        <f>SUM(C71:E71)</f>
        <v>6</v>
      </c>
    </row>
    <row r="73" spans="2:6" x14ac:dyDescent="0.35">
      <c r="B73" s="54" t="s">
        <v>382</v>
      </c>
    </row>
    <row r="74" spans="2:6" x14ac:dyDescent="0.35">
      <c r="B74" s="55" t="s">
        <v>2</v>
      </c>
      <c r="C74" s="55" t="s">
        <v>377</v>
      </c>
      <c r="D74" s="55" t="s">
        <v>378</v>
      </c>
      <c r="E74" s="55" t="s">
        <v>379</v>
      </c>
      <c r="F74" s="55" t="s">
        <v>21</v>
      </c>
    </row>
    <row r="75" spans="2:6" x14ac:dyDescent="0.35">
      <c r="B75" s="44" t="s">
        <v>27</v>
      </c>
      <c r="C75" s="46">
        <f>IF(F69&gt;0, C69/F69, 0)</f>
        <v>0</v>
      </c>
      <c r="D75" s="46">
        <f>IF(F69&gt;0, D69/F69, 0)</f>
        <v>0</v>
      </c>
      <c r="E75" s="46">
        <f>IF(F69&gt;0, E69/F69, 0)</f>
        <v>1</v>
      </c>
      <c r="F75" s="47" t="s">
        <v>21</v>
      </c>
    </row>
    <row r="76" spans="2:6" x14ac:dyDescent="0.35">
      <c r="B76" s="44" t="s">
        <v>16</v>
      </c>
      <c r="C76" s="46">
        <f>IF(F70&gt;0, C70/F70, 0)</f>
        <v>0</v>
      </c>
      <c r="D76" s="46">
        <f>IF(F70&gt;0, D70/F70, 0)</f>
        <v>0</v>
      </c>
      <c r="E76" s="46">
        <f>IF(F70&gt;0, E70/F70, 0)</f>
        <v>1</v>
      </c>
      <c r="F76" s="47" t="s">
        <v>21</v>
      </c>
    </row>
    <row r="77" spans="2:6" x14ac:dyDescent="0.35">
      <c r="B77" s="44" t="s">
        <v>93</v>
      </c>
      <c r="C77" s="46">
        <f>IF(F71&gt;0, C71/F71, 0)</f>
        <v>0</v>
      </c>
      <c r="D77" s="46">
        <f>IF(F71&gt;0, D71/F71, 0)</f>
        <v>0</v>
      </c>
      <c r="E77" s="46">
        <f>IF(F71&gt;0, E71/F71, 0)</f>
        <v>1</v>
      </c>
      <c r="F77" s="47" t="s">
        <v>21</v>
      </c>
    </row>
    <row r="82" spans="2:6" ht="18.5" x14ac:dyDescent="0.45">
      <c r="B82" s="40" t="s">
        <v>391</v>
      </c>
    </row>
    <row r="84" spans="2:6" x14ac:dyDescent="0.35">
      <c r="B84" s="54" t="s">
        <v>376</v>
      </c>
    </row>
    <row r="85" spans="2:6" x14ac:dyDescent="0.35">
      <c r="B85" s="42" t="s">
        <v>4</v>
      </c>
      <c r="C85" s="42" t="s">
        <v>377</v>
      </c>
      <c r="D85" s="42" t="s">
        <v>378</v>
      </c>
      <c r="E85" s="42" t="s">
        <v>379</v>
      </c>
      <c r="F85" s="42" t="s">
        <v>380</v>
      </c>
    </row>
    <row r="86" spans="2:6" x14ac:dyDescent="0.35">
      <c r="B86" s="44" t="s">
        <v>392</v>
      </c>
      <c r="C86" s="45">
        <f>COUNTIFS('Recommendations'!E:E,"Must",'Recommendations'!M:M,"=Resolved")</f>
        <v>0</v>
      </c>
      <c r="D86" s="45">
        <f>COUNTIFS('Recommendations'!E:E,"=Must",'Recommendations'!M:M,"=Testing")</f>
        <v>0</v>
      </c>
      <c r="E86" s="45">
        <f>COUNTIFS('Recommendations'!E:E,"=Must",'Recommendations'!M:M,"=Outstanding")</f>
        <v>0</v>
      </c>
      <c r="F86" s="45">
        <f>SUM(C86:E86)</f>
        <v>0</v>
      </c>
    </row>
    <row r="87" spans="2:6" x14ac:dyDescent="0.35">
      <c r="B87" s="44" t="s">
        <v>393</v>
      </c>
      <c r="C87" s="45">
        <f>COUNTIFS('Recommendations'!E:E,"Should",'Recommendations'!M:M,"=Resolved")</f>
        <v>0</v>
      </c>
      <c r="D87" s="45">
        <f>COUNTIFS('Recommendations'!E:E,"=Should",'Recommendations'!M:M,"=Testing")</f>
        <v>0</v>
      </c>
      <c r="E87" s="45">
        <f>COUNTIFS('Recommendations'!E:E,"=Should",'Recommendations'!M:M,"=Outstanding")</f>
        <v>0</v>
      </c>
      <c r="F87" s="45">
        <f>SUM(C87:E87)</f>
        <v>0</v>
      </c>
    </row>
    <row r="88" spans="2:6" x14ac:dyDescent="0.35">
      <c r="B88" s="44" t="s">
        <v>394</v>
      </c>
      <c r="C88" s="45">
        <f>COUNTIFS('Recommendations'!E:E,"Could",'Recommendations'!M:M,"=Resolved")</f>
        <v>0</v>
      </c>
      <c r="D88" s="45">
        <f>COUNTIFS('Recommendations'!E:E,"=Could",'Recommendations'!M:M,"=Testing")</f>
        <v>0</v>
      </c>
      <c r="E88" s="45">
        <f>COUNTIFS('Recommendations'!E:E,"=Could",'Recommendations'!M:M,"=Outstanding")</f>
        <v>0</v>
      </c>
      <c r="F88" s="45">
        <f>SUM(C88:E88)</f>
        <v>0</v>
      </c>
    </row>
    <row r="89" spans="2:6" x14ac:dyDescent="0.35">
      <c r="B89" s="44" t="s">
        <v>395</v>
      </c>
      <c r="C89" s="45">
        <f>COUNTIFS('Recommendations'!E:E,"Won't",'Recommendations'!M:M,"=Resolved")</f>
        <v>0</v>
      </c>
      <c r="D89" s="45">
        <f>COUNTIFS('Recommendations'!E:E,"=Won't",'Recommendations'!M:M,"=Testing")</f>
        <v>0</v>
      </c>
      <c r="E89" s="45">
        <f>COUNTIFS('Recommendations'!E:E,"=Won't",'Recommendations'!M:M,"=Outstanding")</f>
        <v>0</v>
      </c>
      <c r="F89" s="45">
        <f>SUM(C89:E89)</f>
        <v>0</v>
      </c>
    </row>
    <row r="90" spans="2:6" x14ac:dyDescent="0.35">
      <c r="B90" s="44" t="s">
        <v>18</v>
      </c>
      <c r="C90" s="45">
        <f>COUNTIFS('Recommendations'!E:E,"Unassigned",'Recommendations'!M:M,"=Resolved")</f>
        <v>0</v>
      </c>
      <c r="D90" s="45">
        <f>COUNTIFS('Recommendations'!E:E,"=Unassigned",'Recommendations'!M:M,"=Testing")</f>
        <v>0</v>
      </c>
      <c r="E90" s="45">
        <f>COUNTIFS('Recommendations'!E:E,"=Unassigned",'Recommendations'!M:M,"=Outstanding")</f>
        <v>59</v>
      </c>
      <c r="F90" s="45">
        <f>SUM(C90:E90)</f>
        <v>59</v>
      </c>
    </row>
    <row r="92" spans="2:6" x14ac:dyDescent="0.35">
      <c r="B92" s="54" t="s">
        <v>382</v>
      </c>
    </row>
    <row r="93" spans="2:6" x14ac:dyDescent="0.35">
      <c r="B93" s="55" t="s">
        <v>4</v>
      </c>
      <c r="C93" s="55" t="s">
        <v>377</v>
      </c>
      <c r="D93" s="55" t="s">
        <v>378</v>
      </c>
      <c r="E93" s="55" t="s">
        <v>379</v>
      </c>
      <c r="F93" s="55" t="s">
        <v>21</v>
      </c>
    </row>
    <row r="94" spans="2:6" x14ac:dyDescent="0.35">
      <c r="B94" s="44" t="s">
        <v>392</v>
      </c>
      <c r="C94" s="46">
        <f>IF(F86&gt;0, C86/F86, 0)</f>
        <v>0</v>
      </c>
      <c r="D94" s="46">
        <f>IF(F86&gt;0, D86/F86, 0)</f>
        <v>0</v>
      </c>
      <c r="E94" s="46">
        <f>IF(F86&gt;0, E86/F86, 0)</f>
        <v>0</v>
      </c>
      <c r="F94" s="47" t="s">
        <v>21</v>
      </c>
    </row>
    <row r="95" spans="2:6" x14ac:dyDescent="0.35">
      <c r="B95" s="44" t="s">
        <v>393</v>
      </c>
      <c r="C95" s="46">
        <f>IF(F87&gt;0, C87/F87, 0)</f>
        <v>0</v>
      </c>
      <c r="D95" s="46">
        <f>IF(F87&gt;0, D87/F87, 0)</f>
        <v>0</v>
      </c>
      <c r="E95" s="46">
        <f>IF(F87&gt;0, E87/F87, 0)</f>
        <v>0</v>
      </c>
      <c r="F95" s="47" t="s">
        <v>21</v>
      </c>
    </row>
    <row r="96" spans="2:6" x14ac:dyDescent="0.35">
      <c r="B96" s="44" t="s">
        <v>394</v>
      </c>
      <c r="C96" s="46">
        <f>IF(F88&gt;0, C88/F88, 0)</f>
        <v>0</v>
      </c>
      <c r="D96" s="46">
        <f>IF(F88&gt;0, D88/F88, 0)</f>
        <v>0</v>
      </c>
      <c r="E96" s="46">
        <f>IF(F88&gt;0, E88/F88, 0)</f>
        <v>0</v>
      </c>
      <c r="F96" s="47" t="s">
        <v>21</v>
      </c>
    </row>
    <row r="97" spans="2:6" x14ac:dyDescent="0.35">
      <c r="B97" s="44" t="s">
        <v>395</v>
      </c>
      <c r="C97" s="46">
        <f>IF(F89&gt;0, C89/F89, 0)</f>
        <v>0</v>
      </c>
      <c r="D97" s="46">
        <f>IF(F89&gt;0, D89/F89, 0)</f>
        <v>0</v>
      </c>
      <c r="E97" s="46">
        <f>IF(F89&gt;0, E89/F89, 0)</f>
        <v>0</v>
      </c>
      <c r="F97" s="47" t="s">
        <v>21</v>
      </c>
    </row>
    <row r="98" spans="2:6" x14ac:dyDescent="0.35">
      <c r="B98" s="44" t="s">
        <v>18</v>
      </c>
      <c r="C98" s="46">
        <f>IF(F90&gt;0, C90/F90, 0)</f>
        <v>0</v>
      </c>
      <c r="D98" s="46">
        <f>IF(F90&gt;0, D90/F90, 0)</f>
        <v>0</v>
      </c>
      <c r="E98" s="46">
        <f>IF(F90&gt;0, E90/F90, 0)</f>
        <v>1</v>
      </c>
      <c r="F98" s="47" t="s">
        <v>21</v>
      </c>
    </row>
    <row r="103" spans="2:6" ht="18.5" x14ac:dyDescent="0.45">
      <c r="B103" s="40" t="s">
        <v>396</v>
      </c>
    </row>
    <row r="105" spans="2:6" x14ac:dyDescent="0.35">
      <c r="B105" s="54" t="s">
        <v>376</v>
      </c>
    </row>
    <row r="106" spans="2:6" x14ac:dyDescent="0.35">
      <c r="B106" s="42" t="s">
        <v>397</v>
      </c>
      <c r="C106" s="42" t="s">
        <v>377</v>
      </c>
      <c r="D106" s="42" t="s">
        <v>378</v>
      </c>
      <c r="E106" s="42" t="s">
        <v>379</v>
      </c>
      <c r="F106" s="42" t="s">
        <v>380</v>
      </c>
    </row>
    <row r="107" spans="2:6" x14ac:dyDescent="0.35">
      <c r="B107" s="44" t="s">
        <v>398</v>
      </c>
      <c r="C107" s="45">
        <f>COUNTIFS('Recommendations'!F:F,"Low",'Recommendations'!M:M,"=Resolved")</f>
        <v>0</v>
      </c>
      <c r="D107" s="45">
        <f>COUNTIFS('Recommendations'!F:F,"=Low",'Recommendations'!M:M,"=Testing")</f>
        <v>0</v>
      </c>
      <c r="E107" s="45">
        <f>COUNTIFS('Recommendations'!F:F,"=Low",'Recommendations'!M:M,"=Outstanding")</f>
        <v>0</v>
      </c>
      <c r="F107" s="45">
        <f>SUM(C107:E107)</f>
        <v>0</v>
      </c>
    </row>
    <row r="108" spans="2:6" x14ac:dyDescent="0.35">
      <c r="B108" s="44" t="s">
        <v>399</v>
      </c>
      <c r="C108" s="45">
        <f>COUNTIFS('Recommendations'!F:F,"Medium",'Recommendations'!M:M,"=Resolved")</f>
        <v>0</v>
      </c>
      <c r="D108" s="45">
        <f>COUNTIFS('Recommendations'!F:F,"=Medium",'Recommendations'!M:M,"=Testing")</f>
        <v>0</v>
      </c>
      <c r="E108" s="45">
        <f>COUNTIFS('Recommendations'!F:F,"=Medium",'Recommendations'!M:M,"=Outstanding")</f>
        <v>0</v>
      </c>
      <c r="F108" s="45">
        <f>SUM(C108:E108)</f>
        <v>0</v>
      </c>
    </row>
    <row r="109" spans="2:6" x14ac:dyDescent="0.35">
      <c r="B109" s="44" t="s">
        <v>400</v>
      </c>
      <c r="C109" s="45">
        <f>COUNTIFS('Recommendations'!F:F,"High",'Recommendations'!M:M,"=Resolved")</f>
        <v>0</v>
      </c>
      <c r="D109" s="45">
        <f>COUNTIFS('Recommendations'!F:F,"=High",'Recommendations'!M:M,"=Testing")</f>
        <v>0</v>
      </c>
      <c r="E109" s="45">
        <f>COUNTIFS('Recommendations'!F:F,"=High",'Recommendations'!M:M,"=Outstanding")</f>
        <v>0</v>
      </c>
      <c r="F109" s="45">
        <f>SUM(C109:E109)</f>
        <v>0</v>
      </c>
    </row>
    <row r="110" spans="2:6" x14ac:dyDescent="0.35">
      <c r="B110" s="44" t="s">
        <v>19</v>
      </c>
      <c r="C110" s="45">
        <f>COUNTIFS('Recommendations'!F:F,"Unassessed",'Recommendations'!M:M,"=Resolved")</f>
        <v>0</v>
      </c>
      <c r="D110" s="45">
        <f>COUNTIFS('Recommendations'!F:F,"=Unassessed",'Recommendations'!M:M,"=Testing")</f>
        <v>0</v>
      </c>
      <c r="E110" s="45">
        <f>COUNTIFS('Recommendations'!F:F,"=Unassessed",'Recommendations'!M:M,"=Outstanding")</f>
        <v>59</v>
      </c>
      <c r="F110" s="45">
        <f>SUM(C110:E110)</f>
        <v>59</v>
      </c>
    </row>
    <row r="112" spans="2:6" x14ac:dyDescent="0.35">
      <c r="B112" s="54" t="s">
        <v>382</v>
      </c>
    </row>
    <row r="113" spans="2:15" x14ac:dyDescent="0.35">
      <c r="B113" s="55" t="s">
        <v>397</v>
      </c>
      <c r="C113" s="55" t="s">
        <v>377</v>
      </c>
      <c r="D113" s="55" t="s">
        <v>378</v>
      </c>
      <c r="E113" s="55" t="s">
        <v>379</v>
      </c>
      <c r="F113" s="55" t="s">
        <v>21</v>
      </c>
    </row>
    <row r="114" spans="2:15" x14ac:dyDescent="0.35">
      <c r="B114" s="44" t="s">
        <v>398</v>
      </c>
      <c r="C114" s="46">
        <f>IF(F107&gt;0, C107/F107, 0)</f>
        <v>0</v>
      </c>
      <c r="D114" s="46">
        <f>IF(F107&gt;0, D107/F107, 0)</f>
        <v>0</v>
      </c>
      <c r="E114" s="46">
        <f>IF(F107&gt;0, E107/F107, 0)</f>
        <v>0</v>
      </c>
      <c r="F114" s="47" t="s">
        <v>21</v>
      </c>
    </row>
    <row r="115" spans="2:15" x14ac:dyDescent="0.35">
      <c r="B115" s="44" t="s">
        <v>399</v>
      </c>
      <c r="C115" s="46">
        <f>IF(F108&gt;0, C108/F108, 0)</f>
        <v>0</v>
      </c>
      <c r="D115" s="46">
        <f>IF(F108&gt;0, D108/F108, 0)</f>
        <v>0</v>
      </c>
      <c r="E115" s="46">
        <f>IF(F108&gt;0, E108/F108, 0)</f>
        <v>0</v>
      </c>
      <c r="F115" s="47" t="s">
        <v>21</v>
      </c>
    </row>
    <row r="116" spans="2:15" x14ac:dyDescent="0.35">
      <c r="B116" s="44" t="s">
        <v>400</v>
      </c>
      <c r="C116" s="46">
        <f>IF(F109&gt;0, C109/F109, 0)</f>
        <v>0</v>
      </c>
      <c r="D116" s="46">
        <f>IF(F109&gt;0, D109/F109, 0)</f>
        <v>0</v>
      </c>
      <c r="E116" s="46">
        <f>IF(F109&gt;0, E109/F109, 0)</f>
        <v>0</v>
      </c>
      <c r="F116" s="47" t="s">
        <v>21</v>
      </c>
    </row>
    <row r="117" spans="2:15" x14ac:dyDescent="0.35">
      <c r="B117" s="44" t="s">
        <v>19</v>
      </c>
      <c r="C117" s="46">
        <f>IF(F110&gt;0, C110/F110, 0)</f>
        <v>0</v>
      </c>
      <c r="D117" s="46">
        <f>IF(F110&gt;0, D110/F110, 0)</f>
        <v>0</v>
      </c>
      <c r="E117" s="46">
        <f>IF(F110&gt;0, E110/F110, 0)</f>
        <v>1</v>
      </c>
      <c r="F117" s="47" t="s">
        <v>21</v>
      </c>
    </row>
    <row r="122" spans="2:15" ht="18.5" x14ac:dyDescent="0.45">
      <c r="B122" s="40" t="s">
        <v>401</v>
      </c>
      <c r="J122" s="40" t="s">
        <v>402</v>
      </c>
    </row>
    <row r="123" spans="2:15" x14ac:dyDescent="0.35">
      <c r="B123" s="42" t="s">
        <v>6</v>
      </c>
      <c r="C123" s="87" t="s">
        <v>403</v>
      </c>
      <c r="D123" s="87"/>
      <c r="E123" s="42" t="s">
        <v>369</v>
      </c>
      <c r="F123" s="42" t="s">
        <v>377</v>
      </c>
      <c r="G123" s="87" t="s">
        <v>404</v>
      </c>
      <c r="H123" s="87"/>
      <c r="J123" s="42" t="s">
        <v>6</v>
      </c>
      <c r="K123" s="42" t="s">
        <v>392</v>
      </c>
      <c r="L123" s="42" t="s">
        <v>393</v>
      </c>
      <c r="M123" s="42" t="s">
        <v>394</v>
      </c>
      <c r="N123" s="42" t="s">
        <v>395</v>
      </c>
      <c r="O123" s="42" t="s">
        <v>18</v>
      </c>
    </row>
    <row r="124" spans="2:15" x14ac:dyDescent="0.35">
      <c r="B124" s="48" t="s">
        <v>385</v>
      </c>
      <c r="C124" s="88" t="s">
        <v>21</v>
      </c>
      <c r="D124" s="88"/>
      <c r="E124" s="45">
        <f>COUNTIF('Recommendations'!G:G,"Phase1")-COUNTIFS('Recommendations'!G:G,"Phase1",'Recommendations'!H:H,"Risk Accepted")-COUNTIFS('Recommendations'!G:G,"Phase1",'Recommendations'!H:H,"N/A")</f>
        <v>0</v>
      </c>
      <c r="F124" s="45">
        <f>COUNTIFS('Recommendations'!G:G,"Phase1",'Recommendations'!M:M,"Resolved")</f>
        <v>0</v>
      </c>
      <c r="G124" s="89">
        <f t="shared" ref="G124:G129" si="4">IF(E124&gt;0,F124/E124,0)</f>
        <v>0</v>
      </c>
      <c r="H124" s="89"/>
      <c r="J124" s="48" t="s">
        <v>385</v>
      </c>
      <c r="K124" s="45">
        <f>COUNTIFS('Recommendations'!G:G,"Phase1",'Recommendations'!E:E,"Must")</f>
        <v>0</v>
      </c>
      <c r="L124" s="45">
        <f>COUNTIFS('Recommendations'!G:G,"Phase1",'Recommendations'!E:E,"Should")</f>
        <v>0</v>
      </c>
      <c r="M124" s="45">
        <f>COUNTIFS('Recommendations'!G:G,"Phase1",'Recommendations'!E:E,"Could")</f>
        <v>0</v>
      </c>
      <c r="N124" s="45">
        <f>COUNTIFS('Recommendations'!G:G,"Phase1",'Recommendations'!E:E,"Won't")</f>
        <v>0</v>
      </c>
      <c r="O124" s="45">
        <f>COUNTIFS('Recommendations'!G:G,"Phase1",'Recommendations'!E:E,"Unassigned")</f>
        <v>0</v>
      </c>
    </row>
    <row r="125" spans="2:15" x14ac:dyDescent="0.35">
      <c r="B125" s="48" t="s">
        <v>386</v>
      </c>
      <c r="C125" s="88" t="s">
        <v>21</v>
      </c>
      <c r="D125" s="88"/>
      <c r="E125" s="45">
        <f>COUNTIF('Recommendations'!G:G,"Phase2")-COUNTIFS('Recommendations'!G:G,"Phase2",'Recommendations'!H:H,"Risk Accepted")-COUNTIFS('Recommendations'!G:G,"Phase2",'Recommendations'!H:H,"N/A")</f>
        <v>0</v>
      </c>
      <c r="F125" s="45">
        <f>COUNTIFS('Recommendations'!G:G,"Phase2",'Recommendations'!M:M,"Resolved")</f>
        <v>0</v>
      </c>
      <c r="G125" s="89">
        <f t="shared" si="4"/>
        <v>0</v>
      </c>
      <c r="H125" s="89"/>
      <c r="J125" s="48" t="s">
        <v>386</v>
      </c>
      <c r="K125" s="45">
        <f>COUNTIFS('Recommendations'!G:G,"Phase2",'Recommendations'!E:E,"Must")</f>
        <v>0</v>
      </c>
      <c r="L125" s="45">
        <f>COUNTIFS('Recommendations'!G:G,"Phase2",'Recommendations'!E:E,"Should")</f>
        <v>0</v>
      </c>
      <c r="M125" s="45">
        <f>COUNTIFS('Recommendations'!G:G,"Phase2",'Recommendations'!E:E,"Could")</f>
        <v>0</v>
      </c>
      <c r="N125" s="45">
        <f>COUNTIFS('Recommendations'!G:G,"Phase2",'Recommendations'!E:E,"Won't")</f>
        <v>0</v>
      </c>
      <c r="O125" s="45">
        <f>COUNTIFS('Recommendations'!G:G,"Phase2",'Recommendations'!E:E,"Unassigned")</f>
        <v>0</v>
      </c>
    </row>
    <row r="126" spans="2:15" x14ac:dyDescent="0.35">
      <c r="B126" s="48" t="s">
        <v>387</v>
      </c>
      <c r="C126" s="88" t="s">
        <v>21</v>
      </c>
      <c r="D126" s="88"/>
      <c r="E126" s="45">
        <f>COUNTIF('Recommendations'!G:G,"Phase3")-COUNTIFS('Recommendations'!G:G,"Phase3",'Recommendations'!H:H,"Risk Accepted")-COUNTIFS('Recommendations'!G:G,"Phase3",'Recommendations'!H:H,"N/A")</f>
        <v>0</v>
      </c>
      <c r="F126" s="45">
        <f>COUNTIFS('Recommendations'!G:G,"Phase3",'Recommendations'!M:M,"Resolved")</f>
        <v>0</v>
      </c>
      <c r="G126" s="89">
        <f t="shared" si="4"/>
        <v>0</v>
      </c>
      <c r="H126" s="89"/>
      <c r="J126" s="48" t="s">
        <v>387</v>
      </c>
      <c r="K126" s="45">
        <f>COUNTIFS('Recommendations'!G:G,"Phase3",'Recommendations'!E:E,"Must")</f>
        <v>0</v>
      </c>
      <c r="L126" s="45">
        <f>COUNTIFS('Recommendations'!G:G,"Phase3",'Recommendations'!E:E,"Should")</f>
        <v>0</v>
      </c>
      <c r="M126" s="45">
        <f>COUNTIFS('Recommendations'!G:G,"Phase3",'Recommendations'!E:E,"Could")</f>
        <v>0</v>
      </c>
      <c r="N126" s="45">
        <f>COUNTIFS('Recommendations'!G:G,"Phase3",'Recommendations'!E:E,"Won't")</f>
        <v>0</v>
      </c>
      <c r="O126" s="45">
        <f>COUNTIFS('Recommendations'!G:G,"Phase3",'Recommendations'!E:E,"Unassigned")</f>
        <v>0</v>
      </c>
    </row>
    <row r="127" spans="2:15" x14ac:dyDescent="0.35">
      <c r="B127" s="48" t="s">
        <v>388</v>
      </c>
      <c r="C127" s="88" t="s">
        <v>21</v>
      </c>
      <c r="D127" s="88"/>
      <c r="E127" s="45">
        <f>COUNTIF('Recommendations'!G:G,"Phase4")-COUNTIFS('Recommendations'!G:G,"Phase4",'Recommendations'!H:H,"Risk Accepted")-COUNTIFS('Recommendations'!G:G,"Phase4",'Recommendations'!H:H,"N/A")</f>
        <v>0</v>
      </c>
      <c r="F127" s="45">
        <f>COUNTIFS('Recommendations'!G:G,"Phase4",'Recommendations'!M:M,"Resolved")</f>
        <v>0</v>
      </c>
      <c r="G127" s="89">
        <f t="shared" si="4"/>
        <v>0</v>
      </c>
      <c r="H127" s="89"/>
      <c r="J127" s="48" t="s">
        <v>388</v>
      </c>
      <c r="K127" s="45">
        <f>COUNTIFS('Recommendations'!G:G,"Phase4",'Recommendations'!E:E,"Must")</f>
        <v>0</v>
      </c>
      <c r="L127" s="45">
        <f>COUNTIFS('Recommendations'!G:G,"Phase4",'Recommendations'!E:E,"Should")</f>
        <v>0</v>
      </c>
      <c r="M127" s="45">
        <f>COUNTIFS('Recommendations'!G:G,"Phase4",'Recommendations'!E:E,"Could")</f>
        <v>0</v>
      </c>
      <c r="N127" s="45">
        <f>COUNTIFS('Recommendations'!G:G,"Phase4",'Recommendations'!E:E,"Won't")</f>
        <v>0</v>
      </c>
      <c r="O127" s="45">
        <f>COUNTIFS('Recommendations'!G:G,"Phase4",'Recommendations'!E:E,"Unassigned")</f>
        <v>0</v>
      </c>
    </row>
    <row r="128" spans="2:15" x14ac:dyDescent="0.35">
      <c r="B128" s="48" t="s">
        <v>389</v>
      </c>
      <c r="C128" s="88" t="s">
        <v>21</v>
      </c>
      <c r="D128" s="88"/>
      <c r="E128" s="45">
        <f>COUNTIF('Recommendations'!G:G,"Phase5")-COUNTIFS('Recommendations'!G:G,"Phase5",'Recommendations'!H:H,"Risk Accepted")-COUNTIFS('Recommendations'!G:G,"Phase5",'Recommendations'!H:H,"N/A")</f>
        <v>0</v>
      </c>
      <c r="F128" s="45">
        <f>COUNTIFS('Recommendations'!G:G,"Phase5",'Recommendations'!M:M,"Resolved")</f>
        <v>0</v>
      </c>
      <c r="G128" s="89">
        <f t="shared" si="4"/>
        <v>0</v>
      </c>
      <c r="H128" s="89"/>
      <c r="J128" s="48" t="s">
        <v>389</v>
      </c>
      <c r="K128" s="45">
        <f>COUNTIFS('Recommendations'!G:G,"Phase5",'Recommendations'!E:E,"Must")</f>
        <v>0</v>
      </c>
      <c r="L128" s="45">
        <f>COUNTIFS('Recommendations'!G:G,"Phase5",'Recommendations'!E:E,"Should")</f>
        <v>0</v>
      </c>
      <c r="M128" s="45">
        <f>COUNTIFS('Recommendations'!G:G,"Phase5",'Recommendations'!E:E,"Could")</f>
        <v>0</v>
      </c>
      <c r="N128" s="45">
        <f>COUNTIFS('Recommendations'!G:G,"Phase5",'Recommendations'!E:E,"Won't")</f>
        <v>0</v>
      </c>
      <c r="O128" s="45">
        <f>COUNTIFS('Recommendations'!G:G,"Phase5",'Recommendations'!E:E,"Unassigned")</f>
        <v>0</v>
      </c>
    </row>
    <row r="129" spans="2:24" x14ac:dyDescent="0.35">
      <c r="B129" s="48" t="s">
        <v>20</v>
      </c>
      <c r="C129" s="88" t="s">
        <v>21</v>
      </c>
      <c r="D129" s="88"/>
      <c r="E129" s="45">
        <f>COUNTIF('Recommendations'!G:G,"Pending")-COUNTIFS('Recommendations'!G:G,"Pending",'Recommendations'!H:H,"Risk Accepted")-COUNTIFS('Recommendations'!G:G,"Pending",'Recommendations'!H:H,"N/A")</f>
        <v>59</v>
      </c>
      <c r="F129" s="45">
        <f>COUNTIFS('Recommendations'!G:G,"Pending",'Recommendations'!M:M,"Resolved")</f>
        <v>0</v>
      </c>
      <c r="G129" s="89">
        <f t="shared" si="4"/>
        <v>0</v>
      </c>
      <c r="H129" s="89"/>
      <c r="J129" s="48" t="s">
        <v>20</v>
      </c>
      <c r="K129" s="45">
        <f>COUNTIFS('Recommendations'!G:G,"Pending",'Recommendations'!E:E,"Must")</f>
        <v>0</v>
      </c>
      <c r="L129" s="45">
        <f>COUNTIFS('Recommendations'!G:G,"Pending",'Recommendations'!E:E,"Should")</f>
        <v>0</v>
      </c>
      <c r="M129" s="45">
        <f>COUNTIFS('Recommendations'!G:G,"Pending",'Recommendations'!E:E,"Could")</f>
        <v>0</v>
      </c>
      <c r="N129" s="45">
        <f>COUNTIFS('Recommendations'!G:G,"Pending",'Recommendations'!E:E,"Won't")</f>
        <v>0</v>
      </c>
      <c r="O129" s="45">
        <f>COUNTIFS('Recommendations'!G:G,"Pending",'Recommendations'!E:E,"Unassigned")</f>
        <v>59</v>
      </c>
    </row>
    <row r="136" spans="2:24" ht="21" x14ac:dyDescent="0.5">
      <c r="B136" s="40" t="s">
        <v>405</v>
      </c>
      <c r="P136" s="57" t="s">
        <v>406</v>
      </c>
    </row>
    <row r="138" spans="2:24" ht="60" customHeight="1" x14ac:dyDescent="0.35">
      <c r="B138" s="90" t="s">
        <v>407</v>
      </c>
      <c r="C138" s="83"/>
      <c r="D138" s="83"/>
      <c r="E138" s="83"/>
      <c r="F138" s="83"/>
      <c r="P138" s="90" t="s">
        <v>408</v>
      </c>
      <c r="Q138" s="83"/>
      <c r="R138" s="83"/>
      <c r="S138" s="83"/>
      <c r="T138" s="83"/>
      <c r="U138" s="83"/>
      <c r="V138" s="83"/>
      <c r="W138" s="83"/>
    </row>
    <row r="140" spans="2:24" ht="30" customHeight="1" x14ac:dyDescent="0.35">
      <c r="P140" s="58" t="s">
        <v>409</v>
      </c>
      <c r="Q140" s="59">
        <f>C16</f>
        <v>0</v>
      </c>
      <c r="R140" s="60"/>
      <c r="S140" s="59">
        <f>C86</f>
        <v>0</v>
      </c>
      <c r="T140" s="60"/>
      <c r="U140" s="59">
        <f>C87</f>
        <v>0</v>
      </c>
      <c r="V140" s="60"/>
      <c r="W140" s="59">
        <f>C88</f>
        <v>0</v>
      </c>
      <c r="X140" s="60"/>
    </row>
    <row r="141" spans="2:24" ht="35" customHeight="1" x14ac:dyDescent="0.35">
      <c r="P141" s="61" t="s">
        <v>410</v>
      </c>
      <c r="Q141" s="61" t="s">
        <v>411</v>
      </c>
      <c r="R141" s="61" t="s">
        <v>412</v>
      </c>
      <c r="S141" s="61" t="s">
        <v>413</v>
      </c>
      <c r="T141" s="61" t="s">
        <v>414</v>
      </c>
      <c r="U141" s="61" t="s">
        <v>415</v>
      </c>
      <c r="V141" s="61" t="s">
        <v>416</v>
      </c>
      <c r="W141" s="61" t="s">
        <v>417</v>
      </c>
      <c r="X141" s="61" t="s">
        <v>418</v>
      </c>
    </row>
    <row r="142" spans="2:24" x14ac:dyDescent="0.35">
      <c r="O142" s="62" t="s">
        <v>419</v>
      </c>
      <c r="P142" s="63" t="s">
        <v>420</v>
      </c>
      <c r="Q142" s="64">
        <v>0</v>
      </c>
      <c r="R142" s="65">
        <f>IF(Dashboard!F16&gt;0, Q142/Dashboard!F16, "")</f>
        <v>0</v>
      </c>
      <c r="S142" s="64">
        <v>0</v>
      </c>
      <c r="T142" s="65" t="str">
        <f>IF(AND(NOT(ISBLANK(S142)),Dashboard!F86&gt;0), S142/Dashboard!F86, "")</f>
        <v/>
      </c>
      <c r="U142" s="64">
        <v>0</v>
      </c>
      <c r="V142" s="65" t="str">
        <f>IF(AND(NOT(ISBLANK(U142)),Dashboard!F87&gt;0), U142/Dashboard!F87, "")</f>
        <v/>
      </c>
      <c r="W142" s="64">
        <v>0</v>
      </c>
      <c r="X142" s="65" t="str">
        <f>IF(AND(NOT(ISBLANK(W142)),Dashboard!F88&gt;0), W142/Dashboard!F88, "")</f>
        <v/>
      </c>
    </row>
    <row r="143" spans="2:24" x14ac:dyDescent="0.35">
      <c r="P143" s="56"/>
      <c r="Q143" s="43"/>
      <c r="R143" s="46" t="str">
        <f>IF(AND(NOT(ISBLANK(Q143)),Dashboard!F16&gt;0), Q143/Dashboard!F16, "")</f>
        <v/>
      </c>
      <c r="S143" s="43"/>
      <c r="T143" s="46" t="str">
        <f>IF(AND(NOT(ISBLANK(S143)),Dashboard!F86&gt;0), S143/Dashboard!F86, "")</f>
        <v/>
      </c>
      <c r="U143" s="43"/>
      <c r="V143" s="46" t="str">
        <f>IF(AND(NOT(ISBLANK(U143)),Dashboard!F87&gt;0), U143/Dashboard!F87, "")</f>
        <v/>
      </c>
      <c r="W143" s="43"/>
      <c r="X143" s="46" t="str">
        <f>IF(AND(NOT(ISBLANK(W143)),Dashboard!F88&gt;0), W143/Dashboard!F88, "")</f>
        <v/>
      </c>
    </row>
    <row r="144" spans="2:24" x14ac:dyDescent="0.35">
      <c r="P144" s="56"/>
      <c r="Q144" s="43"/>
      <c r="R144" s="46" t="str">
        <f>IF(AND(NOT(ISBLANK(Q144)),Dashboard!F16&gt;0), Q144/Dashboard!F16, "")</f>
        <v/>
      </c>
      <c r="S144" s="43"/>
      <c r="T144" s="46" t="str">
        <f>IF(AND(NOT(ISBLANK(S144)),Dashboard!F86&gt;0), S144/Dashboard!F86, "")</f>
        <v/>
      </c>
      <c r="U144" s="43"/>
      <c r="V144" s="46" t="str">
        <f>IF(AND(NOT(ISBLANK(U144)),Dashboard!F87&gt;0), U144/Dashboard!F87, "")</f>
        <v/>
      </c>
      <c r="W144" s="43"/>
      <c r="X144" s="46" t="str">
        <f>IF(AND(NOT(ISBLANK(W144)),Dashboard!F88&gt;0), W144/Dashboard!F88, "")</f>
        <v/>
      </c>
    </row>
    <row r="145" spans="16:24" x14ac:dyDescent="0.35">
      <c r="P145" s="56"/>
      <c r="Q145" s="43"/>
      <c r="R145" s="46" t="str">
        <f>IF(AND(NOT(ISBLANK(Q145)),Dashboard!F16&gt;0), Q145/Dashboard!F16, "")</f>
        <v/>
      </c>
      <c r="S145" s="43"/>
      <c r="T145" s="46" t="str">
        <f>IF(AND(NOT(ISBLANK(S145)),Dashboard!F86&gt;0), S145/Dashboard!F86, "")</f>
        <v/>
      </c>
      <c r="U145" s="43"/>
      <c r="V145" s="46" t="str">
        <f>IF(AND(NOT(ISBLANK(U145)),Dashboard!F87&gt;0), U145/Dashboard!F87, "")</f>
        <v/>
      </c>
      <c r="W145" s="43"/>
      <c r="X145" s="46" t="str">
        <f>IF(AND(NOT(ISBLANK(W145)),Dashboard!F88&gt;0), W145/Dashboard!F88, "")</f>
        <v/>
      </c>
    </row>
    <row r="146" spans="16:24" x14ac:dyDescent="0.35">
      <c r="P146" s="56"/>
      <c r="Q146" s="43"/>
      <c r="R146" s="46" t="str">
        <f>IF(AND(NOT(ISBLANK(Q146)),Dashboard!F16&gt;0), Q146/Dashboard!F16, "")</f>
        <v/>
      </c>
      <c r="S146" s="43"/>
      <c r="T146" s="46" t="str">
        <f>IF(AND(NOT(ISBLANK(S146)),Dashboard!F86&gt;0), S146/Dashboard!F86, "")</f>
        <v/>
      </c>
      <c r="U146" s="43"/>
      <c r="V146" s="46" t="str">
        <f>IF(AND(NOT(ISBLANK(U146)),Dashboard!F87&gt;0), U146/Dashboard!F87, "")</f>
        <v/>
      </c>
      <c r="W146" s="43"/>
      <c r="X146" s="46" t="str">
        <f>IF(AND(NOT(ISBLANK(W146)),Dashboard!F88&gt;0), W146/Dashboard!F88, "")</f>
        <v/>
      </c>
    </row>
    <row r="147" spans="16:24" x14ac:dyDescent="0.35">
      <c r="P147" s="56"/>
      <c r="Q147" s="43"/>
      <c r="R147" s="46" t="str">
        <f>IF(AND(NOT(ISBLANK(Q147)),Dashboard!F16&gt;0), Q147/Dashboard!F16, "")</f>
        <v/>
      </c>
      <c r="S147" s="43"/>
      <c r="T147" s="46" t="str">
        <f>IF(AND(NOT(ISBLANK(S147)),Dashboard!F86&gt;0), S147/Dashboard!F86, "")</f>
        <v/>
      </c>
      <c r="U147" s="43"/>
      <c r="V147" s="46" t="str">
        <f>IF(AND(NOT(ISBLANK(U147)),Dashboard!F87&gt;0), U147/Dashboard!F87, "")</f>
        <v/>
      </c>
      <c r="W147" s="43"/>
      <c r="X147" s="46" t="str">
        <f>IF(AND(NOT(ISBLANK(W147)),Dashboard!F88&gt;0), W147/Dashboard!F88, "")</f>
        <v/>
      </c>
    </row>
    <row r="148" spans="16:24" x14ac:dyDescent="0.35">
      <c r="P148" s="56"/>
      <c r="Q148" s="43"/>
      <c r="R148" s="46" t="str">
        <f>IF(AND(NOT(ISBLANK(Q148)),Dashboard!F16&gt;0), Q148/Dashboard!F16, "")</f>
        <v/>
      </c>
      <c r="S148" s="43"/>
      <c r="T148" s="46" t="str">
        <f>IF(AND(NOT(ISBLANK(S148)),Dashboard!F86&gt;0), S148/Dashboard!F86, "")</f>
        <v/>
      </c>
      <c r="U148" s="43"/>
      <c r="V148" s="46" t="str">
        <f>IF(AND(NOT(ISBLANK(U148)),Dashboard!F87&gt;0), U148/Dashboard!F87, "")</f>
        <v/>
      </c>
      <c r="W148" s="43"/>
      <c r="X148" s="46" t="str">
        <f>IF(AND(NOT(ISBLANK(W148)),Dashboard!F88&gt;0), W148/Dashboard!F88, "")</f>
        <v/>
      </c>
    </row>
    <row r="149" spans="16:24" x14ac:dyDescent="0.35">
      <c r="P149" s="56"/>
      <c r="Q149" s="43"/>
      <c r="R149" s="46" t="str">
        <f>IF(AND(NOT(ISBLANK(Q149)),Dashboard!F16&gt;0), Q149/Dashboard!F16, "")</f>
        <v/>
      </c>
      <c r="S149" s="43"/>
      <c r="T149" s="46" t="str">
        <f>IF(AND(NOT(ISBLANK(S149)),Dashboard!F86&gt;0), S149/Dashboard!F86, "")</f>
        <v/>
      </c>
      <c r="U149" s="43"/>
      <c r="V149" s="46" t="str">
        <f>IF(AND(NOT(ISBLANK(U149)),Dashboard!F87&gt;0), U149/Dashboard!F87, "")</f>
        <v/>
      </c>
      <c r="W149" s="43"/>
      <c r="X149" s="46" t="str">
        <f>IF(AND(NOT(ISBLANK(W149)),Dashboard!F88&gt;0), W149/Dashboard!F88, "")</f>
        <v/>
      </c>
    </row>
    <row r="150" spans="16:24" x14ac:dyDescent="0.35">
      <c r="P150" s="56"/>
      <c r="Q150" s="43"/>
      <c r="R150" s="46" t="str">
        <f>IF(AND(NOT(ISBLANK(Q150)),Dashboard!F16&gt;0), Q150/Dashboard!F16, "")</f>
        <v/>
      </c>
      <c r="S150" s="43"/>
      <c r="T150" s="46" t="str">
        <f>IF(AND(NOT(ISBLANK(S150)),Dashboard!F86&gt;0), S150/Dashboard!F86, "")</f>
        <v/>
      </c>
      <c r="U150" s="43"/>
      <c r="V150" s="46" t="str">
        <f>IF(AND(NOT(ISBLANK(U150)),Dashboard!F87&gt;0), U150/Dashboard!F87, "")</f>
        <v/>
      </c>
      <c r="W150" s="43"/>
      <c r="X150" s="46" t="str">
        <f>IF(AND(NOT(ISBLANK(W150)),Dashboard!F88&gt;0), W150/Dashboard!F88, "")</f>
        <v/>
      </c>
    </row>
    <row r="151" spans="16:24" x14ac:dyDescent="0.35">
      <c r="P151" s="56"/>
      <c r="Q151" s="43"/>
      <c r="R151" s="46" t="str">
        <f>IF(AND(NOT(ISBLANK(Q151)),Dashboard!F16&gt;0), Q151/Dashboard!F16, "")</f>
        <v/>
      </c>
      <c r="S151" s="43"/>
      <c r="T151" s="46" t="str">
        <f>IF(AND(NOT(ISBLANK(S151)),Dashboard!F86&gt;0), S151/Dashboard!F86, "")</f>
        <v/>
      </c>
      <c r="U151" s="43"/>
      <c r="V151" s="46" t="str">
        <f>IF(AND(NOT(ISBLANK(U151)),Dashboard!F87&gt;0), U151/Dashboard!F87, "")</f>
        <v/>
      </c>
      <c r="W151" s="43"/>
      <c r="X151" s="46" t="str">
        <f>IF(AND(NOT(ISBLANK(W151)),Dashboard!F88&gt;0), W151/Dashboard!F88, "")</f>
        <v/>
      </c>
    </row>
    <row r="152" spans="16:24" x14ac:dyDescent="0.35">
      <c r="P152" s="56"/>
      <c r="Q152" s="43"/>
      <c r="R152" s="46" t="str">
        <f>IF(AND(NOT(ISBLANK(Q152)),Dashboard!F16&gt;0), Q152/Dashboard!F16, "")</f>
        <v/>
      </c>
      <c r="S152" s="43"/>
      <c r="T152" s="46" t="str">
        <f>IF(AND(NOT(ISBLANK(S152)),Dashboard!F86&gt;0), S152/Dashboard!F86, "")</f>
        <v/>
      </c>
      <c r="U152" s="43"/>
      <c r="V152" s="46" t="str">
        <f>IF(AND(NOT(ISBLANK(U152)),Dashboard!F87&gt;0), U152/Dashboard!F87, "")</f>
        <v/>
      </c>
      <c r="W152" s="43"/>
      <c r="X152" s="46" t="str">
        <f>IF(AND(NOT(ISBLANK(W152)),Dashboard!F88&gt;0), W152/Dashboard!F88, "")</f>
        <v/>
      </c>
    </row>
    <row r="153" spans="16:24" x14ac:dyDescent="0.35">
      <c r="P153" s="56"/>
      <c r="Q153" s="43"/>
      <c r="R153" s="46" t="str">
        <f>IF(AND(NOT(ISBLANK(Q153)),Dashboard!F16&gt;0), Q153/Dashboard!F16, "")</f>
        <v/>
      </c>
      <c r="S153" s="43"/>
      <c r="T153" s="46" t="str">
        <f>IF(AND(NOT(ISBLANK(S153)),Dashboard!F86&gt;0), S153/Dashboard!F86, "")</f>
        <v/>
      </c>
      <c r="U153" s="43"/>
      <c r="V153" s="46" t="str">
        <f>IF(AND(NOT(ISBLANK(U153)),Dashboard!F87&gt;0), U153/Dashboard!F87, "")</f>
        <v/>
      </c>
      <c r="W153" s="43"/>
      <c r="X153" s="46" t="str">
        <f>IF(AND(NOT(ISBLANK(W153)),Dashboard!F88&gt;0), W153/Dashboard!F88, "")</f>
        <v/>
      </c>
    </row>
    <row r="154" spans="16:24" x14ac:dyDescent="0.35">
      <c r="P154" s="56"/>
      <c r="Q154" s="43"/>
      <c r="R154" s="46" t="str">
        <f>IF(AND(NOT(ISBLANK(Q154)),Dashboard!F16&gt;0), Q154/Dashboard!F16, "")</f>
        <v/>
      </c>
      <c r="S154" s="43"/>
      <c r="T154" s="46" t="str">
        <f>IF(AND(NOT(ISBLANK(S154)),Dashboard!F86&gt;0), S154/Dashboard!F86, "")</f>
        <v/>
      </c>
      <c r="U154" s="43"/>
      <c r="V154" s="46" t="str">
        <f>IF(AND(NOT(ISBLANK(U154)),Dashboard!F87&gt;0), U154/Dashboard!F87, "")</f>
        <v/>
      </c>
      <c r="W154" s="43"/>
      <c r="X154" s="46" t="str">
        <f>IF(AND(NOT(ISBLANK(W154)),Dashboard!F88&gt;0), W154/Dashboard!F88, "")</f>
        <v/>
      </c>
    </row>
    <row r="155" spans="16:24" x14ac:dyDescent="0.35">
      <c r="P155" s="56"/>
      <c r="Q155" s="43"/>
      <c r="R155" s="46" t="str">
        <f>IF(AND(NOT(ISBLANK(Q155)),Dashboard!F16&gt;0), Q155/Dashboard!F16, "")</f>
        <v/>
      </c>
      <c r="S155" s="43"/>
      <c r="T155" s="46" t="str">
        <f>IF(AND(NOT(ISBLANK(S155)),Dashboard!F86&gt;0), S155/Dashboard!F86, "")</f>
        <v/>
      </c>
      <c r="U155" s="43"/>
      <c r="V155" s="46" t="str">
        <f>IF(AND(NOT(ISBLANK(U155)),Dashboard!F87&gt;0), U155/Dashboard!F87, "")</f>
        <v/>
      </c>
      <c r="W155" s="43"/>
      <c r="X155" s="46" t="str">
        <f>IF(AND(NOT(ISBLANK(W155)),Dashboard!F88&gt;0), W155/Dashboard!F88, "")</f>
        <v/>
      </c>
    </row>
    <row r="156" spans="16:24" x14ac:dyDescent="0.35">
      <c r="P156" s="56"/>
      <c r="Q156" s="43"/>
      <c r="R156" s="46" t="str">
        <f>IF(AND(NOT(ISBLANK(Q156)),Dashboard!F16&gt;0), Q156/Dashboard!F16, "")</f>
        <v/>
      </c>
      <c r="S156" s="43"/>
      <c r="T156" s="46" t="str">
        <f>IF(AND(NOT(ISBLANK(S156)),Dashboard!F86&gt;0), S156/Dashboard!F86, "")</f>
        <v/>
      </c>
      <c r="U156" s="43"/>
      <c r="V156" s="46" t="str">
        <f>IF(AND(NOT(ISBLANK(U156)),Dashboard!F87&gt;0), U156/Dashboard!F87, "")</f>
        <v/>
      </c>
      <c r="W156" s="43"/>
      <c r="X156" s="46" t="str">
        <f>IF(AND(NOT(ISBLANK(W156)),Dashboard!F88&gt;0), W156/Dashboard!F88, "")</f>
        <v/>
      </c>
    </row>
    <row r="157" spans="16:24" x14ac:dyDescent="0.35">
      <c r="P157" s="56"/>
      <c r="Q157" s="43"/>
      <c r="R157" s="46" t="str">
        <f>IF(AND(NOT(ISBLANK(Q157)),Dashboard!F16&gt;0), Q157/Dashboard!F16, "")</f>
        <v/>
      </c>
      <c r="S157" s="43"/>
      <c r="T157" s="46" t="str">
        <f>IF(AND(NOT(ISBLANK(S157)),Dashboard!F86&gt;0), S157/Dashboard!F86, "")</f>
        <v/>
      </c>
      <c r="U157" s="43"/>
      <c r="V157" s="46" t="str">
        <f>IF(AND(NOT(ISBLANK(U157)),Dashboard!F87&gt;0), U157/Dashboard!F87, "")</f>
        <v/>
      </c>
      <c r="W157" s="43"/>
      <c r="X157" s="46" t="str">
        <f>IF(AND(NOT(ISBLANK(W157)),Dashboard!F88&gt;0), W157/Dashboard!F88, "")</f>
        <v/>
      </c>
    </row>
    <row r="158" spans="16:24" x14ac:dyDescent="0.35">
      <c r="P158" s="56"/>
      <c r="Q158" s="43"/>
      <c r="R158" s="46" t="str">
        <f>IF(AND(NOT(ISBLANK(Q158)),Dashboard!F16&gt;0), Q158/Dashboard!F16, "")</f>
        <v/>
      </c>
      <c r="S158" s="43"/>
      <c r="T158" s="46" t="str">
        <f>IF(AND(NOT(ISBLANK(S158)),Dashboard!F86&gt;0), S158/Dashboard!F86, "")</f>
        <v/>
      </c>
      <c r="U158" s="43"/>
      <c r="V158" s="46" t="str">
        <f>IF(AND(NOT(ISBLANK(U158)),Dashboard!F87&gt;0), U158/Dashboard!F87, "")</f>
        <v/>
      </c>
      <c r="W158" s="43"/>
      <c r="X158" s="46" t="str">
        <f>IF(AND(NOT(ISBLANK(W158)),Dashboard!F88&gt;0), W158/Dashboard!F88, "")</f>
        <v/>
      </c>
    </row>
    <row r="159" spans="16:24" x14ac:dyDescent="0.35">
      <c r="P159" s="56"/>
      <c r="Q159" s="43"/>
      <c r="R159" s="46" t="str">
        <f>IF(AND(NOT(ISBLANK(Q159)),Dashboard!F16&gt;0), Q159/Dashboard!F16, "")</f>
        <v/>
      </c>
      <c r="S159" s="43"/>
      <c r="T159" s="46" t="str">
        <f>IF(AND(NOT(ISBLANK(S159)),Dashboard!F86&gt;0), S159/Dashboard!F86, "")</f>
        <v/>
      </c>
      <c r="U159" s="43"/>
      <c r="V159" s="46" t="str">
        <f>IF(AND(NOT(ISBLANK(U159)),Dashboard!F87&gt;0), U159/Dashboard!F87, "")</f>
        <v/>
      </c>
      <c r="W159" s="43"/>
      <c r="X159" s="46" t="str">
        <f>IF(AND(NOT(ISBLANK(W159)),Dashboard!F88&gt;0), W159/Dashboard!F88, "")</f>
        <v/>
      </c>
    </row>
    <row r="160" spans="16:24" x14ac:dyDescent="0.35">
      <c r="P160" s="56"/>
      <c r="Q160" s="43"/>
      <c r="R160" s="46" t="str">
        <f>IF(AND(NOT(ISBLANK(Q160)),Dashboard!F16&gt;0), Q160/Dashboard!F16, "")</f>
        <v/>
      </c>
      <c r="S160" s="43"/>
      <c r="T160" s="46" t="str">
        <f>IF(AND(NOT(ISBLANK(S160)),Dashboard!F86&gt;0), S160/Dashboard!F86, "")</f>
        <v/>
      </c>
      <c r="U160" s="43"/>
      <c r="V160" s="46" t="str">
        <f>IF(AND(NOT(ISBLANK(U160)),Dashboard!F87&gt;0), U160/Dashboard!F87, "")</f>
        <v/>
      </c>
      <c r="W160" s="43"/>
      <c r="X160" s="46" t="str">
        <f>IF(AND(NOT(ISBLANK(W160)),Dashboard!F88&gt;0), W160/Dashboard!F88, "")</f>
        <v/>
      </c>
    </row>
    <row r="161" spans="16:24" x14ac:dyDescent="0.35">
      <c r="P161" s="56"/>
      <c r="Q161" s="43"/>
      <c r="R161" s="46" t="str">
        <f>IF(AND(NOT(ISBLANK(Q161)),Dashboard!F16&gt;0), Q161/Dashboard!F16, "")</f>
        <v/>
      </c>
      <c r="S161" s="43"/>
      <c r="T161" s="46" t="str">
        <f>IF(AND(NOT(ISBLANK(S161)),Dashboard!F86&gt;0), S161/Dashboard!F86, "")</f>
        <v/>
      </c>
      <c r="U161" s="43"/>
      <c r="V161" s="46" t="str">
        <f>IF(AND(NOT(ISBLANK(U161)),Dashboard!F87&gt;0), U161/Dashboard!F87, "")</f>
        <v/>
      </c>
      <c r="W161" s="43"/>
      <c r="X161" s="46" t="str">
        <f>IF(AND(NOT(ISBLANK(W161)),Dashboard!F88&gt;0), W161/Dashboard!F88, "")</f>
        <v/>
      </c>
    </row>
    <row r="162" spans="16:24" x14ac:dyDescent="0.35">
      <c r="P162" s="56"/>
      <c r="Q162" s="43"/>
      <c r="R162" s="46" t="str">
        <f>IF(AND(NOT(ISBLANK(Q162)),Dashboard!F16&gt;0), Q162/Dashboard!F16, "")</f>
        <v/>
      </c>
      <c r="S162" s="43"/>
      <c r="T162" s="46" t="str">
        <f>IF(AND(NOT(ISBLANK(S162)),Dashboard!F86&gt;0), S162/Dashboard!F86, "")</f>
        <v/>
      </c>
      <c r="U162" s="43"/>
      <c r="V162" s="46" t="str">
        <f>IF(AND(NOT(ISBLANK(U162)),Dashboard!F87&gt;0), U162/Dashboard!F87, "")</f>
        <v/>
      </c>
      <c r="W162" s="43"/>
      <c r="X162" s="46" t="str">
        <f>IF(AND(NOT(ISBLANK(W162)),Dashboard!F88&gt;0), W162/Dashboard!F88, "")</f>
        <v/>
      </c>
    </row>
    <row r="163" spans="16:24" x14ac:dyDescent="0.35">
      <c r="P163" s="56"/>
      <c r="Q163" s="43"/>
      <c r="R163" s="46" t="str">
        <f>IF(AND(NOT(ISBLANK(Q163)),Dashboard!F16&gt;0), Q163/Dashboard!F16, "")</f>
        <v/>
      </c>
      <c r="S163" s="43"/>
      <c r="T163" s="46" t="str">
        <f>IF(AND(NOT(ISBLANK(S163)),Dashboard!F86&gt;0), S163/Dashboard!F86, "")</f>
        <v/>
      </c>
      <c r="U163" s="43"/>
      <c r="V163" s="46" t="str">
        <f>IF(AND(NOT(ISBLANK(U163)),Dashboard!F87&gt;0), U163/Dashboard!F87, "")</f>
        <v/>
      </c>
      <c r="W163" s="43"/>
      <c r="X163" s="46" t="str">
        <f>IF(AND(NOT(ISBLANK(W163)),Dashboard!F88&gt;0), W163/Dashboard!F88, "")</f>
        <v/>
      </c>
    </row>
    <row r="164" spans="16:24" x14ac:dyDescent="0.35">
      <c r="P164" s="56"/>
      <c r="Q164" s="43"/>
      <c r="R164" s="46" t="str">
        <f>IF(AND(NOT(ISBLANK(Q164)),Dashboard!F16&gt;0), Q164/Dashboard!F16, "")</f>
        <v/>
      </c>
      <c r="S164" s="43"/>
      <c r="T164" s="46" t="str">
        <f>IF(AND(NOT(ISBLANK(S164)),Dashboard!F86&gt;0), S164/Dashboard!F86, "")</f>
        <v/>
      </c>
      <c r="U164" s="43"/>
      <c r="V164" s="46" t="str">
        <f>IF(AND(NOT(ISBLANK(U164)),Dashboard!F87&gt;0), U164/Dashboard!F87, "")</f>
        <v/>
      </c>
      <c r="W164" s="43"/>
      <c r="X164" s="46" t="str">
        <f>IF(AND(NOT(ISBLANK(W164)),Dashboard!F88&gt;0), W164/Dashboard!F88, "")</f>
        <v/>
      </c>
    </row>
    <row r="165" spans="16:24" x14ac:dyDescent="0.35">
      <c r="P165" s="56"/>
      <c r="Q165" s="43"/>
      <c r="R165" s="46" t="str">
        <f>IF(AND(NOT(ISBLANK(Q165)),Dashboard!F16&gt;0), Q165/Dashboard!F16, "")</f>
        <v/>
      </c>
      <c r="S165" s="43"/>
      <c r="T165" s="46" t="str">
        <f>IF(AND(NOT(ISBLANK(S165)),Dashboard!F86&gt;0), S165/Dashboard!F86, "")</f>
        <v/>
      </c>
      <c r="U165" s="43"/>
      <c r="V165" s="46" t="str">
        <f>IF(AND(NOT(ISBLANK(U165)),Dashboard!F87&gt;0), U165/Dashboard!F87, "")</f>
        <v/>
      </c>
      <c r="W165" s="43"/>
      <c r="X165" s="46" t="str">
        <f>IF(AND(NOT(ISBLANK(W165)),Dashboard!F88&gt;0), W165/Dashboard!F88, "")</f>
        <v/>
      </c>
    </row>
    <row r="166" spans="16:24" x14ac:dyDescent="0.35">
      <c r="P166" s="56"/>
      <c r="Q166" s="43"/>
      <c r="R166" s="46" t="str">
        <f>IF(AND(NOT(ISBLANK(Q166)),Dashboard!F16&gt;0), Q166/Dashboard!F16, "")</f>
        <v/>
      </c>
      <c r="S166" s="43"/>
      <c r="T166" s="46" t="str">
        <f>IF(AND(NOT(ISBLANK(S166)),Dashboard!F86&gt;0), S166/Dashboard!F86, "")</f>
        <v/>
      </c>
      <c r="U166" s="43"/>
      <c r="V166" s="46" t="str">
        <f>IF(AND(NOT(ISBLANK(U166)),Dashboard!F87&gt;0), U166/Dashboard!F87, "")</f>
        <v/>
      </c>
      <c r="W166" s="43"/>
      <c r="X166" s="46" t="str">
        <f>IF(AND(NOT(ISBLANK(W166)),Dashboard!F88&gt;0), W166/Dashboard!F88, "")</f>
        <v/>
      </c>
    </row>
    <row r="167" spans="16:24" x14ac:dyDescent="0.35">
      <c r="P167" s="56"/>
      <c r="Q167" s="43"/>
      <c r="R167" s="46" t="str">
        <f>IF(AND(NOT(ISBLANK(Q167)),Dashboard!F16&gt;0), Q167/Dashboard!F16, "")</f>
        <v/>
      </c>
      <c r="S167" s="43"/>
      <c r="T167" s="46" t="str">
        <f>IF(AND(NOT(ISBLANK(S167)),Dashboard!F86&gt;0), S167/Dashboard!F86, "")</f>
        <v/>
      </c>
      <c r="U167" s="43"/>
      <c r="V167" s="46" t="str">
        <f>IF(AND(NOT(ISBLANK(U167)),Dashboard!F87&gt;0), U167/Dashboard!F87, "")</f>
        <v/>
      </c>
      <c r="W167" s="43"/>
      <c r="X167" s="46" t="str">
        <f>IF(AND(NOT(ISBLANK(W167)),Dashboard!F88&gt;0), W167/Dashboard!F88, "")</f>
        <v/>
      </c>
    </row>
    <row r="168" spans="16:24" x14ac:dyDescent="0.35">
      <c r="P168" s="56"/>
      <c r="Q168" s="43"/>
      <c r="R168" s="46" t="str">
        <f>IF(AND(NOT(ISBLANK(Q168)),Dashboard!F16&gt;0), Q168/Dashboard!F16, "")</f>
        <v/>
      </c>
      <c r="S168" s="43"/>
      <c r="T168" s="46" t="str">
        <f>IF(AND(NOT(ISBLANK(S168)),Dashboard!F86&gt;0), S168/Dashboard!F86, "")</f>
        <v/>
      </c>
      <c r="U168" s="43"/>
      <c r="V168" s="46" t="str">
        <f>IF(AND(NOT(ISBLANK(U168)),Dashboard!F87&gt;0), U168/Dashboard!F87, "")</f>
        <v/>
      </c>
      <c r="W168" s="43"/>
      <c r="X168" s="46" t="str">
        <f>IF(AND(NOT(ISBLANK(W168)),Dashboard!F88&gt;0), W168/Dashboard!F88, "")</f>
        <v/>
      </c>
    </row>
    <row r="169" spans="16:24" x14ac:dyDescent="0.35">
      <c r="P169" s="56"/>
      <c r="Q169" s="43"/>
      <c r="R169" s="46" t="str">
        <f>IF(AND(NOT(ISBLANK(Q169)),Dashboard!F16&gt;0), Q169/Dashboard!F16, "")</f>
        <v/>
      </c>
      <c r="S169" s="43"/>
      <c r="T169" s="46" t="str">
        <f>IF(AND(NOT(ISBLANK(S169)),Dashboard!F86&gt;0), S169/Dashboard!F86, "")</f>
        <v/>
      </c>
      <c r="U169" s="43"/>
      <c r="V169" s="46" t="str">
        <f>IF(AND(NOT(ISBLANK(U169)),Dashboard!F87&gt;0), U169/Dashboard!F87, "")</f>
        <v/>
      </c>
      <c r="W169" s="43"/>
      <c r="X169" s="46" t="str">
        <f>IF(AND(NOT(ISBLANK(W169)),Dashboard!F88&gt;0), W169/Dashboard!F88, "")</f>
        <v/>
      </c>
    </row>
    <row r="170" spans="16:24" x14ac:dyDescent="0.35">
      <c r="P170" s="56"/>
      <c r="Q170" s="43"/>
      <c r="R170" s="46" t="str">
        <f>IF(AND(NOT(ISBLANK(Q170)),Dashboard!F16&gt;0), Q170/Dashboard!F16, "")</f>
        <v/>
      </c>
      <c r="S170" s="43"/>
      <c r="T170" s="46" t="str">
        <f>IF(AND(NOT(ISBLANK(S170)),Dashboard!F86&gt;0), S170/Dashboard!F86, "")</f>
        <v/>
      </c>
      <c r="U170" s="43"/>
      <c r="V170" s="46" t="str">
        <f>IF(AND(NOT(ISBLANK(U170)),Dashboard!F87&gt;0), U170/Dashboard!F87, "")</f>
        <v/>
      </c>
      <c r="W170" s="43"/>
      <c r="X170" s="46" t="str">
        <f>IF(AND(NOT(ISBLANK(W170)),Dashboard!F88&gt;0), W170/Dashboard!F88, "")</f>
        <v/>
      </c>
    </row>
    <row r="171" spans="16:24" x14ac:dyDescent="0.35">
      <c r="P171" s="56"/>
      <c r="Q171" s="43"/>
      <c r="R171" s="46" t="str">
        <f>IF(AND(NOT(ISBLANK(Q171)),Dashboard!F16&gt;0), Q171/Dashboard!F16, "")</f>
        <v/>
      </c>
      <c r="S171" s="43"/>
      <c r="T171" s="46" t="str">
        <f>IF(AND(NOT(ISBLANK(S171)),Dashboard!F86&gt;0), S171/Dashboard!F86, "")</f>
        <v/>
      </c>
      <c r="U171" s="43"/>
      <c r="V171" s="46" t="str">
        <f>IF(AND(NOT(ISBLANK(U171)),Dashboard!F87&gt;0), U171/Dashboard!F87, "")</f>
        <v/>
      </c>
      <c r="W171" s="43"/>
      <c r="X171" s="46" t="str">
        <f>IF(AND(NOT(ISBLANK(W171)),Dashboard!F88&gt;0), W171/Dashboard!F88, "")</f>
        <v/>
      </c>
    </row>
    <row r="172" spans="16:24" x14ac:dyDescent="0.35">
      <c r="P172" s="56"/>
      <c r="Q172" s="43"/>
      <c r="R172" s="46" t="str">
        <f>IF(AND(NOT(ISBLANK(Q172)),Dashboard!F16&gt;0), Q172/Dashboard!F16, "")</f>
        <v/>
      </c>
      <c r="S172" s="43"/>
      <c r="T172" s="46" t="str">
        <f>IF(AND(NOT(ISBLANK(S172)),Dashboard!F86&gt;0), S172/Dashboard!F86, "")</f>
        <v/>
      </c>
      <c r="U172" s="43"/>
      <c r="V172" s="46" t="str">
        <f>IF(AND(NOT(ISBLANK(U172)),Dashboard!F87&gt;0), U172/Dashboard!F87, "")</f>
        <v/>
      </c>
      <c r="W172" s="43"/>
      <c r="X172" s="46" t="str">
        <f>IF(AND(NOT(ISBLANK(W172)),Dashboard!F88&gt;0), W172/Dashboard!F88, "")</f>
        <v/>
      </c>
    </row>
    <row r="177" spans="2:22" ht="21" x14ac:dyDescent="0.5">
      <c r="B177" s="40" t="s">
        <v>421</v>
      </c>
      <c r="P177" s="57" t="s">
        <v>422</v>
      </c>
    </row>
    <row r="179" spans="2:22" ht="45" customHeight="1" x14ac:dyDescent="0.35">
      <c r="B179" s="90" t="s">
        <v>423</v>
      </c>
      <c r="C179" s="83"/>
      <c r="D179" s="83"/>
      <c r="E179" s="83"/>
      <c r="F179" s="83"/>
      <c r="P179" s="90" t="s">
        <v>424</v>
      </c>
      <c r="Q179" s="83"/>
      <c r="R179" s="83"/>
      <c r="S179" s="83"/>
      <c r="T179" s="83"/>
      <c r="U179" s="83"/>
    </row>
    <row r="180" spans="2:22" ht="35" customHeight="1" x14ac:dyDescent="0.35">
      <c r="P180" s="87" t="s">
        <v>425</v>
      </c>
      <c r="Q180" s="87"/>
      <c r="R180" s="87" t="s">
        <v>426</v>
      </c>
      <c r="S180" s="87"/>
      <c r="T180" s="87"/>
    </row>
    <row r="181" spans="2:22" ht="30" customHeight="1" x14ac:dyDescent="0.35">
      <c r="P181" s="91">
        <v>0</v>
      </c>
      <c r="Q181" s="92"/>
      <c r="R181" s="93" t="s">
        <v>427</v>
      </c>
      <c r="S181" s="94"/>
      <c r="T181" s="94"/>
    </row>
    <row r="184" spans="2:22" ht="25" customHeight="1" x14ac:dyDescent="0.35">
      <c r="P184" s="66" t="s">
        <v>410</v>
      </c>
      <c r="Q184" s="66" t="s">
        <v>428</v>
      </c>
      <c r="R184" s="66" t="s">
        <v>429</v>
      </c>
      <c r="S184" s="95" t="s">
        <v>8</v>
      </c>
      <c r="T184" s="95"/>
      <c r="U184" s="95"/>
      <c r="V184" s="83"/>
    </row>
    <row r="185" spans="2:22" ht="20" customHeight="1" x14ac:dyDescent="0.35">
      <c r="P185" s="68"/>
      <c r="Q185" s="69"/>
      <c r="R185" s="70" t="str">
        <f>IF(AND(NOT(ISBLANK(Q185)), Dashboard!$P181&gt;0), Q185/Dashboard!$P181, "")</f>
        <v/>
      </c>
      <c r="S185" s="96"/>
      <c r="T185" s="97"/>
      <c r="U185" s="97"/>
      <c r="V185" s="97"/>
    </row>
    <row r="186" spans="2:22" ht="20" customHeight="1" x14ac:dyDescent="0.35">
      <c r="P186" s="68"/>
      <c r="Q186" s="69"/>
      <c r="R186" s="70" t="str">
        <f>IF(AND(NOT(ISBLANK(Q186)), Dashboard!$P181&gt;0), Q186/Dashboard!$P181, "")</f>
        <v/>
      </c>
      <c r="S186" s="96"/>
      <c r="T186" s="97"/>
      <c r="U186" s="97"/>
      <c r="V186" s="97"/>
    </row>
    <row r="187" spans="2:22" ht="20" customHeight="1" x14ac:dyDescent="0.35">
      <c r="P187" s="68"/>
      <c r="Q187" s="69"/>
      <c r="R187" s="70" t="str">
        <f>IF(AND(NOT(ISBLANK(Q187)), Dashboard!$P181&gt;0), Q187/Dashboard!$P181, "")</f>
        <v/>
      </c>
      <c r="S187" s="96"/>
      <c r="T187" s="97"/>
      <c r="U187" s="97"/>
      <c r="V187" s="97"/>
    </row>
    <row r="188" spans="2:22" ht="20" customHeight="1" x14ac:dyDescent="0.35">
      <c r="P188" s="68"/>
      <c r="Q188" s="69"/>
      <c r="R188" s="70" t="str">
        <f>IF(AND(NOT(ISBLANK(Q188)), Dashboard!$P181&gt;0), Q188/Dashboard!$P181, "")</f>
        <v/>
      </c>
      <c r="S188" s="96"/>
      <c r="T188" s="97"/>
      <c r="U188" s="97"/>
      <c r="V188" s="97"/>
    </row>
    <row r="189" spans="2:22" ht="20" customHeight="1" x14ac:dyDescent="0.35">
      <c r="P189" s="68"/>
      <c r="Q189" s="69"/>
      <c r="R189" s="70" t="str">
        <f>IF(AND(NOT(ISBLANK(Q189)), Dashboard!$P181&gt;0), Q189/Dashboard!$P181, "")</f>
        <v/>
      </c>
      <c r="S189" s="96"/>
      <c r="T189" s="97"/>
      <c r="U189" s="97"/>
      <c r="V189" s="97"/>
    </row>
    <row r="190" spans="2:22" ht="20" customHeight="1" x14ac:dyDescent="0.35">
      <c r="P190" s="68"/>
      <c r="Q190" s="69"/>
      <c r="R190" s="70" t="str">
        <f>IF(AND(NOT(ISBLANK(Q190)), Dashboard!$P181&gt;0), Q190/Dashboard!$P181, "")</f>
        <v/>
      </c>
      <c r="S190" s="96"/>
      <c r="T190" s="97"/>
      <c r="U190" s="97"/>
      <c r="V190" s="97"/>
    </row>
    <row r="191" spans="2:22" ht="20" customHeight="1" x14ac:dyDescent="0.35">
      <c r="P191" s="68"/>
      <c r="Q191" s="69"/>
      <c r="R191" s="70" t="str">
        <f>IF(AND(NOT(ISBLANK(Q191)), Dashboard!$P181&gt;0), Q191/Dashboard!$P181, "")</f>
        <v/>
      </c>
      <c r="S191" s="96"/>
      <c r="T191" s="97"/>
      <c r="U191" s="97"/>
      <c r="V191" s="97"/>
    </row>
    <row r="192" spans="2:22" ht="20" customHeight="1" x14ac:dyDescent="0.35">
      <c r="P192" s="68"/>
      <c r="Q192" s="69"/>
      <c r="R192" s="70" t="str">
        <f>IF(AND(NOT(ISBLANK(Q192)), Dashboard!$P181&gt;0), Q192/Dashboard!$P181, "")</f>
        <v/>
      </c>
      <c r="S192" s="96"/>
      <c r="T192" s="97"/>
      <c r="U192" s="97"/>
      <c r="V192" s="97"/>
    </row>
    <row r="193" spans="2:22" ht="20" customHeight="1" x14ac:dyDescent="0.35">
      <c r="P193" s="68"/>
      <c r="Q193" s="69"/>
      <c r="R193" s="70" t="str">
        <f>IF(AND(NOT(ISBLANK(Q193)), Dashboard!$P181&gt;0), Q193/Dashboard!$P181, "")</f>
        <v/>
      </c>
      <c r="S193" s="96"/>
      <c r="T193" s="97"/>
      <c r="U193" s="97"/>
      <c r="V193" s="97"/>
    </row>
    <row r="194" spans="2:22" ht="20" customHeight="1" x14ac:dyDescent="0.35">
      <c r="P194" s="68"/>
      <c r="Q194" s="69"/>
      <c r="R194" s="70" t="str">
        <f>IF(AND(NOT(ISBLANK(Q194)), Dashboard!$P181&gt;0), Q194/Dashboard!$P181, "")</f>
        <v/>
      </c>
      <c r="S194" s="96"/>
      <c r="T194" s="97"/>
      <c r="U194" s="97"/>
      <c r="V194" s="97"/>
    </row>
    <row r="195" spans="2:22" ht="20" customHeight="1" x14ac:dyDescent="0.35">
      <c r="P195" s="68"/>
      <c r="Q195" s="69"/>
      <c r="R195" s="70" t="str">
        <f>IF(AND(NOT(ISBLANK(Q195)), Dashboard!$P181&gt;0), Q195/Dashboard!$P181, "")</f>
        <v/>
      </c>
      <c r="S195" s="96"/>
      <c r="T195" s="97"/>
      <c r="U195" s="97"/>
      <c r="V195" s="97"/>
    </row>
    <row r="196" spans="2:22" ht="20" customHeight="1" x14ac:dyDescent="0.35">
      <c r="P196" s="68"/>
      <c r="Q196" s="69"/>
      <c r="R196" s="70" t="str">
        <f>IF(AND(NOT(ISBLANK(Q196)), Dashboard!$P181&gt;0), Q196/Dashboard!$P181, "")</f>
        <v/>
      </c>
      <c r="S196" s="96"/>
      <c r="T196" s="97"/>
      <c r="U196" s="97"/>
      <c r="V196" s="97"/>
    </row>
    <row r="197" spans="2:22" ht="20" customHeight="1" x14ac:dyDescent="0.35">
      <c r="P197" s="68"/>
      <c r="Q197" s="69"/>
      <c r="R197" s="70" t="str">
        <f>IF(AND(NOT(ISBLANK(Q197)), Dashboard!$P181&gt;0), Q197/Dashboard!$P181, "")</f>
        <v/>
      </c>
      <c r="S197" s="96"/>
      <c r="T197" s="97"/>
      <c r="U197" s="97"/>
      <c r="V197" s="97"/>
    </row>
    <row r="198" spans="2:22" ht="20" customHeight="1" x14ac:dyDescent="0.35">
      <c r="P198" s="68"/>
      <c r="Q198" s="69"/>
      <c r="R198" s="70" t="str">
        <f>IF(AND(NOT(ISBLANK(Q198)), Dashboard!$P181&gt;0), Q198/Dashboard!$P181, "")</f>
        <v/>
      </c>
      <c r="S198" s="96"/>
      <c r="T198" s="97"/>
      <c r="U198" s="97"/>
      <c r="V198" s="97"/>
    </row>
    <row r="199" spans="2:22" ht="20" customHeight="1" x14ac:dyDescent="0.35">
      <c r="P199" s="68"/>
      <c r="Q199" s="69"/>
      <c r="R199" s="70" t="str">
        <f>IF(AND(NOT(ISBLANK(Q199)), Dashboard!$P181&gt;0), Q199/Dashboard!$P181, "")</f>
        <v/>
      </c>
      <c r="S199" s="96"/>
      <c r="T199" s="97"/>
      <c r="U199" s="97"/>
      <c r="V199" s="97"/>
    </row>
    <row r="200" spans="2:22" ht="20" customHeight="1" x14ac:dyDescent="0.35">
      <c r="P200" s="68"/>
      <c r="Q200" s="69"/>
      <c r="R200" s="70" t="str">
        <f>IF(AND(NOT(ISBLANK(Q200)), Dashboard!$P181&gt;0), Q200/Dashboard!$P181, "")</f>
        <v/>
      </c>
      <c r="S200" s="96"/>
      <c r="T200" s="97"/>
      <c r="U200" s="97"/>
      <c r="V200" s="97"/>
    </row>
    <row r="201" spans="2:22" ht="20" customHeight="1" x14ac:dyDescent="0.35">
      <c r="P201" s="68"/>
      <c r="Q201" s="69"/>
      <c r="R201" s="70" t="str">
        <f>IF(AND(NOT(ISBLANK(Q201)), Dashboard!$P181&gt;0), Q201/Dashboard!$P181, "")</f>
        <v/>
      </c>
      <c r="S201" s="96"/>
      <c r="T201" s="97"/>
      <c r="U201" s="97"/>
      <c r="V201" s="97"/>
    </row>
    <row r="202" spans="2:22" ht="20" customHeight="1" x14ac:dyDescent="0.35">
      <c r="P202" s="68"/>
      <c r="Q202" s="69"/>
      <c r="R202" s="70" t="str">
        <f>IF(AND(NOT(ISBLANK(Q202)), Dashboard!$P181&gt;0), Q202/Dashboard!$P181, "")</f>
        <v/>
      </c>
      <c r="S202" s="96"/>
      <c r="T202" s="97"/>
      <c r="U202" s="97"/>
      <c r="V202" s="97"/>
    </row>
    <row r="203" spans="2:22" ht="20" customHeight="1" x14ac:dyDescent="0.35">
      <c r="P203" s="68"/>
      <c r="Q203" s="69"/>
      <c r="R203" s="70" t="str">
        <f>IF(AND(NOT(ISBLANK(Q203)), Dashboard!$P181&gt;0), Q203/Dashboard!$P181, "")</f>
        <v/>
      </c>
      <c r="S203" s="96"/>
      <c r="T203" s="97"/>
      <c r="U203" s="97"/>
      <c r="V203" s="97"/>
    </row>
    <row r="204" spans="2:22" ht="20" customHeight="1" x14ac:dyDescent="0.35">
      <c r="P204" s="68"/>
      <c r="Q204" s="69"/>
      <c r="R204" s="70" t="str">
        <f>IF(AND(NOT(ISBLANK(Q204)), Dashboard!$P181&gt;0), Q204/Dashboard!$P181, "")</f>
        <v/>
      </c>
      <c r="S204" s="96"/>
      <c r="T204" s="97"/>
      <c r="U204" s="97"/>
      <c r="V204" s="97"/>
    </row>
    <row r="208" spans="2:22" ht="32" customHeight="1" x14ac:dyDescent="0.35">
      <c r="B208" s="81" t="s">
        <v>301</v>
      </c>
      <c r="C208" s="81"/>
      <c r="D208" s="81"/>
      <c r="E208" s="81"/>
      <c r="F208" s="81"/>
      <c r="G208" s="81"/>
      <c r="H208" s="81"/>
      <c r="I208" s="8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4:H129">
    <cfRule type="expression" dxfId="32" priority="4">
      <formula>$G124&gt;=0.8</formula>
    </cfRule>
    <cfRule type="expression" dxfId="31" priority="5">
      <formula>AND($G124&gt;=0.5,$G124&lt;0.8)</formula>
    </cfRule>
    <cfRule type="expression" dxfId="30" priority="6">
      <formula>$G124&lt;0.5</formula>
    </cfRule>
  </conditionalFormatting>
  <conditionalFormatting sqref="K124:K129">
    <cfRule type="cellIs" dxfId="29" priority="7" operator="greaterThan">
      <formula>0</formula>
    </cfRule>
  </conditionalFormatting>
  <conditionalFormatting sqref="L124:L129">
    <cfRule type="cellIs" dxfId="28" priority="8" operator="greaterThan">
      <formula>0</formula>
    </cfRule>
  </conditionalFormatting>
  <conditionalFormatting sqref="M124:M129">
    <cfRule type="cellIs" dxfId="27" priority="9" operator="greaterThan">
      <formula>0</formula>
    </cfRule>
  </conditionalFormatting>
  <conditionalFormatting sqref="N124:N129">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4"/>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60" si="0">IF(OR(H2="Implemented",H2="Compensated"),"Resolved",IF(OR(H2="Risk Accepted",H2="N/A"),"Excluded",IF(H2="Testing","Testing","Outstanding")))</f>
        <v>Outstanding</v>
      </c>
      <c r="N2" s="13" t="s">
        <v>21</v>
      </c>
    </row>
    <row r="3" spans="1:14" ht="60" customHeight="1" x14ac:dyDescent="0.35">
      <c r="A3" s="11" t="s">
        <v>25</v>
      </c>
      <c r="B3" s="1" t="s">
        <v>26</v>
      </c>
      <c r="C3" s="2" t="s">
        <v>27</v>
      </c>
      <c r="D3" s="3" t="s">
        <v>28</v>
      </c>
      <c r="E3" s="4" t="s">
        <v>18</v>
      </c>
      <c r="F3" s="4" t="s">
        <v>19</v>
      </c>
      <c r="G3" s="4" t="s">
        <v>20</v>
      </c>
      <c r="H3" s="4" t="s">
        <v>21</v>
      </c>
      <c r="I3" s="5" t="s">
        <v>21</v>
      </c>
      <c r="J3" s="1" t="s">
        <v>29</v>
      </c>
      <c r="K3" s="1" t="s">
        <v>30</v>
      </c>
      <c r="L3" s="1" t="s">
        <v>31</v>
      </c>
      <c r="M3" s="4" t="str">
        <f t="shared" si="0"/>
        <v>Outstanding</v>
      </c>
      <c r="N3" s="13" t="s">
        <v>21</v>
      </c>
    </row>
    <row r="4" spans="1:14" ht="60" customHeight="1" x14ac:dyDescent="0.35">
      <c r="A4" s="11" t="s">
        <v>32</v>
      </c>
      <c r="B4" s="1" t="s">
        <v>33</v>
      </c>
      <c r="C4" s="2" t="s">
        <v>16</v>
      </c>
      <c r="D4" s="3" t="s">
        <v>34</v>
      </c>
      <c r="E4" s="4" t="s">
        <v>18</v>
      </c>
      <c r="F4" s="4" t="s">
        <v>19</v>
      </c>
      <c r="G4" s="4" t="s">
        <v>20</v>
      </c>
      <c r="H4" s="4" t="s">
        <v>21</v>
      </c>
      <c r="I4" s="5" t="s">
        <v>21</v>
      </c>
      <c r="J4" s="1" t="s">
        <v>35</v>
      </c>
      <c r="K4" s="1" t="s">
        <v>36</v>
      </c>
      <c r="L4" s="1" t="s">
        <v>37</v>
      </c>
      <c r="M4" s="4" t="str">
        <f t="shared" si="0"/>
        <v>Outstanding</v>
      </c>
      <c r="N4" s="13" t="s">
        <v>21</v>
      </c>
    </row>
    <row r="5" spans="1:14" ht="60" customHeight="1" x14ac:dyDescent="0.35">
      <c r="A5" s="11" t="s">
        <v>38</v>
      </c>
      <c r="B5" s="1" t="s">
        <v>39</v>
      </c>
      <c r="C5" s="2" t="s">
        <v>16</v>
      </c>
      <c r="D5" s="3" t="s">
        <v>17</v>
      </c>
      <c r="E5" s="4" t="s">
        <v>18</v>
      </c>
      <c r="F5" s="4" t="s">
        <v>19</v>
      </c>
      <c r="G5" s="4" t="s">
        <v>20</v>
      </c>
      <c r="H5" s="4" t="s">
        <v>21</v>
      </c>
      <c r="I5" s="5" t="s">
        <v>21</v>
      </c>
      <c r="J5" s="1" t="s">
        <v>40</v>
      </c>
      <c r="K5" s="1" t="s">
        <v>41</v>
      </c>
      <c r="L5" s="1" t="s">
        <v>42</v>
      </c>
      <c r="M5" s="4" t="str">
        <f t="shared" si="0"/>
        <v>Outstanding</v>
      </c>
      <c r="N5" s="13" t="s">
        <v>21</v>
      </c>
    </row>
    <row r="6" spans="1:14" ht="60" customHeight="1" x14ac:dyDescent="0.35">
      <c r="A6" s="11" t="s">
        <v>43</v>
      </c>
      <c r="B6" s="1" t="s">
        <v>44</v>
      </c>
      <c r="C6" s="2" t="s">
        <v>16</v>
      </c>
      <c r="D6" s="3" t="s">
        <v>17</v>
      </c>
      <c r="E6" s="4" t="s">
        <v>18</v>
      </c>
      <c r="F6" s="4" t="s">
        <v>19</v>
      </c>
      <c r="G6" s="4" t="s">
        <v>20</v>
      </c>
      <c r="H6" s="4" t="s">
        <v>21</v>
      </c>
      <c r="I6" s="5" t="s">
        <v>21</v>
      </c>
      <c r="J6" s="1" t="s">
        <v>45</v>
      </c>
      <c r="K6" s="1" t="s">
        <v>46</v>
      </c>
      <c r="L6" s="1" t="s">
        <v>47</v>
      </c>
      <c r="M6" s="4" t="str">
        <f t="shared" si="0"/>
        <v>Outstanding</v>
      </c>
      <c r="N6" s="13" t="s">
        <v>21</v>
      </c>
    </row>
    <row r="7" spans="1:14" ht="60" customHeight="1" x14ac:dyDescent="0.35">
      <c r="A7" s="11" t="s">
        <v>48</v>
      </c>
      <c r="B7" s="1" t="s">
        <v>49</v>
      </c>
      <c r="C7" s="2" t="s">
        <v>16</v>
      </c>
      <c r="D7" s="3" t="s">
        <v>17</v>
      </c>
      <c r="E7" s="4" t="s">
        <v>18</v>
      </c>
      <c r="F7" s="4" t="s">
        <v>19</v>
      </c>
      <c r="G7" s="4" t="s">
        <v>20</v>
      </c>
      <c r="H7" s="4" t="s">
        <v>21</v>
      </c>
      <c r="I7" s="5" t="s">
        <v>21</v>
      </c>
      <c r="J7" s="1" t="s">
        <v>45</v>
      </c>
      <c r="K7" s="1" t="s">
        <v>50</v>
      </c>
      <c r="L7" s="1" t="s">
        <v>51</v>
      </c>
      <c r="M7" s="4" t="str">
        <f t="shared" si="0"/>
        <v>Outstanding</v>
      </c>
      <c r="N7" s="13" t="s">
        <v>21</v>
      </c>
    </row>
    <row r="8" spans="1:14" ht="60" customHeight="1" x14ac:dyDescent="0.35">
      <c r="A8" s="11" t="s">
        <v>52</v>
      </c>
      <c r="B8" s="1" t="s">
        <v>53</v>
      </c>
      <c r="C8" s="2" t="s">
        <v>16</v>
      </c>
      <c r="D8" s="3" t="s">
        <v>17</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16</v>
      </c>
      <c r="D9" s="3" t="s">
        <v>17</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16</v>
      </c>
      <c r="D10" s="3" t="s">
        <v>17</v>
      </c>
      <c r="E10" s="4" t="s">
        <v>18</v>
      </c>
      <c r="F10" s="4" t="s">
        <v>19</v>
      </c>
      <c r="G10" s="4" t="s">
        <v>20</v>
      </c>
      <c r="H10" s="4" t="s">
        <v>21</v>
      </c>
      <c r="I10" s="5" t="s">
        <v>21</v>
      </c>
      <c r="J10" s="1" t="s">
        <v>59</v>
      </c>
      <c r="K10" s="1" t="s">
        <v>64</v>
      </c>
      <c r="L10" s="1" t="s">
        <v>65</v>
      </c>
      <c r="M10" s="4" t="str">
        <f t="shared" si="0"/>
        <v>Outstanding</v>
      </c>
      <c r="N10" s="13" t="s">
        <v>21</v>
      </c>
    </row>
    <row r="11" spans="1:14" ht="60" customHeight="1" x14ac:dyDescent="0.35">
      <c r="A11" s="11" t="s">
        <v>66</v>
      </c>
      <c r="B11" s="1" t="s">
        <v>67</v>
      </c>
      <c r="C11" s="2" t="s">
        <v>16</v>
      </c>
      <c r="D11" s="3" t="s">
        <v>28</v>
      </c>
      <c r="E11" s="4" t="s">
        <v>18</v>
      </c>
      <c r="F11" s="4" t="s">
        <v>19</v>
      </c>
      <c r="G11" s="4" t="s">
        <v>20</v>
      </c>
      <c r="H11" s="4" t="s">
        <v>21</v>
      </c>
      <c r="I11" s="5" t="s">
        <v>21</v>
      </c>
      <c r="J11" s="1" t="s">
        <v>68</v>
      </c>
      <c r="K11" s="1" t="s">
        <v>30</v>
      </c>
      <c r="L11" s="1" t="s">
        <v>69</v>
      </c>
      <c r="M11" s="4" t="str">
        <f t="shared" si="0"/>
        <v>Outstanding</v>
      </c>
      <c r="N11" s="13" t="s">
        <v>21</v>
      </c>
    </row>
    <row r="12" spans="1:14" ht="60" customHeight="1" x14ac:dyDescent="0.35">
      <c r="A12" s="11" t="s">
        <v>70</v>
      </c>
      <c r="B12" s="1" t="s">
        <v>71</v>
      </c>
      <c r="C12" s="2" t="s">
        <v>16</v>
      </c>
      <c r="D12" s="3" t="s">
        <v>28</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28</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28</v>
      </c>
      <c r="E14" s="4" t="s">
        <v>18</v>
      </c>
      <c r="F14" s="4" t="s">
        <v>19</v>
      </c>
      <c r="G14" s="4" t="s">
        <v>20</v>
      </c>
      <c r="H14" s="4" t="s">
        <v>21</v>
      </c>
      <c r="I14" s="5" t="s">
        <v>21</v>
      </c>
      <c r="J14" s="1" t="s">
        <v>77</v>
      </c>
      <c r="K14" s="1" t="s">
        <v>82</v>
      </c>
      <c r="L14" s="1" t="s">
        <v>79</v>
      </c>
      <c r="M14" s="4" t="str">
        <f t="shared" si="0"/>
        <v>Outstanding</v>
      </c>
      <c r="N14" s="13" t="s">
        <v>21</v>
      </c>
    </row>
    <row r="15" spans="1:14" ht="60" customHeight="1" x14ac:dyDescent="0.35">
      <c r="A15" s="11" t="s">
        <v>83</v>
      </c>
      <c r="B15" s="1" t="s">
        <v>84</v>
      </c>
      <c r="C15" s="2" t="s">
        <v>16</v>
      </c>
      <c r="D15" s="3" t="s">
        <v>28</v>
      </c>
      <c r="E15" s="4" t="s">
        <v>18</v>
      </c>
      <c r="F15" s="4" t="s">
        <v>19</v>
      </c>
      <c r="G15" s="4" t="s">
        <v>20</v>
      </c>
      <c r="H15" s="4" t="s">
        <v>21</v>
      </c>
      <c r="I15" s="5" t="s">
        <v>21</v>
      </c>
      <c r="J15" s="1" t="s">
        <v>72</v>
      </c>
      <c r="K15" s="1" t="s">
        <v>85</v>
      </c>
      <c r="L15" s="1" t="s">
        <v>74</v>
      </c>
      <c r="M15" s="4" t="str">
        <f t="shared" si="0"/>
        <v>Outstanding</v>
      </c>
      <c r="N15" s="13" t="s">
        <v>21</v>
      </c>
    </row>
    <row r="16" spans="1:14" ht="60" customHeight="1" x14ac:dyDescent="0.35">
      <c r="A16" s="11" t="s">
        <v>86</v>
      </c>
      <c r="B16" s="1" t="s">
        <v>87</v>
      </c>
      <c r="C16" s="2" t="s">
        <v>16</v>
      </c>
      <c r="D16" s="3" t="s">
        <v>28</v>
      </c>
      <c r="E16" s="4" t="s">
        <v>18</v>
      </c>
      <c r="F16" s="4" t="s">
        <v>19</v>
      </c>
      <c r="G16" s="4" t="s">
        <v>20</v>
      </c>
      <c r="H16" s="4" t="s">
        <v>21</v>
      </c>
      <c r="I16" s="5" t="s">
        <v>21</v>
      </c>
      <c r="J16" s="1" t="s">
        <v>88</v>
      </c>
      <c r="K16" s="1" t="s">
        <v>89</v>
      </c>
      <c r="L16" s="1" t="s">
        <v>90</v>
      </c>
      <c r="M16" s="4" t="str">
        <f t="shared" si="0"/>
        <v>Outstanding</v>
      </c>
      <c r="N16" s="13" t="s">
        <v>21</v>
      </c>
    </row>
    <row r="17" spans="1:14" ht="60" customHeight="1" x14ac:dyDescent="0.35">
      <c r="A17" s="11" t="s">
        <v>91</v>
      </c>
      <c r="B17" s="1" t="s">
        <v>92</v>
      </c>
      <c r="C17" s="2" t="s">
        <v>93</v>
      </c>
      <c r="D17" s="3" t="s">
        <v>28</v>
      </c>
      <c r="E17" s="4" t="s">
        <v>18</v>
      </c>
      <c r="F17" s="4" t="s">
        <v>19</v>
      </c>
      <c r="G17" s="4" t="s">
        <v>20</v>
      </c>
      <c r="H17" s="4" t="s">
        <v>21</v>
      </c>
      <c r="I17" s="5" t="s">
        <v>21</v>
      </c>
      <c r="J17" s="1" t="s">
        <v>77</v>
      </c>
      <c r="K17" s="1" t="s">
        <v>94</v>
      </c>
      <c r="L17" s="1" t="s">
        <v>74</v>
      </c>
      <c r="M17" s="4" t="str">
        <f t="shared" si="0"/>
        <v>Outstanding</v>
      </c>
      <c r="N17" s="13" t="s">
        <v>21</v>
      </c>
    </row>
    <row r="18" spans="1:14" ht="60" customHeight="1" x14ac:dyDescent="0.35">
      <c r="A18" s="11" t="s">
        <v>95</v>
      </c>
      <c r="B18" s="1" t="s">
        <v>96</v>
      </c>
      <c r="C18" s="2" t="s">
        <v>93</v>
      </c>
      <c r="D18" s="3" t="s">
        <v>28</v>
      </c>
      <c r="E18" s="4" t="s">
        <v>18</v>
      </c>
      <c r="F18" s="4" t="s">
        <v>19</v>
      </c>
      <c r="G18" s="4" t="s">
        <v>20</v>
      </c>
      <c r="H18" s="4" t="s">
        <v>21</v>
      </c>
      <c r="I18" s="5" t="s">
        <v>21</v>
      </c>
      <c r="J18" s="1" t="s">
        <v>72</v>
      </c>
      <c r="K18" s="1" t="s">
        <v>97</v>
      </c>
      <c r="L18" s="1" t="s">
        <v>74</v>
      </c>
      <c r="M18" s="4" t="str">
        <f t="shared" si="0"/>
        <v>Outstanding</v>
      </c>
      <c r="N18" s="13" t="s">
        <v>21</v>
      </c>
    </row>
    <row r="19" spans="1:14" ht="60" customHeight="1" x14ac:dyDescent="0.35">
      <c r="A19" s="11" t="s">
        <v>98</v>
      </c>
      <c r="B19" s="1" t="s">
        <v>99</v>
      </c>
      <c r="C19" s="2" t="s">
        <v>93</v>
      </c>
      <c r="D19" s="3" t="s">
        <v>28</v>
      </c>
      <c r="E19" s="4" t="s">
        <v>18</v>
      </c>
      <c r="F19" s="4" t="s">
        <v>19</v>
      </c>
      <c r="G19" s="4" t="s">
        <v>20</v>
      </c>
      <c r="H19" s="4" t="s">
        <v>21</v>
      </c>
      <c r="I19" s="5" t="s">
        <v>21</v>
      </c>
      <c r="J19" s="1" t="s">
        <v>100</v>
      </c>
      <c r="K19" s="1" t="s">
        <v>101</v>
      </c>
      <c r="L19" s="1" t="s">
        <v>102</v>
      </c>
      <c r="M19" s="4" t="str">
        <f t="shared" si="0"/>
        <v>Outstanding</v>
      </c>
      <c r="N19" s="13" t="s">
        <v>21</v>
      </c>
    </row>
    <row r="20" spans="1:14" ht="60" customHeight="1" x14ac:dyDescent="0.35">
      <c r="A20" s="11" t="s">
        <v>103</v>
      </c>
      <c r="B20" s="1" t="s">
        <v>104</v>
      </c>
      <c r="C20" s="2" t="s">
        <v>93</v>
      </c>
      <c r="D20" s="3" t="s">
        <v>28</v>
      </c>
      <c r="E20" s="4" t="s">
        <v>18</v>
      </c>
      <c r="F20" s="4" t="s">
        <v>19</v>
      </c>
      <c r="G20" s="4" t="s">
        <v>20</v>
      </c>
      <c r="H20" s="4" t="s">
        <v>21</v>
      </c>
      <c r="I20" s="5" t="s">
        <v>21</v>
      </c>
      <c r="J20" s="1" t="s">
        <v>72</v>
      </c>
      <c r="K20" s="1" t="s">
        <v>105</v>
      </c>
      <c r="L20" s="1" t="s">
        <v>106</v>
      </c>
      <c r="M20" s="4" t="str">
        <f t="shared" si="0"/>
        <v>Outstanding</v>
      </c>
      <c r="N20" s="13" t="s">
        <v>21</v>
      </c>
    </row>
    <row r="21" spans="1:14" ht="60" customHeight="1" x14ac:dyDescent="0.35">
      <c r="A21" s="11" t="s">
        <v>107</v>
      </c>
      <c r="B21" s="1" t="s">
        <v>108</v>
      </c>
      <c r="C21" s="2" t="s">
        <v>16</v>
      </c>
      <c r="D21" s="3" t="s">
        <v>28</v>
      </c>
      <c r="E21" s="4" t="s">
        <v>18</v>
      </c>
      <c r="F21" s="4" t="s">
        <v>19</v>
      </c>
      <c r="G21" s="4" t="s">
        <v>20</v>
      </c>
      <c r="H21" s="4" t="s">
        <v>21</v>
      </c>
      <c r="I21" s="5" t="s">
        <v>21</v>
      </c>
      <c r="J21" s="1" t="s">
        <v>109</v>
      </c>
      <c r="K21" s="1" t="s">
        <v>110</v>
      </c>
      <c r="L21" s="1" t="s">
        <v>111</v>
      </c>
      <c r="M21" s="4" t="str">
        <f t="shared" si="0"/>
        <v>Outstanding</v>
      </c>
      <c r="N21" s="13" t="s">
        <v>21</v>
      </c>
    </row>
    <row r="22" spans="1:14" ht="60" customHeight="1" x14ac:dyDescent="0.35">
      <c r="A22" s="11" t="s">
        <v>112</v>
      </c>
      <c r="B22" s="1" t="s">
        <v>113</v>
      </c>
      <c r="C22" s="2" t="s">
        <v>16</v>
      </c>
      <c r="D22" s="3" t="s">
        <v>28</v>
      </c>
      <c r="E22" s="4" t="s">
        <v>18</v>
      </c>
      <c r="F22" s="4" t="s">
        <v>19</v>
      </c>
      <c r="G22" s="4" t="s">
        <v>20</v>
      </c>
      <c r="H22" s="4" t="s">
        <v>21</v>
      </c>
      <c r="I22" s="5" t="s">
        <v>21</v>
      </c>
      <c r="J22" s="1" t="s">
        <v>114</v>
      </c>
      <c r="K22" s="1" t="s">
        <v>115</v>
      </c>
      <c r="L22" s="1" t="s">
        <v>116</v>
      </c>
      <c r="M22" s="4" t="str">
        <f t="shared" si="0"/>
        <v>Outstanding</v>
      </c>
      <c r="N22" s="13" t="s">
        <v>21</v>
      </c>
    </row>
    <row r="23" spans="1:14" ht="60" customHeight="1" x14ac:dyDescent="0.35">
      <c r="A23" s="11" t="s">
        <v>117</v>
      </c>
      <c r="B23" s="1" t="s">
        <v>118</v>
      </c>
      <c r="C23" s="2" t="s">
        <v>16</v>
      </c>
      <c r="D23" s="3" t="s">
        <v>28</v>
      </c>
      <c r="E23" s="4" t="s">
        <v>18</v>
      </c>
      <c r="F23" s="4" t="s">
        <v>19</v>
      </c>
      <c r="G23" s="4" t="s">
        <v>20</v>
      </c>
      <c r="H23" s="4" t="s">
        <v>21</v>
      </c>
      <c r="I23" s="5" t="s">
        <v>21</v>
      </c>
      <c r="J23" s="1" t="s">
        <v>119</v>
      </c>
      <c r="K23" s="1" t="s">
        <v>120</v>
      </c>
      <c r="L23" s="1" t="s">
        <v>121</v>
      </c>
      <c r="M23" s="4" t="str">
        <f t="shared" si="0"/>
        <v>Outstanding</v>
      </c>
      <c r="N23" s="13" t="s">
        <v>21</v>
      </c>
    </row>
    <row r="24" spans="1:14" ht="60" customHeight="1" x14ac:dyDescent="0.35">
      <c r="A24" s="11" t="s">
        <v>122</v>
      </c>
      <c r="B24" s="1" t="s">
        <v>123</v>
      </c>
      <c r="C24" s="2" t="s">
        <v>16</v>
      </c>
      <c r="D24" s="3" t="s">
        <v>28</v>
      </c>
      <c r="E24" s="4" t="s">
        <v>18</v>
      </c>
      <c r="F24" s="4" t="s">
        <v>19</v>
      </c>
      <c r="G24" s="4" t="s">
        <v>20</v>
      </c>
      <c r="H24" s="4" t="s">
        <v>21</v>
      </c>
      <c r="I24" s="5" t="s">
        <v>21</v>
      </c>
      <c r="J24" s="1" t="s">
        <v>124</v>
      </c>
      <c r="K24" s="1" t="s">
        <v>125</v>
      </c>
      <c r="L24" s="1" t="s">
        <v>126</v>
      </c>
      <c r="M24" s="4" t="str">
        <f t="shared" si="0"/>
        <v>Outstanding</v>
      </c>
      <c r="N24" s="13" t="s">
        <v>21</v>
      </c>
    </row>
    <row r="25" spans="1:14" ht="60" customHeight="1" x14ac:dyDescent="0.35">
      <c r="A25" s="11" t="s">
        <v>127</v>
      </c>
      <c r="B25" s="1" t="s">
        <v>128</v>
      </c>
      <c r="C25" s="2" t="s">
        <v>16</v>
      </c>
      <c r="D25" s="3" t="s">
        <v>28</v>
      </c>
      <c r="E25" s="4" t="s">
        <v>18</v>
      </c>
      <c r="F25" s="4" t="s">
        <v>19</v>
      </c>
      <c r="G25" s="4" t="s">
        <v>20</v>
      </c>
      <c r="H25" s="4" t="s">
        <v>21</v>
      </c>
      <c r="I25" s="5" t="s">
        <v>21</v>
      </c>
      <c r="J25" s="1" t="s">
        <v>129</v>
      </c>
      <c r="K25" s="1" t="s">
        <v>130</v>
      </c>
      <c r="L25" s="1" t="s">
        <v>131</v>
      </c>
      <c r="M25" s="4" t="str">
        <f t="shared" si="0"/>
        <v>Outstanding</v>
      </c>
      <c r="N25" s="13" t="s">
        <v>21</v>
      </c>
    </row>
    <row r="26" spans="1:14" ht="60" customHeight="1" x14ac:dyDescent="0.35">
      <c r="A26" s="11" t="s">
        <v>132</v>
      </c>
      <c r="B26" s="1" t="s">
        <v>133</v>
      </c>
      <c r="C26" s="2" t="s">
        <v>16</v>
      </c>
      <c r="D26" s="3" t="s">
        <v>28</v>
      </c>
      <c r="E26" s="4" t="s">
        <v>18</v>
      </c>
      <c r="F26" s="4" t="s">
        <v>19</v>
      </c>
      <c r="G26" s="4" t="s">
        <v>20</v>
      </c>
      <c r="H26" s="4" t="s">
        <v>21</v>
      </c>
      <c r="I26" s="5" t="s">
        <v>21</v>
      </c>
      <c r="J26" s="1" t="s">
        <v>134</v>
      </c>
      <c r="K26" s="1" t="s">
        <v>135</v>
      </c>
      <c r="L26" s="1" t="s">
        <v>136</v>
      </c>
      <c r="M26" s="4" t="str">
        <f t="shared" si="0"/>
        <v>Outstanding</v>
      </c>
      <c r="N26" s="13" t="s">
        <v>21</v>
      </c>
    </row>
    <row r="27" spans="1:14" ht="60" customHeight="1" x14ac:dyDescent="0.35">
      <c r="A27" s="11" t="s">
        <v>137</v>
      </c>
      <c r="B27" s="1" t="s">
        <v>138</v>
      </c>
      <c r="C27" s="2" t="s">
        <v>16</v>
      </c>
      <c r="D27" s="3" t="s">
        <v>28</v>
      </c>
      <c r="E27" s="4" t="s">
        <v>18</v>
      </c>
      <c r="F27" s="4" t="s">
        <v>19</v>
      </c>
      <c r="G27" s="4" t="s">
        <v>20</v>
      </c>
      <c r="H27" s="4" t="s">
        <v>21</v>
      </c>
      <c r="I27" s="5" t="s">
        <v>21</v>
      </c>
      <c r="J27" s="1" t="s">
        <v>139</v>
      </c>
      <c r="K27" s="1" t="s">
        <v>140</v>
      </c>
      <c r="L27" s="1" t="s">
        <v>141</v>
      </c>
      <c r="M27" s="4" t="str">
        <f t="shared" si="0"/>
        <v>Outstanding</v>
      </c>
      <c r="N27" s="13" t="s">
        <v>21</v>
      </c>
    </row>
    <row r="28" spans="1:14" ht="60" customHeight="1" x14ac:dyDescent="0.35">
      <c r="A28" s="11" t="s">
        <v>142</v>
      </c>
      <c r="B28" s="1" t="s">
        <v>143</v>
      </c>
      <c r="C28" s="2" t="s">
        <v>16</v>
      </c>
      <c r="D28" s="3" t="s">
        <v>28</v>
      </c>
      <c r="E28" s="4" t="s">
        <v>18</v>
      </c>
      <c r="F28" s="4" t="s">
        <v>19</v>
      </c>
      <c r="G28" s="4" t="s">
        <v>20</v>
      </c>
      <c r="H28" s="4" t="s">
        <v>21</v>
      </c>
      <c r="I28" s="5" t="s">
        <v>21</v>
      </c>
      <c r="J28" s="1" t="s">
        <v>144</v>
      </c>
      <c r="K28" s="1" t="s">
        <v>145</v>
      </c>
      <c r="L28" s="1" t="s">
        <v>146</v>
      </c>
      <c r="M28" s="4" t="str">
        <f t="shared" si="0"/>
        <v>Outstanding</v>
      </c>
      <c r="N28" s="13" t="s">
        <v>21</v>
      </c>
    </row>
    <row r="29" spans="1:14" ht="60" customHeight="1" x14ac:dyDescent="0.35">
      <c r="A29" s="11" t="s">
        <v>147</v>
      </c>
      <c r="B29" s="1" t="s">
        <v>148</v>
      </c>
      <c r="C29" s="2" t="s">
        <v>16</v>
      </c>
      <c r="D29" s="3" t="s">
        <v>28</v>
      </c>
      <c r="E29" s="4" t="s">
        <v>18</v>
      </c>
      <c r="F29" s="4" t="s">
        <v>19</v>
      </c>
      <c r="G29" s="4" t="s">
        <v>20</v>
      </c>
      <c r="H29" s="4" t="s">
        <v>21</v>
      </c>
      <c r="I29" s="5" t="s">
        <v>21</v>
      </c>
      <c r="J29" s="1" t="s">
        <v>149</v>
      </c>
      <c r="K29" s="1" t="s">
        <v>150</v>
      </c>
      <c r="L29" s="1" t="s">
        <v>151</v>
      </c>
      <c r="M29" s="4" t="str">
        <f t="shared" si="0"/>
        <v>Outstanding</v>
      </c>
      <c r="N29" s="13" t="s">
        <v>21</v>
      </c>
    </row>
    <row r="30" spans="1:14" ht="60" customHeight="1" x14ac:dyDescent="0.35">
      <c r="A30" s="11" t="s">
        <v>152</v>
      </c>
      <c r="B30" s="1" t="s">
        <v>153</v>
      </c>
      <c r="C30" s="2" t="s">
        <v>16</v>
      </c>
      <c r="D30" s="3" t="s">
        <v>28</v>
      </c>
      <c r="E30" s="4" t="s">
        <v>18</v>
      </c>
      <c r="F30" s="4" t="s">
        <v>19</v>
      </c>
      <c r="G30" s="4" t="s">
        <v>20</v>
      </c>
      <c r="H30" s="4" t="s">
        <v>21</v>
      </c>
      <c r="I30" s="5" t="s">
        <v>21</v>
      </c>
      <c r="J30" s="1" t="s">
        <v>149</v>
      </c>
      <c r="K30" s="1" t="s">
        <v>150</v>
      </c>
      <c r="L30" s="1" t="s">
        <v>154</v>
      </c>
      <c r="M30" s="4" t="str">
        <f t="shared" si="0"/>
        <v>Outstanding</v>
      </c>
      <c r="N30" s="13" t="s">
        <v>21</v>
      </c>
    </row>
    <row r="31" spans="1:14" ht="60" customHeight="1" x14ac:dyDescent="0.35">
      <c r="A31" s="11" t="s">
        <v>155</v>
      </c>
      <c r="B31" s="1" t="s">
        <v>156</v>
      </c>
      <c r="C31" s="2" t="s">
        <v>16</v>
      </c>
      <c r="D31" s="3" t="s">
        <v>28</v>
      </c>
      <c r="E31" s="4" t="s">
        <v>18</v>
      </c>
      <c r="F31" s="4" t="s">
        <v>19</v>
      </c>
      <c r="G31" s="4" t="s">
        <v>20</v>
      </c>
      <c r="H31" s="4" t="s">
        <v>21</v>
      </c>
      <c r="I31" s="5" t="s">
        <v>21</v>
      </c>
      <c r="J31" s="1" t="s">
        <v>157</v>
      </c>
      <c r="K31" s="1" t="s">
        <v>97</v>
      </c>
      <c r="L31" s="1" t="s">
        <v>158</v>
      </c>
      <c r="M31" s="4" t="str">
        <f t="shared" si="0"/>
        <v>Outstanding</v>
      </c>
      <c r="N31" s="13" t="s">
        <v>21</v>
      </c>
    </row>
    <row r="32" spans="1:14" ht="60" customHeight="1" x14ac:dyDescent="0.35">
      <c r="A32" s="11" t="s">
        <v>159</v>
      </c>
      <c r="B32" s="1" t="s">
        <v>160</v>
      </c>
      <c r="C32" s="2" t="s">
        <v>16</v>
      </c>
      <c r="D32" s="3" t="s">
        <v>28</v>
      </c>
      <c r="E32" s="4" t="s">
        <v>18</v>
      </c>
      <c r="F32" s="4" t="s">
        <v>19</v>
      </c>
      <c r="G32" s="4" t="s">
        <v>20</v>
      </c>
      <c r="H32" s="4" t="s">
        <v>21</v>
      </c>
      <c r="I32" s="5" t="s">
        <v>21</v>
      </c>
      <c r="J32" s="1" t="s">
        <v>161</v>
      </c>
      <c r="K32" s="1" t="s">
        <v>97</v>
      </c>
      <c r="L32" s="1" t="s">
        <v>162</v>
      </c>
      <c r="M32" s="4" t="str">
        <f t="shared" si="0"/>
        <v>Outstanding</v>
      </c>
      <c r="N32" s="13" t="s">
        <v>21</v>
      </c>
    </row>
    <row r="33" spans="1:14" ht="60" customHeight="1" x14ac:dyDescent="0.35">
      <c r="A33" s="11" t="s">
        <v>163</v>
      </c>
      <c r="B33" s="1" t="s">
        <v>164</v>
      </c>
      <c r="C33" s="2" t="s">
        <v>16</v>
      </c>
      <c r="D33" s="3" t="s">
        <v>28</v>
      </c>
      <c r="E33" s="4" t="s">
        <v>18</v>
      </c>
      <c r="F33" s="4" t="s">
        <v>19</v>
      </c>
      <c r="G33" s="4" t="s">
        <v>20</v>
      </c>
      <c r="H33" s="4" t="s">
        <v>21</v>
      </c>
      <c r="I33" s="5" t="s">
        <v>21</v>
      </c>
      <c r="J33" s="1" t="s">
        <v>165</v>
      </c>
      <c r="K33" s="1" t="s">
        <v>97</v>
      </c>
      <c r="L33" s="1" t="s">
        <v>166</v>
      </c>
      <c r="M33" s="4" t="str">
        <f t="shared" si="0"/>
        <v>Outstanding</v>
      </c>
      <c r="N33" s="13" t="s">
        <v>21</v>
      </c>
    </row>
    <row r="34" spans="1:14" ht="60" customHeight="1" x14ac:dyDescent="0.35">
      <c r="A34" s="11" t="s">
        <v>167</v>
      </c>
      <c r="B34" s="1" t="s">
        <v>168</v>
      </c>
      <c r="C34" s="2" t="s">
        <v>16</v>
      </c>
      <c r="D34" s="3" t="s">
        <v>28</v>
      </c>
      <c r="E34" s="4" t="s">
        <v>18</v>
      </c>
      <c r="F34" s="4" t="s">
        <v>19</v>
      </c>
      <c r="G34" s="4" t="s">
        <v>20</v>
      </c>
      <c r="H34" s="4" t="s">
        <v>21</v>
      </c>
      <c r="I34" s="5" t="s">
        <v>21</v>
      </c>
      <c r="J34" s="1" t="s">
        <v>169</v>
      </c>
      <c r="K34" s="1" t="s">
        <v>97</v>
      </c>
      <c r="L34" s="1" t="s">
        <v>170</v>
      </c>
      <c r="M34" s="4" t="str">
        <f t="shared" si="0"/>
        <v>Outstanding</v>
      </c>
      <c r="N34" s="13" t="s">
        <v>21</v>
      </c>
    </row>
    <row r="35" spans="1:14" ht="60" customHeight="1" x14ac:dyDescent="0.35">
      <c r="A35" s="11" t="s">
        <v>171</v>
      </c>
      <c r="B35" s="1" t="s">
        <v>172</v>
      </c>
      <c r="C35" s="2" t="s">
        <v>16</v>
      </c>
      <c r="D35" s="3" t="s">
        <v>28</v>
      </c>
      <c r="E35" s="4" t="s">
        <v>18</v>
      </c>
      <c r="F35" s="4" t="s">
        <v>19</v>
      </c>
      <c r="G35" s="4" t="s">
        <v>20</v>
      </c>
      <c r="H35" s="4" t="s">
        <v>21</v>
      </c>
      <c r="I35" s="5" t="s">
        <v>21</v>
      </c>
      <c r="J35" s="1" t="s">
        <v>173</v>
      </c>
      <c r="K35" s="1" t="s">
        <v>174</v>
      </c>
      <c r="L35" s="1" t="s">
        <v>175</v>
      </c>
      <c r="M35" s="4" t="str">
        <f t="shared" si="0"/>
        <v>Outstanding</v>
      </c>
      <c r="N35" s="13" t="s">
        <v>21</v>
      </c>
    </row>
    <row r="36" spans="1:14" ht="60" customHeight="1" x14ac:dyDescent="0.35">
      <c r="A36" s="11" t="s">
        <v>176</v>
      </c>
      <c r="B36" s="1" t="s">
        <v>177</v>
      </c>
      <c r="C36" s="2" t="s">
        <v>16</v>
      </c>
      <c r="D36" s="3" t="s">
        <v>28</v>
      </c>
      <c r="E36" s="4" t="s">
        <v>18</v>
      </c>
      <c r="F36" s="4" t="s">
        <v>19</v>
      </c>
      <c r="G36" s="4" t="s">
        <v>20</v>
      </c>
      <c r="H36" s="4" t="s">
        <v>21</v>
      </c>
      <c r="I36" s="5" t="s">
        <v>21</v>
      </c>
      <c r="J36" s="1" t="s">
        <v>178</v>
      </c>
      <c r="K36" s="1" t="s">
        <v>179</v>
      </c>
      <c r="L36" s="1" t="s">
        <v>180</v>
      </c>
      <c r="M36" s="4" t="str">
        <f t="shared" si="0"/>
        <v>Outstanding</v>
      </c>
      <c r="N36" s="13" t="s">
        <v>21</v>
      </c>
    </row>
    <row r="37" spans="1:14" ht="60" customHeight="1" x14ac:dyDescent="0.35">
      <c r="A37" s="11" t="s">
        <v>181</v>
      </c>
      <c r="B37" s="1" t="s">
        <v>182</v>
      </c>
      <c r="C37" s="2" t="s">
        <v>27</v>
      </c>
      <c r="D37" s="3" t="s">
        <v>28</v>
      </c>
      <c r="E37" s="4" t="s">
        <v>18</v>
      </c>
      <c r="F37" s="4" t="s">
        <v>19</v>
      </c>
      <c r="G37" s="4" t="s">
        <v>20</v>
      </c>
      <c r="H37" s="4" t="s">
        <v>21</v>
      </c>
      <c r="I37" s="5" t="s">
        <v>21</v>
      </c>
      <c r="J37" s="1" t="s">
        <v>183</v>
      </c>
      <c r="K37" s="1" t="s">
        <v>184</v>
      </c>
      <c r="L37" s="1" t="s">
        <v>185</v>
      </c>
      <c r="M37" s="4" t="str">
        <f t="shared" si="0"/>
        <v>Outstanding</v>
      </c>
      <c r="N37" s="13" t="s">
        <v>21</v>
      </c>
    </row>
    <row r="38" spans="1:14" ht="60" customHeight="1" x14ac:dyDescent="0.35">
      <c r="A38" s="11" t="s">
        <v>186</v>
      </c>
      <c r="B38" s="1" t="s">
        <v>187</v>
      </c>
      <c r="C38" s="2" t="s">
        <v>93</v>
      </c>
      <c r="D38" s="3" t="s">
        <v>28</v>
      </c>
      <c r="E38" s="4" t="s">
        <v>18</v>
      </c>
      <c r="F38" s="4" t="s">
        <v>19</v>
      </c>
      <c r="G38" s="4" t="s">
        <v>20</v>
      </c>
      <c r="H38" s="4" t="s">
        <v>21</v>
      </c>
      <c r="I38" s="5" t="s">
        <v>21</v>
      </c>
      <c r="J38" s="1" t="s">
        <v>188</v>
      </c>
      <c r="K38" s="1" t="s">
        <v>189</v>
      </c>
      <c r="L38" s="1" t="s">
        <v>190</v>
      </c>
      <c r="M38" s="4" t="str">
        <f t="shared" si="0"/>
        <v>Outstanding</v>
      </c>
      <c r="N38" s="13" t="s">
        <v>21</v>
      </c>
    </row>
    <row r="39" spans="1:14" ht="60" customHeight="1" x14ac:dyDescent="0.35">
      <c r="A39" s="11" t="s">
        <v>191</v>
      </c>
      <c r="B39" s="1" t="s">
        <v>192</v>
      </c>
      <c r="C39" s="2" t="s">
        <v>16</v>
      </c>
      <c r="D39" s="3" t="s">
        <v>34</v>
      </c>
      <c r="E39" s="4" t="s">
        <v>18</v>
      </c>
      <c r="F39" s="4" t="s">
        <v>19</v>
      </c>
      <c r="G39" s="4" t="s">
        <v>20</v>
      </c>
      <c r="H39" s="4" t="s">
        <v>21</v>
      </c>
      <c r="I39" s="5" t="s">
        <v>21</v>
      </c>
      <c r="J39" s="1" t="s">
        <v>193</v>
      </c>
      <c r="K39" s="1" t="s">
        <v>194</v>
      </c>
      <c r="L39" s="1" t="s">
        <v>195</v>
      </c>
      <c r="M39" s="4" t="str">
        <f t="shared" si="0"/>
        <v>Outstanding</v>
      </c>
      <c r="N39" s="13" t="s">
        <v>21</v>
      </c>
    </row>
    <row r="40" spans="1:14" ht="60" customHeight="1" x14ac:dyDescent="0.35">
      <c r="A40" s="11" t="s">
        <v>196</v>
      </c>
      <c r="B40" s="1" t="s">
        <v>197</v>
      </c>
      <c r="C40" s="2" t="s">
        <v>16</v>
      </c>
      <c r="D40" s="3" t="s">
        <v>34</v>
      </c>
      <c r="E40" s="4" t="s">
        <v>18</v>
      </c>
      <c r="F40" s="4" t="s">
        <v>19</v>
      </c>
      <c r="G40" s="4" t="s">
        <v>20</v>
      </c>
      <c r="H40" s="4" t="s">
        <v>21</v>
      </c>
      <c r="I40" s="5" t="s">
        <v>21</v>
      </c>
      <c r="J40" s="1" t="s">
        <v>198</v>
      </c>
      <c r="K40" s="1" t="s">
        <v>199</v>
      </c>
      <c r="L40" s="1" t="s">
        <v>200</v>
      </c>
      <c r="M40" s="4" t="str">
        <f t="shared" si="0"/>
        <v>Outstanding</v>
      </c>
      <c r="N40" s="13" t="s">
        <v>21</v>
      </c>
    </row>
    <row r="41" spans="1:14" ht="60" customHeight="1" x14ac:dyDescent="0.35">
      <c r="A41" s="11" t="s">
        <v>201</v>
      </c>
      <c r="B41" s="1" t="s">
        <v>202</v>
      </c>
      <c r="C41" s="2" t="s">
        <v>16</v>
      </c>
      <c r="D41" s="3" t="s">
        <v>34</v>
      </c>
      <c r="E41" s="4" t="s">
        <v>18</v>
      </c>
      <c r="F41" s="4" t="s">
        <v>19</v>
      </c>
      <c r="G41" s="4" t="s">
        <v>20</v>
      </c>
      <c r="H41" s="4" t="s">
        <v>21</v>
      </c>
      <c r="I41" s="5" t="s">
        <v>21</v>
      </c>
      <c r="J41" s="1" t="s">
        <v>203</v>
      </c>
      <c r="K41" s="1" t="s">
        <v>204</v>
      </c>
      <c r="L41" s="1" t="s">
        <v>205</v>
      </c>
      <c r="M41" s="4" t="str">
        <f t="shared" si="0"/>
        <v>Outstanding</v>
      </c>
      <c r="N41" s="13" t="s">
        <v>21</v>
      </c>
    </row>
    <row r="42" spans="1:14" ht="60" customHeight="1" x14ac:dyDescent="0.35">
      <c r="A42" s="11" t="s">
        <v>206</v>
      </c>
      <c r="B42" s="1" t="s">
        <v>207</v>
      </c>
      <c r="C42" s="2" t="s">
        <v>16</v>
      </c>
      <c r="D42" s="3" t="s">
        <v>34</v>
      </c>
      <c r="E42" s="4" t="s">
        <v>18</v>
      </c>
      <c r="F42" s="4" t="s">
        <v>19</v>
      </c>
      <c r="G42" s="4" t="s">
        <v>20</v>
      </c>
      <c r="H42" s="4" t="s">
        <v>21</v>
      </c>
      <c r="I42" s="5" t="s">
        <v>21</v>
      </c>
      <c r="J42" s="1" t="s">
        <v>208</v>
      </c>
      <c r="K42" s="1" t="s">
        <v>209</v>
      </c>
      <c r="L42" s="1" t="s">
        <v>210</v>
      </c>
      <c r="M42" s="4" t="str">
        <f t="shared" si="0"/>
        <v>Outstanding</v>
      </c>
      <c r="N42" s="13" t="s">
        <v>21</v>
      </c>
    </row>
    <row r="43" spans="1:14" ht="60" customHeight="1" x14ac:dyDescent="0.35">
      <c r="A43" s="11" t="s">
        <v>211</v>
      </c>
      <c r="B43" s="1" t="s">
        <v>212</v>
      </c>
      <c r="C43" s="2" t="s">
        <v>16</v>
      </c>
      <c r="D43" s="3" t="s">
        <v>34</v>
      </c>
      <c r="E43" s="4" t="s">
        <v>18</v>
      </c>
      <c r="F43" s="4" t="s">
        <v>19</v>
      </c>
      <c r="G43" s="4" t="s">
        <v>20</v>
      </c>
      <c r="H43" s="4" t="s">
        <v>21</v>
      </c>
      <c r="I43" s="5" t="s">
        <v>21</v>
      </c>
      <c r="J43" s="1" t="s">
        <v>213</v>
      </c>
      <c r="K43" s="1" t="s">
        <v>214</v>
      </c>
      <c r="L43" s="1" t="s">
        <v>215</v>
      </c>
      <c r="M43" s="4" t="str">
        <f t="shared" si="0"/>
        <v>Outstanding</v>
      </c>
      <c r="N43" s="13" t="s">
        <v>21</v>
      </c>
    </row>
    <row r="44" spans="1:14" ht="60" customHeight="1" x14ac:dyDescent="0.35">
      <c r="A44" s="11" t="s">
        <v>216</v>
      </c>
      <c r="B44" s="1" t="s">
        <v>217</v>
      </c>
      <c r="C44" s="2" t="s">
        <v>16</v>
      </c>
      <c r="D44" s="3" t="s">
        <v>34</v>
      </c>
      <c r="E44" s="4" t="s">
        <v>18</v>
      </c>
      <c r="F44" s="4" t="s">
        <v>19</v>
      </c>
      <c r="G44" s="4" t="s">
        <v>20</v>
      </c>
      <c r="H44" s="4" t="s">
        <v>21</v>
      </c>
      <c r="I44" s="5" t="s">
        <v>21</v>
      </c>
      <c r="J44" s="1" t="s">
        <v>218</v>
      </c>
      <c r="K44" s="1" t="s">
        <v>219</v>
      </c>
      <c r="L44" s="1" t="s">
        <v>220</v>
      </c>
      <c r="M44" s="4" t="str">
        <f t="shared" si="0"/>
        <v>Outstanding</v>
      </c>
      <c r="N44" s="13" t="s">
        <v>21</v>
      </c>
    </row>
    <row r="45" spans="1:14" ht="60" customHeight="1" x14ac:dyDescent="0.35">
      <c r="A45" s="11" t="s">
        <v>221</v>
      </c>
      <c r="B45" s="1" t="s">
        <v>222</v>
      </c>
      <c r="C45" s="2" t="s">
        <v>16</v>
      </c>
      <c r="D45" s="3" t="s">
        <v>34</v>
      </c>
      <c r="E45" s="4" t="s">
        <v>18</v>
      </c>
      <c r="F45" s="4" t="s">
        <v>19</v>
      </c>
      <c r="G45" s="4" t="s">
        <v>20</v>
      </c>
      <c r="H45" s="4" t="s">
        <v>21</v>
      </c>
      <c r="I45" s="5" t="s">
        <v>21</v>
      </c>
      <c r="J45" s="1" t="s">
        <v>223</v>
      </c>
      <c r="K45" s="1" t="s">
        <v>224</v>
      </c>
      <c r="L45" s="1" t="s">
        <v>225</v>
      </c>
      <c r="M45" s="4" t="str">
        <f t="shared" si="0"/>
        <v>Outstanding</v>
      </c>
      <c r="N45" s="13" t="s">
        <v>21</v>
      </c>
    </row>
    <row r="46" spans="1:14" ht="60" customHeight="1" x14ac:dyDescent="0.35">
      <c r="A46" s="11" t="s">
        <v>226</v>
      </c>
      <c r="B46" s="1" t="s">
        <v>227</v>
      </c>
      <c r="C46" s="2" t="s">
        <v>16</v>
      </c>
      <c r="D46" s="3" t="s">
        <v>34</v>
      </c>
      <c r="E46" s="4" t="s">
        <v>18</v>
      </c>
      <c r="F46" s="4" t="s">
        <v>19</v>
      </c>
      <c r="G46" s="4" t="s">
        <v>20</v>
      </c>
      <c r="H46" s="4" t="s">
        <v>21</v>
      </c>
      <c r="I46" s="5" t="s">
        <v>21</v>
      </c>
      <c r="J46" s="1" t="s">
        <v>228</v>
      </c>
      <c r="K46" s="1" t="s">
        <v>229</v>
      </c>
      <c r="L46" s="1" t="s">
        <v>230</v>
      </c>
      <c r="M46" s="4" t="str">
        <f t="shared" si="0"/>
        <v>Outstanding</v>
      </c>
      <c r="N46" s="13" t="s">
        <v>21</v>
      </c>
    </row>
    <row r="47" spans="1:14" ht="60" customHeight="1" x14ac:dyDescent="0.35">
      <c r="A47" s="11" t="s">
        <v>231</v>
      </c>
      <c r="B47" s="1" t="s">
        <v>232</v>
      </c>
      <c r="C47" s="2" t="s">
        <v>16</v>
      </c>
      <c r="D47" s="3" t="s">
        <v>34</v>
      </c>
      <c r="E47" s="4" t="s">
        <v>18</v>
      </c>
      <c r="F47" s="4" t="s">
        <v>19</v>
      </c>
      <c r="G47" s="4" t="s">
        <v>20</v>
      </c>
      <c r="H47" s="4" t="s">
        <v>21</v>
      </c>
      <c r="I47" s="5" t="s">
        <v>21</v>
      </c>
      <c r="J47" s="1" t="s">
        <v>233</v>
      </c>
      <c r="K47" s="1" t="s">
        <v>234</v>
      </c>
      <c r="L47" s="1" t="s">
        <v>235</v>
      </c>
      <c r="M47" s="4" t="str">
        <f t="shared" si="0"/>
        <v>Outstanding</v>
      </c>
      <c r="N47" s="13" t="s">
        <v>21</v>
      </c>
    </row>
    <row r="48" spans="1:14" ht="60" customHeight="1" x14ac:dyDescent="0.35">
      <c r="A48" s="11" t="s">
        <v>236</v>
      </c>
      <c r="B48" s="1" t="s">
        <v>237</v>
      </c>
      <c r="C48" s="2" t="s">
        <v>16</v>
      </c>
      <c r="D48" s="3" t="s">
        <v>34</v>
      </c>
      <c r="E48" s="4" t="s">
        <v>18</v>
      </c>
      <c r="F48" s="4" t="s">
        <v>19</v>
      </c>
      <c r="G48" s="4" t="s">
        <v>20</v>
      </c>
      <c r="H48" s="4" t="s">
        <v>21</v>
      </c>
      <c r="I48" s="5" t="s">
        <v>21</v>
      </c>
      <c r="J48" s="1" t="s">
        <v>238</v>
      </c>
      <c r="K48" s="1" t="s">
        <v>239</v>
      </c>
      <c r="L48" s="1" t="s">
        <v>240</v>
      </c>
      <c r="M48" s="4" t="str">
        <f t="shared" si="0"/>
        <v>Outstanding</v>
      </c>
      <c r="N48" s="13" t="s">
        <v>21</v>
      </c>
    </row>
    <row r="49" spans="1:14" ht="60" customHeight="1" x14ac:dyDescent="0.35">
      <c r="A49" s="11" t="s">
        <v>241</v>
      </c>
      <c r="B49" s="1" t="s">
        <v>242</v>
      </c>
      <c r="C49" s="2" t="s">
        <v>16</v>
      </c>
      <c r="D49" s="3" t="s">
        <v>34</v>
      </c>
      <c r="E49" s="4" t="s">
        <v>18</v>
      </c>
      <c r="F49" s="4" t="s">
        <v>19</v>
      </c>
      <c r="G49" s="4" t="s">
        <v>20</v>
      </c>
      <c r="H49" s="4" t="s">
        <v>21</v>
      </c>
      <c r="I49" s="5" t="s">
        <v>21</v>
      </c>
      <c r="J49" s="1" t="s">
        <v>243</v>
      </c>
      <c r="K49" s="1" t="s">
        <v>244</v>
      </c>
      <c r="L49" s="1" t="s">
        <v>245</v>
      </c>
      <c r="M49" s="4" t="str">
        <f t="shared" si="0"/>
        <v>Outstanding</v>
      </c>
      <c r="N49" s="13" t="s">
        <v>21</v>
      </c>
    </row>
    <row r="50" spans="1:14" ht="60" customHeight="1" x14ac:dyDescent="0.35">
      <c r="A50" s="11" t="s">
        <v>246</v>
      </c>
      <c r="B50" s="1" t="s">
        <v>247</v>
      </c>
      <c r="C50" s="2" t="s">
        <v>16</v>
      </c>
      <c r="D50" s="3" t="s">
        <v>34</v>
      </c>
      <c r="E50" s="4" t="s">
        <v>18</v>
      </c>
      <c r="F50" s="4" t="s">
        <v>19</v>
      </c>
      <c r="G50" s="4" t="s">
        <v>20</v>
      </c>
      <c r="H50" s="4" t="s">
        <v>21</v>
      </c>
      <c r="I50" s="5" t="s">
        <v>21</v>
      </c>
      <c r="J50" s="1" t="s">
        <v>248</v>
      </c>
      <c r="K50" s="1" t="s">
        <v>249</v>
      </c>
      <c r="L50" s="1" t="s">
        <v>250</v>
      </c>
      <c r="M50" s="4" t="str">
        <f t="shared" si="0"/>
        <v>Outstanding</v>
      </c>
      <c r="N50" s="13" t="s">
        <v>21</v>
      </c>
    </row>
    <row r="51" spans="1:14" ht="60" customHeight="1" x14ac:dyDescent="0.35">
      <c r="A51" s="11" t="s">
        <v>251</v>
      </c>
      <c r="B51" s="1" t="s">
        <v>252</v>
      </c>
      <c r="C51" s="2" t="s">
        <v>16</v>
      </c>
      <c r="D51" s="3" t="s">
        <v>34</v>
      </c>
      <c r="E51" s="4" t="s">
        <v>18</v>
      </c>
      <c r="F51" s="4" t="s">
        <v>19</v>
      </c>
      <c r="G51" s="4" t="s">
        <v>20</v>
      </c>
      <c r="H51" s="4" t="s">
        <v>21</v>
      </c>
      <c r="I51" s="5" t="s">
        <v>21</v>
      </c>
      <c r="J51" s="1" t="s">
        <v>253</v>
      </c>
      <c r="K51" s="1" t="s">
        <v>254</v>
      </c>
      <c r="L51" s="1" t="s">
        <v>255</v>
      </c>
      <c r="M51" s="4" t="str">
        <f t="shared" si="0"/>
        <v>Outstanding</v>
      </c>
      <c r="N51" s="13" t="s">
        <v>21</v>
      </c>
    </row>
    <row r="52" spans="1:14" ht="60" customHeight="1" x14ac:dyDescent="0.35">
      <c r="A52" s="11" t="s">
        <v>256</v>
      </c>
      <c r="B52" s="1" t="s">
        <v>257</v>
      </c>
      <c r="C52" s="2" t="s">
        <v>16</v>
      </c>
      <c r="D52" s="3" t="s">
        <v>34</v>
      </c>
      <c r="E52" s="4" t="s">
        <v>18</v>
      </c>
      <c r="F52" s="4" t="s">
        <v>19</v>
      </c>
      <c r="G52" s="4" t="s">
        <v>20</v>
      </c>
      <c r="H52" s="4" t="s">
        <v>21</v>
      </c>
      <c r="I52" s="5" t="s">
        <v>21</v>
      </c>
      <c r="J52" s="1" t="s">
        <v>258</v>
      </c>
      <c r="K52" s="1" t="s">
        <v>259</v>
      </c>
      <c r="L52" s="1" t="s">
        <v>260</v>
      </c>
      <c r="M52" s="4" t="str">
        <f t="shared" si="0"/>
        <v>Outstanding</v>
      </c>
      <c r="N52" s="13" t="s">
        <v>21</v>
      </c>
    </row>
    <row r="53" spans="1:14" ht="60" customHeight="1" x14ac:dyDescent="0.35">
      <c r="A53" s="11" t="s">
        <v>261</v>
      </c>
      <c r="B53" s="1" t="s">
        <v>262</v>
      </c>
      <c r="C53" s="2" t="s">
        <v>16</v>
      </c>
      <c r="D53" s="3" t="s">
        <v>34</v>
      </c>
      <c r="E53" s="4" t="s">
        <v>18</v>
      </c>
      <c r="F53" s="4" t="s">
        <v>19</v>
      </c>
      <c r="G53" s="4" t="s">
        <v>20</v>
      </c>
      <c r="H53" s="4" t="s">
        <v>21</v>
      </c>
      <c r="I53" s="5" t="s">
        <v>21</v>
      </c>
      <c r="J53" s="1" t="s">
        <v>263</v>
      </c>
      <c r="K53" s="1" t="s">
        <v>264</v>
      </c>
      <c r="L53" s="1" t="s">
        <v>265</v>
      </c>
      <c r="M53" s="4" t="str">
        <f t="shared" si="0"/>
        <v>Outstanding</v>
      </c>
      <c r="N53" s="13" t="s">
        <v>21</v>
      </c>
    </row>
    <row r="54" spans="1:14" ht="60" customHeight="1" x14ac:dyDescent="0.35">
      <c r="A54" s="11" t="s">
        <v>266</v>
      </c>
      <c r="B54" s="1" t="s">
        <v>267</v>
      </c>
      <c r="C54" s="2" t="s">
        <v>16</v>
      </c>
      <c r="D54" s="3" t="s">
        <v>34</v>
      </c>
      <c r="E54" s="4" t="s">
        <v>18</v>
      </c>
      <c r="F54" s="4" t="s">
        <v>19</v>
      </c>
      <c r="G54" s="4" t="s">
        <v>20</v>
      </c>
      <c r="H54" s="4" t="s">
        <v>21</v>
      </c>
      <c r="I54" s="5" t="s">
        <v>21</v>
      </c>
      <c r="J54" s="1" t="s">
        <v>268</v>
      </c>
      <c r="K54" s="1" t="s">
        <v>269</v>
      </c>
      <c r="L54" s="1" t="s">
        <v>270</v>
      </c>
      <c r="M54" s="4" t="str">
        <f t="shared" si="0"/>
        <v>Outstanding</v>
      </c>
      <c r="N54" s="13" t="s">
        <v>21</v>
      </c>
    </row>
    <row r="55" spans="1:14" ht="60" customHeight="1" x14ac:dyDescent="0.35">
      <c r="A55" s="11" t="s">
        <v>271</v>
      </c>
      <c r="B55" s="1" t="s">
        <v>272</v>
      </c>
      <c r="C55" s="2" t="s">
        <v>16</v>
      </c>
      <c r="D55" s="3" t="s">
        <v>34</v>
      </c>
      <c r="E55" s="4" t="s">
        <v>18</v>
      </c>
      <c r="F55" s="4" t="s">
        <v>19</v>
      </c>
      <c r="G55" s="4" t="s">
        <v>20</v>
      </c>
      <c r="H55" s="4" t="s">
        <v>21</v>
      </c>
      <c r="I55" s="5" t="s">
        <v>21</v>
      </c>
      <c r="J55" s="1" t="s">
        <v>273</v>
      </c>
      <c r="K55" s="1" t="s">
        <v>274</v>
      </c>
      <c r="L55" s="1" t="s">
        <v>275</v>
      </c>
      <c r="M55" s="4" t="str">
        <f t="shared" si="0"/>
        <v>Outstanding</v>
      </c>
      <c r="N55" s="13" t="s">
        <v>21</v>
      </c>
    </row>
    <row r="56" spans="1:14" ht="60" customHeight="1" x14ac:dyDescent="0.35">
      <c r="A56" s="11" t="s">
        <v>276</v>
      </c>
      <c r="B56" s="1" t="s">
        <v>277</v>
      </c>
      <c r="C56" s="2" t="s">
        <v>16</v>
      </c>
      <c r="D56" s="3" t="s">
        <v>34</v>
      </c>
      <c r="E56" s="4" t="s">
        <v>18</v>
      </c>
      <c r="F56" s="4" t="s">
        <v>19</v>
      </c>
      <c r="G56" s="4" t="s">
        <v>20</v>
      </c>
      <c r="H56" s="4" t="s">
        <v>21</v>
      </c>
      <c r="I56" s="5" t="s">
        <v>21</v>
      </c>
      <c r="J56" s="1" t="s">
        <v>278</v>
      </c>
      <c r="K56" s="1" t="s">
        <v>279</v>
      </c>
      <c r="L56" s="1" t="s">
        <v>280</v>
      </c>
      <c r="M56" s="4" t="str">
        <f t="shared" si="0"/>
        <v>Outstanding</v>
      </c>
      <c r="N56" s="13" t="s">
        <v>21</v>
      </c>
    </row>
    <row r="57" spans="1:14" ht="60" customHeight="1" x14ac:dyDescent="0.35">
      <c r="A57" s="11" t="s">
        <v>281</v>
      </c>
      <c r="B57" s="1" t="s">
        <v>282</v>
      </c>
      <c r="C57" s="2" t="s">
        <v>16</v>
      </c>
      <c r="D57" s="3" t="s">
        <v>34</v>
      </c>
      <c r="E57" s="4" t="s">
        <v>18</v>
      </c>
      <c r="F57" s="4" t="s">
        <v>19</v>
      </c>
      <c r="G57" s="4" t="s">
        <v>20</v>
      </c>
      <c r="H57" s="4" t="s">
        <v>21</v>
      </c>
      <c r="I57" s="5" t="s">
        <v>21</v>
      </c>
      <c r="J57" s="1" t="s">
        <v>283</v>
      </c>
      <c r="K57" s="1" t="s">
        <v>284</v>
      </c>
      <c r="L57" s="1" t="s">
        <v>285</v>
      </c>
      <c r="M57" s="4" t="str">
        <f t="shared" si="0"/>
        <v>Outstanding</v>
      </c>
      <c r="N57" s="13" t="s">
        <v>21</v>
      </c>
    </row>
    <row r="58" spans="1:14" ht="60" customHeight="1" x14ac:dyDescent="0.35">
      <c r="A58" s="11" t="s">
        <v>286</v>
      </c>
      <c r="B58" s="1" t="s">
        <v>287</v>
      </c>
      <c r="C58" s="2" t="s">
        <v>16</v>
      </c>
      <c r="D58" s="3" t="s">
        <v>34</v>
      </c>
      <c r="E58" s="4" t="s">
        <v>18</v>
      </c>
      <c r="F58" s="4" t="s">
        <v>19</v>
      </c>
      <c r="G58" s="4" t="s">
        <v>20</v>
      </c>
      <c r="H58" s="4" t="s">
        <v>21</v>
      </c>
      <c r="I58" s="5" t="s">
        <v>21</v>
      </c>
      <c r="J58" s="1" t="s">
        <v>288</v>
      </c>
      <c r="K58" s="1" t="s">
        <v>289</v>
      </c>
      <c r="L58" s="1" t="s">
        <v>290</v>
      </c>
      <c r="M58" s="4" t="str">
        <f t="shared" si="0"/>
        <v>Outstanding</v>
      </c>
      <c r="N58" s="13" t="s">
        <v>21</v>
      </c>
    </row>
    <row r="59" spans="1:14" ht="60" customHeight="1" x14ac:dyDescent="0.35">
      <c r="A59" s="11" t="s">
        <v>291</v>
      </c>
      <c r="B59" s="1" t="s">
        <v>292</v>
      </c>
      <c r="C59" s="2" t="s">
        <v>93</v>
      </c>
      <c r="D59" s="3" t="s">
        <v>28</v>
      </c>
      <c r="E59" s="4" t="s">
        <v>18</v>
      </c>
      <c r="F59" s="4" t="s">
        <v>19</v>
      </c>
      <c r="G59" s="4" t="s">
        <v>20</v>
      </c>
      <c r="H59" s="4" t="s">
        <v>21</v>
      </c>
      <c r="I59" s="5" t="s">
        <v>21</v>
      </c>
      <c r="J59" s="1" t="s">
        <v>293</v>
      </c>
      <c r="K59" s="1" t="s">
        <v>294</v>
      </c>
      <c r="L59" s="1" t="s">
        <v>295</v>
      </c>
      <c r="M59" s="4" t="str">
        <f t="shared" si="0"/>
        <v>Outstanding</v>
      </c>
      <c r="N59" s="13" t="s">
        <v>21</v>
      </c>
    </row>
    <row r="60" spans="1:14" ht="60" customHeight="1" x14ac:dyDescent="0.35">
      <c r="A60" s="12" t="s">
        <v>296</v>
      </c>
      <c r="B60" s="6" t="s">
        <v>297</v>
      </c>
      <c r="C60" s="7" t="s">
        <v>16</v>
      </c>
      <c r="D60" s="8" t="s">
        <v>28</v>
      </c>
      <c r="E60" s="9" t="s">
        <v>18</v>
      </c>
      <c r="F60" s="9" t="s">
        <v>19</v>
      </c>
      <c r="G60" s="9" t="s">
        <v>20</v>
      </c>
      <c r="H60" s="9" t="s">
        <v>21</v>
      </c>
      <c r="I60" s="10" t="s">
        <v>21</v>
      </c>
      <c r="J60" s="6" t="s">
        <v>298</v>
      </c>
      <c r="K60" s="6" t="s">
        <v>299</v>
      </c>
      <c r="L60" s="6" t="s">
        <v>300</v>
      </c>
      <c r="M60" s="9" t="str">
        <f t="shared" si="0"/>
        <v>Outstanding</v>
      </c>
      <c r="N60" s="14" t="s">
        <v>21</v>
      </c>
    </row>
    <row r="64" spans="1:14" ht="32" customHeight="1" x14ac:dyDescent="0.35">
      <c r="A64" s="81" t="s">
        <v>301</v>
      </c>
      <c r="B64" s="81"/>
      <c r="C64" s="81"/>
      <c r="D64" s="81"/>
    </row>
  </sheetData>
  <mergeCells count="1">
    <mergeCell ref="A64:D64"/>
  </mergeCells>
  <conditionalFormatting sqref="C2:C60">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6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6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6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60" xr:uid="{00000000-0002-0000-0200-000000000000}">
      <formula1>"Must,Should,Could,Won't,Unassigned"</formula1>
    </dataValidation>
    <dataValidation type="list" showErrorMessage="1" errorTitle="Invalid Value" error="Please select a value from the list: Low, Medium, High, Unassessed." sqref="F2:F60" xr:uid="{00000000-0002-0000-0200-000001000000}">
      <formula1>"Low,Medium,High,Unassessed"</formula1>
    </dataValidation>
    <dataValidation type="list" showErrorMessage="1" errorTitle="Invalid Value" error="Please select a value from the list: Phase1, Phase2, Phase3, Phase4, Phase5, Pending." sqref="G2:G6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60" xr:uid="{00000000-0002-0000-0200-000003000000}">
      <formula1>"Implemented,Testing,Failed,Compensated,Risk Accepted,N/A"</formula1>
    </dataValidation>
  </dataValidations>
  <hyperlinks>
    <hyperlink ref="A6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430</v>
      </c>
      <c r="C2" s="98" t="s">
        <v>430</v>
      </c>
      <c r="D2" s="98" t="s">
        <v>430</v>
      </c>
      <c r="E2" s="98" t="s">
        <v>430</v>
      </c>
      <c r="F2" s="98" t="s">
        <v>430</v>
      </c>
      <c r="G2" s="98" t="s">
        <v>430</v>
      </c>
      <c r="H2" s="102" t="s">
        <v>431</v>
      </c>
      <c r="I2" s="102" t="s">
        <v>431</v>
      </c>
      <c r="J2" s="102" t="s">
        <v>431</v>
      </c>
      <c r="K2" s="102" t="s">
        <v>431</v>
      </c>
      <c r="L2" s="102" t="s">
        <v>431</v>
      </c>
      <c r="M2" s="101" t="s">
        <v>432</v>
      </c>
      <c r="N2" s="101" t="s">
        <v>432</v>
      </c>
      <c r="O2" s="103" t="s">
        <v>433</v>
      </c>
      <c r="P2" s="103" t="s">
        <v>433</v>
      </c>
      <c r="Q2" s="99" t="s">
        <v>12</v>
      </c>
      <c r="R2" s="99" t="s">
        <v>12</v>
      </c>
      <c r="S2" s="99" t="s">
        <v>12</v>
      </c>
      <c r="T2" s="100" t="s">
        <v>434</v>
      </c>
    </row>
    <row r="3" spans="2:20" ht="35" customHeight="1" x14ac:dyDescent="0.35">
      <c r="B3" s="71" t="s">
        <v>435</v>
      </c>
      <c r="C3" s="71" t="s">
        <v>436</v>
      </c>
      <c r="D3" s="71" t="s">
        <v>437</v>
      </c>
      <c r="E3" s="71" t="s">
        <v>438</v>
      </c>
      <c r="F3" s="71" t="s">
        <v>439</v>
      </c>
      <c r="G3" s="71" t="s">
        <v>10</v>
      </c>
      <c r="H3" s="72" t="s">
        <v>440</v>
      </c>
      <c r="I3" s="72" t="s">
        <v>441</v>
      </c>
      <c r="J3" s="72" t="s">
        <v>442</v>
      </c>
      <c r="K3" s="72" t="s">
        <v>443</v>
      </c>
      <c r="L3" s="72" t="s">
        <v>374</v>
      </c>
      <c r="M3" s="73" t="s">
        <v>444</v>
      </c>
      <c r="N3" s="73" t="s">
        <v>445</v>
      </c>
      <c r="O3" s="74" t="s">
        <v>446</v>
      </c>
      <c r="P3" s="74" t="s">
        <v>447</v>
      </c>
      <c r="Q3" s="75" t="s">
        <v>12</v>
      </c>
      <c r="R3" s="75" t="s">
        <v>448</v>
      </c>
      <c r="S3" s="75" t="s">
        <v>449</v>
      </c>
      <c r="T3" s="76" t="s">
        <v>450</v>
      </c>
    </row>
    <row r="4" spans="2:20" ht="60" customHeight="1" x14ac:dyDescent="0.35">
      <c r="B4" s="77" t="s">
        <v>451</v>
      </c>
      <c r="C4" s="77" t="s">
        <v>452</v>
      </c>
      <c r="D4" s="77" t="s">
        <v>453</v>
      </c>
      <c r="E4" s="77" t="s">
        <v>454</v>
      </c>
      <c r="F4" s="77" t="s">
        <v>455</v>
      </c>
      <c r="G4" s="77" t="s">
        <v>456</v>
      </c>
      <c r="H4" s="77" t="s">
        <v>457</v>
      </c>
      <c r="I4" s="77" t="s">
        <v>458</v>
      </c>
      <c r="J4" s="77" t="s">
        <v>459</v>
      </c>
      <c r="K4" s="77" t="s">
        <v>460</v>
      </c>
      <c r="L4" s="77" t="s">
        <v>461</v>
      </c>
      <c r="M4" s="77" t="s">
        <v>462</v>
      </c>
      <c r="N4" s="77" t="s">
        <v>463</v>
      </c>
      <c r="O4" s="77" t="s">
        <v>464</v>
      </c>
      <c r="P4" s="77" t="s">
        <v>465</v>
      </c>
      <c r="Q4" s="77" t="s">
        <v>466</v>
      </c>
      <c r="R4" s="77" t="s">
        <v>467</v>
      </c>
      <c r="S4" s="77" t="s">
        <v>468</v>
      </c>
      <c r="T4" s="77" t="s">
        <v>469</v>
      </c>
    </row>
    <row r="5" spans="2:20" ht="60" customHeight="1" x14ac:dyDescent="0.35">
      <c r="B5" s="39" t="s">
        <v>470</v>
      </c>
      <c r="C5" s="78"/>
      <c r="D5" s="79"/>
      <c r="E5" s="79" t="s">
        <v>21</v>
      </c>
      <c r="F5" s="79" t="str">
        <f>IF(E5&lt;&gt;"", IFERROR(VLOOKUP(E5, Dashboard!$B46:$F51, 5, FALSE), ""), "")</f>
        <v/>
      </c>
      <c r="G5" s="80"/>
      <c r="H5" s="67"/>
      <c r="I5" s="67"/>
      <c r="J5" s="80"/>
      <c r="K5" s="80"/>
      <c r="L5" s="41"/>
      <c r="M5" s="41"/>
      <c r="N5" s="80"/>
      <c r="O5" s="80"/>
      <c r="P5" s="41"/>
      <c r="Q5" s="41" t="s">
        <v>21</v>
      </c>
      <c r="R5" s="80"/>
      <c r="S5" s="67"/>
      <c r="T5" s="80"/>
    </row>
    <row r="6" spans="2:20" ht="60" customHeight="1" x14ac:dyDescent="0.35">
      <c r="B6" s="39" t="s">
        <v>471</v>
      </c>
      <c r="C6" s="78"/>
      <c r="D6" s="79"/>
      <c r="E6" s="79" t="s">
        <v>21</v>
      </c>
      <c r="F6" s="79" t="str">
        <f>IF(E6&lt;&gt;"", IFERROR(VLOOKUP(E6, Dashboard!$B46:$F51, 5, FALSE), ""), "")</f>
        <v/>
      </c>
      <c r="G6" s="80"/>
      <c r="H6" s="67"/>
      <c r="I6" s="67"/>
      <c r="J6" s="80"/>
      <c r="K6" s="80"/>
      <c r="L6" s="41"/>
      <c r="M6" s="41"/>
      <c r="N6" s="80"/>
      <c r="O6" s="80"/>
      <c r="P6" s="41"/>
      <c r="Q6" s="41" t="s">
        <v>21</v>
      </c>
      <c r="R6" s="80"/>
      <c r="S6" s="67"/>
      <c r="T6" s="80"/>
    </row>
    <row r="7" spans="2:20" ht="60" customHeight="1" x14ac:dyDescent="0.35">
      <c r="B7" s="39" t="s">
        <v>472</v>
      </c>
      <c r="C7" s="78"/>
      <c r="D7" s="79"/>
      <c r="E7" s="79" t="s">
        <v>21</v>
      </c>
      <c r="F7" s="79" t="str">
        <f>IF(E7&lt;&gt;"", IFERROR(VLOOKUP(E7, Dashboard!$B46:$F51, 5, FALSE), ""), "")</f>
        <v/>
      </c>
      <c r="G7" s="80"/>
      <c r="H7" s="67"/>
      <c r="I7" s="67"/>
      <c r="J7" s="80"/>
      <c r="K7" s="80"/>
      <c r="L7" s="41"/>
      <c r="M7" s="41"/>
      <c r="N7" s="80"/>
      <c r="O7" s="80"/>
      <c r="P7" s="41"/>
      <c r="Q7" s="41" t="s">
        <v>21</v>
      </c>
      <c r="R7" s="80"/>
      <c r="S7" s="67"/>
      <c r="T7" s="80"/>
    </row>
    <row r="8" spans="2:20" ht="60" customHeight="1" x14ac:dyDescent="0.35">
      <c r="B8" s="39" t="s">
        <v>473</v>
      </c>
      <c r="C8" s="78"/>
      <c r="D8" s="79"/>
      <c r="E8" s="79" t="s">
        <v>21</v>
      </c>
      <c r="F8" s="79" t="str">
        <f>IF(E8&lt;&gt;"", IFERROR(VLOOKUP(E8, Dashboard!$B46:$F51, 5, FALSE), ""), "")</f>
        <v/>
      </c>
      <c r="G8" s="80"/>
      <c r="H8" s="67"/>
      <c r="I8" s="67"/>
      <c r="J8" s="80"/>
      <c r="K8" s="80"/>
      <c r="L8" s="41"/>
      <c r="M8" s="41"/>
      <c r="N8" s="80"/>
      <c r="O8" s="80"/>
      <c r="P8" s="41"/>
      <c r="Q8" s="41" t="s">
        <v>21</v>
      </c>
      <c r="R8" s="80"/>
      <c r="S8" s="67"/>
      <c r="T8" s="80"/>
    </row>
    <row r="9" spans="2:20" ht="60" customHeight="1" x14ac:dyDescent="0.35">
      <c r="B9" s="39" t="s">
        <v>474</v>
      </c>
      <c r="C9" s="78"/>
      <c r="D9" s="79"/>
      <c r="E9" s="79" t="s">
        <v>21</v>
      </c>
      <c r="F9" s="79" t="str">
        <f>IF(E9&lt;&gt;"", IFERROR(VLOOKUP(E9, Dashboard!$B46:$F51, 5, FALSE), ""), "")</f>
        <v/>
      </c>
      <c r="G9" s="80"/>
      <c r="H9" s="67"/>
      <c r="I9" s="67"/>
      <c r="J9" s="80"/>
      <c r="K9" s="80"/>
      <c r="L9" s="41"/>
      <c r="M9" s="41"/>
      <c r="N9" s="80"/>
      <c r="O9" s="80"/>
      <c r="P9" s="41"/>
      <c r="Q9" s="41" t="s">
        <v>21</v>
      </c>
      <c r="R9" s="80"/>
      <c r="S9" s="67"/>
      <c r="T9" s="80"/>
    </row>
    <row r="10" spans="2:20" ht="60" customHeight="1" x14ac:dyDescent="0.35">
      <c r="B10" s="39" t="s">
        <v>475</v>
      </c>
      <c r="C10" s="78"/>
      <c r="D10" s="79"/>
      <c r="E10" s="79" t="s">
        <v>21</v>
      </c>
      <c r="F10" s="79" t="str">
        <f>IF(E10&lt;&gt;"", IFERROR(VLOOKUP(E10, Dashboard!$B46:$F51, 5, FALSE), ""), "")</f>
        <v/>
      </c>
      <c r="G10" s="80"/>
      <c r="H10" s="67"/>
      <c r="I10" s="67"/>
      <c r="J10" s="80"/>
      <c r="K10" s="80"/>
      <c r="L10" s="41"/>
      <c r="M10" s="41"/>
      <c r="N10" s="80"/>
      <c r="O10" s="80"/>
      <c r="P10" s="41"/>
      <c r="Q10" s="41" t="s">
        <v>21</v>
      </c>
      <c r="R10" s="80"/>
      <c r="S10" s="67"/>
      <c r="T10" s="80"/>
    </row>
    <row r="11" spans="2:20" ht="60" customHeight="1" x14ac:dyDescent="0.35">
      <c r="B11" s="39" t="s">
        <v>476</v>
      </c>
      <c r="C11" s="78"/>
      <c r="D11" s="79"/>
      <c r="E11" s="79" t="s">
        <v>21</v>
      </c>
      <c r="F11" s="79" t="str">
        <f>IF(E11&lt;&gt;"", IFERROR(VLOOKUP(E11, Dashboard!$B46:$F51, 5, FALSE), ""), "")</f>
        <v/>
      </c>
      <c r="G11" s="80"/>
      <c r="H11" s="67"/>
      <c r="I11" s="67"/>
      <c r="J11" s="80"/>
      <c r="K11" s="80"/>
      <c r="L11" s="41"/>
      <c r="M11" s="41"/>
      <c r="N11" s="80"/>
      <c r="O11" s="80"/>
      <c r="P11" s="41"/>
      <c r="Q11" s="41" t="s">
        <v>21</v>
      </c>
      <c r="R11" s="80"/>
      <c r="S11" s="67"/>
      <c r="T11" s="80"/>
    </row>
    <row r="12" spans="2:20" ht="60" customHeight="1" x14ac:dyDescent="0.35">
      <c r="B12" s="39" t="s">
        <v>477</v>
      </c>
      <c r="C12" s="78"/>
      <c r="D12" s="79"/>
      <c r="E12" s="79" t="s">
        <v>21</v>
      </c>
      <c r="F12" s="79" t="str">
        <f>IF(E12&lt;&gt;"", IFERROR(VLOOKUP(E12, Dashboard!$B46:$F51, 5, FALSE), ""), "")</f>
        <v/>
      </c>
      <c r="G12" s="80"/>
      <c r="H12" s="67"/>
      <c r="I12" s="67"/>
      <c r="J12" s="80"/>
      <c r="K12" s="80"/>
      <c r="L12" s="41"/>
      <c r="M12" s="41"/>
      <c r="N12" s="80"/>
      <c r="O12" s="80"/>
      <c r="P12" s="41"/>
      <c r="Q12" s="41" t="s">
        <v>21</v>
      </c>
      <c r="R12" s="80"/>
      <c r="S12" s="67"/>
      <c r="T12" s="80"/>
    </row>
    <row r="13" spans="2:20" ht="60" customHeight="1" x14ac:dyDescent="0.35">
      <c r="B13" s="39" t="s">
        <v>478</v>
      </c>
      <c r="C13" s="78"/>
      <c r="D13" s="79"/>
      <c r="E13" s="79" t="s">
        <v>21</v>
      </c>
      <c r="F13" s="79" t="str">
        <f>IF(E13&lt;&gt;"", IFERROR(VLOOKUP(E13, Dashboard!$B46:$F51, 5, FALSE), ""), "")</f>
        <v/>
      </c>
      <c r="G13" s="80"/>
      <c r="H13" s="67"/>
      <c r="I13" s="67"/>
      <c r="J13" s="80"/>
      <c r="K13" s="80"/>
      <c r="L13" s="41"/>
      <c r="M13" s="41"/>
      <c r="N13" s="80"/>
      <c r="O13" s="80"/>
      <c r="P13" s="41"/>
      <c r="Q13" s="41" t="s">
        <v>21</v>
      </c>
      <c r="R13" s="80"/>
      <c r="S13" s="67"/>
      <c r="T13" s="80"/>
    </row>
    <row r="14" spans="2:20" ht="60" customHeight="1" x14ac:dyDescent="0.35">
      <c r="B14" s="39" t="s">
        <v>479</v>
      </c>
      <c r="C14" s="78"/>
      <c r="D14" s="79"/>
      <c r="E14" s="79" t="s">
        <v>21</v>
      </c>
      <c r="F14" s="79" t="str">
        <f>IF(E14&lt;&gt;"", IFERROR(VLOOKUP(E14, Dashboard!$B46:$F51, 5, FALSE), ""), "")</f>
        <v/>
      </c>
      <c r="G14" s="80"/>
      <c r="H14" s="67"/>
      <c r="I14" s="67"/>
      <c r="J14" s="80"/>
      <c r="K14" s="80"/>
      <c r="L14" s="41"/>
      <c r="M14" s="41"/>
      <c r="N14" s="80"/>
      <c r="O14" s="80"/>
      <c r="P14" s="41"/>
      <c r="Q14" s="41" t="s">
        <v>21</v>
      </c>
      <c r="R14" s="80"/>
      <c r="S14" s="67"/>
      <c r="T14" s="80"/>
    </row>
    <row r="15" spans="2:20" ht="60" customHeight="1" x14ac:dyDescent="0.35">
      <c r="B15" s="39" t="s">
        <v>480</v>
      </c>
      <c r="C15" s="78"/>
      <c r="D15" s="79"/>
      <c r="E15" s="79" t="s">
        <v>21</v>
      </c>
      <c r="F15" s="79" t="str">
        <f>IF(E15&lt;&gt;"", IFERROR(VLOOKUP(E15, Dashboard!$B46:$F51, 5, FALSE), ""), "")</f>
        <v/>
      </c>
      <c r="G15" s="80"/>
      <c r="H15" s="67"/>
      <c r="I15" s="67"/>
      <c r="J15" s="80"/>
      <c r="K15" s="80"/>
      <c r="L15" s="41"/>
      <c r="M15" s="41"/>
      <c r="N15" s="80"/>
      <c r="O15" s="80"/>
      <c r="P15" s="41"/>
      <c r="Q15" s="41" t="s">
        <v>21</v>
      </c>
      <c r="R15" s="80"/>
      <c r="S15" s="67"/>
      <c r="T15" s="80"/>
    </row>
    <row r="16" spans="2:20" ht="60" customHeight="1" x14ac:dyDescent="0.35">
      <c r="B16" s="39" t="s">
        <v>481</v>
      </c>
      <c r="C16" s="78"/>
      <c r="D16" s="79"/>
      <c r="E16" s="79" t="s">
        <v>21</v>
      </c>
      <c r="F16" s="79" t="str">
        <f>IF(E16&lt;&gt;"", IFERROR(VLOOKUP(E16, Dashboard!$B46:$F51, 5, FALSE), ""), "")</f>
        <v/>
      </c>
      <c r="G16" s="80"/>
      <c r="H16" s="67"/>
      <c r="I16" s="67"/>
      <c r="J16" s="80"/>
      <c r="K16" s="80"/>
      <c r="L16" s="41"/>
      <c r="M16" s="41"/>
      <c r="N16" s="80"/>
      <c r="O16" s="80"/>
      <c r="P16" s="41"/>
      <c r="Q16" s="41" t="s">
        <v>21</v>
      </c>
      <c r="R16" s="80"/>
      <c r="S16" s="67"/>
      <c r="T16" s="80"/>
    </row>
    <row r="17" spans="2:20" ht="60" customHeight="1" x14ac:dyDescent="0.35">
      <c r="B17" s="39" t="s">
        <v>482</v>
      </c>
      <c r="C17" s="78"/>
      <c r="D17" s="79"/>
      <c r="E17" s="79" t="s">
        <v>21</v>
      </c>
      <c r="F17" s="79" t="str">
        <f>IF(E17&lt;&gt;"", IFERROR(VLOOKUP(E17, Dashboard!$B46:$F51, 5, FALSE), ""), "")</f>
        <v/>
      </c>
      <c r="G17" s="80"/>
      <c r="H17" s="67"/>
      <c r="I17" s="67"/>
      <c r="J17" s="80"/>
      <c r="K17" s="80"/>
      <c r="L17" s="41"/>
      <c r="M17" s="41"/>
      <c r="N17" s="80"/>
      <c r="O17" s="80"/>
      <c r="P17" s="41"/>
      <c r="Q17" s="41" t="s">
        <v>21</v>
      </c>
      <c r="R17" s="80"/>
      <c r="S17" s="67"/>
      <c r="T17" s="80"/>
    </row>
    <row r="18" spans="2:20" ht="60" customHeight="1" x14ac:dyDescent="0.35">
      <c r="B18" s="39" t="s">
        <v>483</v>
      </c>
      <c r="C18" s="78"/>
      <c r="D18" s="79"/>
      <c r="E18" s="79" t="s">
        <v>21</v>
      </c>
      <c r="F18" s="79" t="str">
        <f>IF(E18&lt;&gt;"", IFERROR(VLOOKUP(E18, Dashboard!$B46:$F51, 5, FALSE), ""), "")</f>
        <v/>
      </c>
      <c r="G18" s="80"/>
      <c r="H18" s="67"/>
      <c r="I18" s="67"/>
      <c r="J18" s="80"/>
      <c r="K18" s="80"/>
      <c r="L18" s="41"/>
      <c r="M18" s="41"/>
      <c r="N18" s="80"/>
      <c r="O18" s="80"/>
      <c r="P18" s="41"/>
      <c r="Q18" s="41" t="s">
        <v>21</v>
      </c>
      <c r="R18" s="80"/>
      <c r="S18" s="67"/>
      <c r="T18" s="80"/>
    </row>
    <row r="19" spans="2:20" ht="60" customHeight="1" x14ac:dyDescent="0.35">
      <c r="B19" s="39" t="s">
        <v>484</v>
      </c>
      <c r="C19" s="78"/>
      <c r="D19" s="79"/>
      <c r="E19" s="79" t="s">
        <v>21</v>
      </c>
      <c r="F19" s="79" t="str">
        <f>IF(E19&lt;&gt;"", IFERROR(VLOOKUP(E19, Dashboard!$B46:$F51, 5, FALSE), ""), "")</f>
        <v/>
      </c>
      <c r="G19" s="80"/>
      <c r="H19" s="67"/>
      <c r="I19" s="67"/>
      <c r="J19" s="80"/>
      <c r="K19" s="80"/>
      <c r="L19" s="41"/>
      <c r="M19" s="41"/>
      <c r="N19" s="80"/>
      <c r="O19" s="80"/>
      <c r="P19" s="41"/>
      <c r="Q19" s="41" t="s">
        <v>21</v>
      </c>
      <c r="R19" s="80"/>
      <c r="S19" s="67"/>
      <c r="T19" s="80"/>
    </row>
    <row r="20" spans="2:20" ht="60" customHeight="1" x14ac:dyDescent="0.35">
      <c r="B20" s="39" t="s">
        <v>485</v>
      </c>
      <c r="C20" s="78"/>
      <c r="D20" s="79"/>
      <c r="E20" s="79" t="s">
        <v>21</v>
      </c>
      <c r="F20" s="79" t="str">
        <f>IF(E20&lt;&gt;"", IFERROR(VLOOKUP(E20, Dashboard!$B46:$F51, 5, FALSE), ""), "")</f>
        <v/>
      </c>
      <c r="G20" s="80"/>
      <c r="H20" s="67"/>
      <c r="I20" s="67"/>
      <c r="J20" s="80"/>
      <c r="K20" s="80"/>
      <c r="L20" s="41"/>
      <c r="M20" s="41"/>
      <c r="N20" s="80"/>
      <c r="O20" s="80"/>
      <c r="P20" s="41"/>
      <c r="Q20" s="41" t="s">
        <v>21</v>
      </c>
      <c r="R20" s="80"/>
      <c r="S20" s="67"/>
      <c r="T20" s="80"/>
    </row>
    <row r="21" spans="2:20" ht="60" customHeight="1" x14ac:dyDescent="0.35">
      <c r="B21" s="39" t="s">
        <v>486</v>
      </c>
      <c r="C21" s="78"/>
      <c r="D21" s="79"/>
      <c r="E21" s="79" t="s">
        <v>21</v>
      </c>
      <c r="F21" s="79" t="str">
        <f>IF(E21&lt;&gt;"", IFERROR(VLOOKUP(E21, Dashboard!$B46:$F51, 5, FALSE), ""), "")</f>
        <v/>
      </c>
      <c r="G21" s="80"/>
      <c r="H21" s="67"/>
      <c r="I21" s="67"/>
      <c r="J21" s="80"/>
      <c r="K21" s="80"/>
      <c r="L21" s="41"/>
      <c r="M21" s="41"/>
      <c r="N21" s="80"/>
      <c r="O21" s="80"/>
      <c r="P21" s="41"/>
      <c r="Q21" s="41" t="s">
        <v>21</v>
      </c>
      <c r="R21" s="80"/>
      <c r="S21" s="67"/>
      <c r="T21" s="80"/>
    </row>
    <row r="22" spans="2:20" ht="60" customHeight="1" x14ac:dyDescent="0.35">
      <c r="B22" s="39" t="s">
        <v>487</v>
      </c>
      <c r="C22" s="78"/>
      <c r="D22" s="79"/>
      <c r="E22" s="79" t="s">
        <v>21</v>
      </c>
      <c r="F22" s="79" t="str">
        <f>IF(E22&lt;&gt;"", IFERROR(VLOOKUP(E22, Dashboard!$B46:$F51, 5, FALSE), ""), "")</f>
        <v/>
      </c>
      <c r="G22" s="80"/>
      <c r="H22" s="67"/>
      <c r="I22" s="67"/>
      <c r="J22" s="80"/>
      <c r="K22" s="80"/>
      <c r="L22" s="41"/>
      <c r="M22" s="41"/>
      <c r="N22" s="80"/>
      <c r="O22" s="80"/>
      <c r="P22" s="41"/>
      <c r="Q22" s="41" t="s">
        <v>21</v>
      </c>
      <c r="R22" s="80"/>
      <c r="S22" s="67"/>
      <c r="T22" s="80"/>
    </row>
    <row r="23" spans="2:20" ht="60" customHeight="1" x14ac:dyDescent="0.35">
      <c r="B23" s="39" t="s">
        <v>488</v>
      </c>
      <c r="C23" s="78"/>
      <c r="D23" s="79"/>
      <c r="E23" s="79" t="s">
        <v>21</v>
      </c>
      <c r="F23" s="79" t="str">
        <f>IF(E23&lt;&gt;"", IFERROR(VLOOKUP(E23, Dashboard!$B46:$F51, 5, FALSE), ""), "")</f>
        <v/>
      </c>
      <c r="G23" s="80"/>
      <c r="H23" s="67"/>
      <c r="I23" s="67"/>
      <c r="J23" s="80"/>
      <c r="K23" s="80"/>
      <c r="L23" s="41"/>
      <c r="M23" s="41"/>
      <c r="N23" s="80"/>
      <c r="O23" s="80"/>
      <c r="P23" s="41"/>
      <c r="Q23" s="41" t="s">
        <v>21</v>
      </c>
      <c r="R23" s="80"/>
      <c r="S23" s="67"/>
      <c r="T23" s="80"/>
    </row>
    <row r="24" spans="2:20" ht="60" customHeight="1" x14ac:dyDescent="0.35">
      <c r="B24" s="39" t="s">
        <v>489</v>
      </c>
      <c r="C24" s="78"/>
      <c r="D24" s="79"/>
      <c r="E24" s="79" t="s">
        <v>21</v>
      </c>
      <c r="F24" s="79" t="str">
        <f>IF(E24&lt;&gt;"", IFERROR(VLOOKUP(E24, Dashboard!$B46:$F51, 5, FALSE), ""), "")</f>
        <v/>
      </c>
      <c r="G24" s="80"/>
      <c r="H24" s="67"/>
      <c r="I24" s="67"/>
      <c r="J24" s="80"/>
      <c r="K24" s="80"/>
      <c r="L24" s="41"/>
      <c r="M24" s="41"/>
      <c r="N24" s="80"/>
      <c r="O24" s="80"/>
      <c r="P24" s="41"/>
      <c r="Q24" s="41" t="s">
        <v>21</v>
      </c>
      <c r="R24" s="80"/>
      <c r="S24" s="67"/>
      <c r="T24" s="80"/>
    </row>
    <row r="25" spans="2:20" ht="60" customHeight="1" x14ac:dyDescent="0.35">
      <c r="B25" s="39" t="s">
        <v>490</v>
      </c>
      <c r="C25" s="78"/>
      <c r="D25" s="79"/>
      <c r="E25" s="79" t="s">
        <v>21</v>
      </c>
      <c r="F25" s="79" t="str">
        <f>IF(E25&lt;&gt;"", IFERROR(VLOOKUP(E25, Dashboard!$B46:$F51, 5, FALSE), ""), "")</f>
        <v/>
      </c>
      <c r="G25" s="80"/>
      <c r="H25" s="67"/>
      <c r="I25" s="67"/>
      <c r="J25" s="80"/>
      <c r="K25" s="80"/>
      <c r="L25" s="41"/>
      <c r="M25" s="41"/>
      <c r="N25" s="80"/>
      <c r="O25" s="80"/>
      <c r="P25" s="41"/>
      <c r="Q25" s="41" t="s">
        <v>21</v>
      </c>
      <c r="R25" s="80"/>
      <c r="S25" s="67"/>
      <c r="T25" s="80"/>
    </row>
    <row r="26" spans="2:20" ht="60" customHeight="1" x14ac:dyDescent="0.35">
      <c r="B26" s="39" t="s">
        <v>491</v>
      </c>
      <c r="C26" s="78"/>
      <c r="D26" s="79"/>
      <c r="E26" s="79" t="s">
        <v>21</v>
      </c>
      <c r="F26" s="79" t="str">
        <f>IF(E26&lt;&gt;"", IFERROR(VLOOKUP(E26, Dashboard!$B46:$F51, 5, FALSE), ""), "")</f>
        <v/>
      </c>
      <c r="G26" s="80"/>
      <c r="H26" s="67"/>
      <c r="I26" s="67"/>
      <c r="J26" s="80"/>
      <c r="K26" s="80"/>
      <c r="L26" s="41"/>
      <c r="M26" s="41"/>
      <c r="N26" s="80"/>
      <c r="O26" s="80"/>
      <c r="P26" s="41"/>
      <c r="Q26" s="41" t="s">
        <v>21</v>
      </c>
      <c r="R26" s="80"/>
      <c r="S26" s="67"/>
      <c r="T26" s="80"/>
    </row>
    <row r="27" spans="2:20" ht="60" customHeight="1" x14ac:dyDescent="0.35">
      <c r="B27" s="39" t="s">
        <v>492</v>
      </c>
      <c r="C27" s="78"/>
      <c r="D27" s="79"/>
      <c r="E27" s="79" t="s">
        <v>21</v>
      </c>
      <c r="F27" s="79" t="str">
        <f>IF(E27&lt;&gt;"", IFERROR(VLOOKUP(E27, Dashboard!$B46:$F51, 5, FALSE), ""), "")</f>
        <v/>
      </c>
      <c r="G27" s="80"/>
      <c r="H27" s="67"/>
      <c r="I27" s="67"/>
      <c r="J27" s="80"/>
      <c r="K27" s="80"/>
      <c r="L27" s="41"/>
      <c r="M27" s="41"/>
      <c r="N27" s="80"/>
      <c r="O27" s="80"/>
      <c r="P27" s="41"/>
      <c r="Q27" s="41" t="s">
        <v>21</v>
      </c>
      <c r="R27" s="80"/>
      <c r="S27" s="67"/>
      <c r="T27" s="80"/>
    </row>
    <row r="28" spans="2:20" ht="60" customHeight="1" x14ac:dyDescent="0.35">
      <c r="B28" s="39" t="s">
        <v>493</v>
      </c>
      <c r="C28" s="78"/>
      <c r="D28" s="79"/>
      <c r="E28" s="79" t="s">
        <v>21</v>
      </c>
      <c r="F28" s="79" t="str">
        <f>IF(E28&lt;&gt;"", IFERROR(VLOOKUP(E28, Dashboard!$B46:$F51, 5, FALSE), ""), "")</f>
        <v/>
      </c>
      <c r="G28" s="80"/>
      <c r="H28" s="67"/>
      <c r="I28" s="67"/>
      <c r="J28" s="80"/>
      <c r="K28" s="80"/>
      <c r="L28" s="41"/>
      <c r="M28" s="41"/>
      <c r="N28" s="80"/>
      <c r="O28" s="80"/>
      <c r="P28" s="41"/>
      <c r="Q28" s="41" t="s">
        <v>21</v>
      </c>
      <c r="R28" s="80"/>
      <c r="S28" s="67"/>
      <c r="T28" s="80"/>
    </row>
    <row r="29" spans="2:20" ht="60" customHeight="1" x14ac:dyDescent="0.35">
      <c r="B29" s="39" t="s">
        <v>494</v>
      </c>
      <c r="C29" s="78"/>
      <c r="D29" s="79"/>
      <c r="E29" s="79" t="s">
        <v>21</v>
      </c>
      <c r="F29" s="79" t="str">
        <f>IF(E29&lt;&gt;"", IFERROR(VLOOKUP(E29, Dashboard!$B46:$F51, 5, FALSE), ""), "")</f>
        <v/>
      </c>
      <c r="G29" s="80"/>
      <c r="H29" s="67"/>
      <c r="I29" s="67"/>
      <c r="J29" s="80"/>
      <c r="K29" s="80"/>
      <c r="L29" s="41"/>
      <c r="M29" s="41"/>
      <c r="N29" s="80"/>
      <c r="O29" s="80"/>
      <c r="P29" s="41"/>
      <c r="Q29" s="41" t="s">
        <v>21</v>
      </c>
      <c r="R29" s="80"/>
      <c r="S29" s="67"/>
      <c r="T29" s="80"/>
    </row>
    <row r="30" spans="2:20" ht="60" customHeight="1" x14ac:dyDescent="0.35">
      <c r="B30" s="39" t="s">
        <v>495</v>
      </c>
      <c r="C30" s="78"/>
      <c r="D30" s="79"/>
      <c r="E30" s="79" t="s">
        <v>21</v>
      </c>
      <c r="F30" s="79" t="str">
        <f>IF(E30&lt;&gt;"", IFERROR(VLOOKUP(E30, Dashboard!$B46:$F51, 5, FALSE), ""), "")</f>
        <v/>
      </c>
      <c r="G30" s="80"/>
      <c r="H30" s="67"/>
      <c r="I30" s="67"/>
      <c r="J30" s="80"/>
      <c r="K30" s="80"/>
      <c r="L30" s="41"/>
      <c r="M30" s="41"/>
      <c r="N30" s="80"/>
      <c r="O30" s="80"/>
      <c r="P30" s="41"/>
      <c r="Q30" s="41" t="s">
        <v>21</v>
      </c>
      <c r="R30" s="80"/>
      <c r="S30" s="67"/>
      <c r="T30" s="80"/>
    </row>
    <row r="31" spans="2:20" ht="60" customHeight="1" x14ac:dyDescent="0.35">
      <c r="B31" s="39" t="s">
        <v>496</v>
      </c>
      <c r="C31" s="78"/>
      <c r="D31" s="79"/>
      <c r="E31" s="79" t="s">
        <v>21</v>
      </c>
      <c r="F31" s="79" t="str">
        <f>IF(E31&lt;&gt;"", IFERROR(VLOOKUP(E31, Dashboard!$B46:$F51, 5, FALSE), ""), "")</f>
        <v/>
      </c>
      <c r="G31" s="80"/>
      <c r="H31" s="67"/>
      <c r="I31" s="67"/>
      <c r="J31" s="80"/>
      <c r="K31" s="80"/>
      <c r="L31" s="41"/>
      <c r="M31" s="41"/>
      <c r="N31" s="80"/>
      <c r="O31" s="80"/>
      <c r="P31" s="41"/>
      <c r="Q31" s="41" t="s">
        <v>21</v>
      </c>
      <c r="R31" s="80"/>
      <c r="S31" s="67"/>
      <c r="T31" s="80"/>
    </row>
    <row r="32" spans="2:20" ht="60" customHeight="1" x14ac:dyDescent="0.35">
      <c r="B32" s="39" t="s">
        <v>497</v>
      </c>
      <c r="C32" s="78"/>
      <c r="D32" s="79"/>
      <c r="E32" s="79" t="s">
        <v>21</v>
      </c>
      <c r="F32" s="79" t="str">
        <f>IF(E32&lt;&gt;"", IFERROR(VLOOKUP(E32, Dashboard!$B46:$F51, 5, FALSE), ""), "")</f>
        <v/>
      </c>
      <c r="G32" s="80"/>
      <c r="H32" s="67"/>
      <c r="I32" s="67"/>
      <c r="J32" s="80"/>
      <c r="K32" s="80"/>
      <c r="L32" s="41"/>
      <c r="M32" s="41"/>
      <c r="N32" s="80"/>
      <c r="O32" s="80"/>
      <c r="P32" s="41"/>
      <c r="Q32" s="41" t="s">
        <v>21</v>
      </c>
      <c r="R32" s="80"/>
      <c r="S32" s="67"/>
      <c r="T32" s="80"/>
    </row>
    <row r="33" spans="2:20" ht="60" customHeight="1" x14ac:dyDescent="0.35">
      <c r="B33" s="39" t="s">
        <v>498</v>
      </c>
      <c r="C33" s="78"/>
      <c r="D33" s="79"/>
      <c r="E33" s="79" t="s">
        <v>21</v>
      </c>
      <c r="F33" s="79" t="str">
        <f>IF(E33&lt;&gt;"", IFERROR(VLOOKUP(E33, Dashboard!$B46:$F51, 5, FALSE), ""), "")</f>
        <v/>
      </c>
      <c r="G33" s="80"/>
      <c r="H33" s="67"/>
      <c r="I33" s="67"/>
      <c r="J33" s="80"/>
      <c r="K33" s="80"/>
      <c r="L33" s="41"/>
      <c r="M33" s="41"/>
      <c r="N33" s="80"/>
      <c r="O33" s="80"/>
      <c r="P33" s="41"/>
      <c r="Q33" s="41" t="s">
        <v>21</v>
      </c>
      <c r="R33" s="80"/>
      <c r="S33" s="67"/>
      <c r="T33" s="80"/>
    </row>
    <row r="34" spans="2:20" ht="60" customHeight="1" x14ac:dyDescent="0.35">
      <c r="B34" s="39" t="s">
        <v>499</v>
      </c>
      <c r="C34" s="78"/>
      <c r="D34" s="79"/>
      <c r="E34" s="79" t="s">
        <v>21</v>
      </c>
      <c r="F34" s="79" t="str">
        <f>IF(E34&lt;&gt;"", IFERROR(VLOOKUP(E34, Dashboard!$B46:$F51, 5, FALSE), ""), "")</f>
        <v/>
      </c>
      <c r="G34" s="80"/>
      <c r="H34" s="67"/>
      <c r="I34" s="67"/>
      <c r="J34" s="80"/>
      <c r="K34" s="80"/>
      <c r="L34" s="41"/>
      <c r="M34" s="41"/>
      <c r="N34" s="80"/>
      <c r="O34" s="80"/>
      <c r="P34" s="41"/>
      <c r="Q34" s="41" t="s">
        <v>21</v>
      </c>
      <c r="R34" s="80"/>
      <c r="S34" s="67"/>
      <c r="T34" s="80"/>
    </row>
    <row r="35" spans="2:20" ht="60" customHeight="1" x14ac:dyDescent="0.35">
      <c r="B35" s="39" t="s">
        <v>500</v>
      </c>
      <c r="C35" s="78"/>
      <c r="D35" s="79"/>
      <c r="E35" s="79" t="s">
        <v>21</v>
      </c>
      <c r="F35" s="79" t="str">
        <f>IF(E35&lt;&gt;"", IFERROR(VLOOKUP(E35, Dashboard!$B46:$F51, 5, FALSE), ""), "")</f>
        <v/>
      </c>
      <c r="G35" s="80"/>
      <c r="H35" s="67"/>
      <c r="I35" s="67"/>
      <c r="J35" s="80"/>
      <c r="K35" s="80"/>
      <c r="L35" s="41"/>
      <c r="M35" s="41"/>
      <c r="N35" s="80"/>
      <c r="O35" s="80"/>
      <c r="P35" s="41"/>
      <c r="Q35" s="41" t="s">
        <v>21</v>
      </c>
      <c r="R35" s="80"/>
      <c r="S35" s="67"/>
      <c r="T35" s="80"/>
    </row>
    <row r="36" spans="2:20" ht="60" customHeight="1" x14ac:dyDescent="0.35">
      <c r="B36" s="39" t="s">
        <v>501</v>
      </c>
      <c r="C36" s="78"/>
      <c r="D36" s="79"/>
      <c r="E36" s="79" t="s">
        <v>21</v>
      </c>
      <c r="F36" s="79" t="str">
        <f>IF(E36&lt;&gt;"", IFERROR(VLOOKUP(E36, Dashboard!$B46:$F51, 5, FALSE), ""), "")</f>
        <v/>
      </c>
      <c r="G36" s="80"/>
      <c r="H36" s="67"/>
      <c r="I36" s="67"/>
      <c r="J36" s="80"/>
      <c r="K36" s="80"/>
      <c r="L36" s="41"/>
      <c r="M36" s="41"/>
      <c r="N36" s="80"/>
      <c r="O36" s="80"/>
      <c r="P36" s="41"/>
      <c r="Q36" s="41" t="s">
        <v>21</v>
      </c>
      <c r="R36" s="80"/>
      <c r="S36" s="67"/>
      <c r="T36" s="80"/>
    </row>
    <row r="37" spans="2:20" ht="60" customHeight="1" x14ac:dyDescent="0.35">
      <c r="B37" s="39" t="s">
        <v>502</v>
      </c>
      <c r="C37" s="78"/>
      <c r="D37" s="79"/>
      <c r="E37" s="79" t="s">
        <v>21</v>
      </c>
      <c r="F37" s="79" t="str">
        <f>IF(E37&lt;&gt;"", IFERROR(VLOOKUP(E37, Dashboard!$B46:$F51, 5, FALSE), ""), "")</f>
        <v/>
      </c>
      <c r="G37" s="80"/>
      <c r="H37" s="67"/>
      <c r="I37" s="67"/>
      <c r="J37" s="80"/>
      <c r="K37" s="80"/>
      <c r="L37" s="41"/>
      <c r="M37" s="41"/>
      <c r="N37" s="80"/>
      <c r="O37" s="80"/>
      <c r="P37" s="41"/>
      <c r="Q37" s="41" t="s">
        <v>21</v>
      </c>
      <c r="R37" s="80"/>
      <c r="S37" s="67"/>
      <c r="T37" s="80"/>
    </row>
    <row r="38" spans="2:20" ht="60" customHeight="1" x14ac:dyDescent="0.35">
      <c r="B38" s="39" t="s">
        <v>503</v>
      </c>
      <c r="C38" s="78"/>
      <c r="D38" s="79"/>
      <c r="E38" s="79" t="s">
        <v>21</v>
      </c>
      <c r="F38" s="79" t="str">
        <f>IF(E38&lt;&gt;"", IFERROR(VLOOKUP(E38, Dashboard!$B46:$F51, 5, FALSE), ""), "")</f>
        <v/>
      </c>
      <c r="G38" s="80"/>
      <c r="H38" s="67"/>
      <c r="I38" s="67"/>
      <c r="J38" s="80"/>
      <c r="K38" s="80"/>
      <c r="L38" s="41"/>
      <c r="M38" s="41"/>
      <c r="N38" s="80"/>
      <c r="O38" s="80"/>
      <c r="P38" s="41"/>
      <c r="Q38" s="41" t="s">
        <v>21</v>
      </c>
      <c r="R38" s="80"/>
      <c r="S38" s="67"/>
      <c r="T38" s="80"/>
    </row>
    <row r="39" spans="2:20" ht="60" customHeight="1" x14ac:dyDescent="0.35">
      <c r="B39" s="39" t="s">
        <v>504</v>
      </c>
      <c r="C39" s="78"/>
      <c r="D39" s="79"/>
      <c r="E39" s="79" t="s">
        <v>21</v>
      </c>
      <c r="F39" s="79" t="str">
        <f>IF(E39&lt;&gt;"", IFERROR(VLOOKUP(E39, Dashboard!$B46:$F51, 5, FALSE), ""), "")</f>
        <v/>
      </c>
      <c r="G39" s="80"/>
      <c r="H39" s="67"/>
      <c r="I39" s="67"/>
      <c r="J39" s="80"/>
      <c r="K39" s="80"/>
      <c r="L39" s="41"/>
      <c r="M39" s="41"/>
      <c r="N39" s="80"/>
      <c r="O39" s="80"/>
      <c r="P39" s="41"/>
      <c r="Q39" s="41" t="s">
        <v>21</v>
      </c>
      <c r="R39" s="80"/>
      <c r="S39" s="67"/>
      <c r="T39" s="80"/>
    </row>
    <row r="40" spans="2:20" ht="60" customHeight="1" x14ac:dyDescent="0.35">
      <c r="B40" s="39" t="s">
        <v>505</v>
      </c>
      <c r="C40" s="78"/>
      <c r="D40" s="79"/>
      <c r="E40" s="79" t="s">
        <v>21</v>
      </c>
      <c r="F40" s="79" t="str">
        <f>IF(E40&lt;&gt;"", IFERROR(VLOOKUP(E40, Dashboard!$B46:$F51, 5, FALSE), ""), "")</f>
        <v/>
      </c>
      <c r="G40" s="80"/>
      <c r="H40" s="67"/>
      <c r="I40" s="67"/>
      <c r="J40" s="80"/>
      <c r="K40" s="80"/>
      <c r="L40" s="41"/>
      <c r="M40" s="41"/>
      <c r="N40" s="80"/>
      <c r="O40" s="80"/>
      <c r="P40" s="41"/>
      <c r="Q40" s="41" t="s">
        <v>21</v>
      </c>
      <c r="R40" s="80"/>
      <c r="S40" s="67"/>
      <c r="T40" s="80"/>
    </row>
    <row r="41" spans="2:20" ht="60" customHeight="1" x14ac:dyDescent="0.35">
      <c r="B41" s="39" t="s">
        <v>506</v>
      </c>
      <c r="C41" s="78"/>
      <c r="D41" s="79"/>
      <c r="E41" s="79" t="s">
        <v>21</v>
      </c>
      <c r="F41" s="79" t="str">
        <f>IF(E41&lt;&gt;"", IFERROR(VLOOKUP(E41, Dashboard!$B46:$F51, 5, FALSE), ""), "")</f>
        <v/>
      </c>
      <c r="G41" s="80"/>
      <c r="H41" s="67"/>
      <c r="I41" s="67"/>
      <c r="J41" s="80"/>
      <c r="K41" s="80"/>
      <c r="L41" s="41"/>
      <c r="M41" s="41"/>
      <c r="N41" s="80"/>
      <c r="O41" s="80"/>
      <c r="P41" s="41"/>
      <c r="Q41" s="41" t="s">
        <v>21</v>
      </c>
      <c r="R41" s="80"/>
      <c r="S41" s="67"/>
      <c r="T41" s="80"/>
    </row>
    <row r="42" spans="2:20" ht="60" customHeight="1" x14ac:dyDescent="0.35">
      <c r="B42" s="39" t="s">
        <v>507</v>
      </c>
      <c r="C42" s="78"/>
      <c r="D42" s="79"/>
      <c r="E42" s="79" t="s">
        <v>21</v>
      </c>
      <c r="F42" s="79" t="str">
        <f>IF(E42&lt;&gt;"", IFERROR(VLOOKUP(E42, Dashboard!$B46:$F51, 5, FALSE), ""), "")</f>
        <v/>
      </c>
      <c r="G42" s="80"/>
      <c r="H42" s="67"/>
      <c r="I42" s="67"/>
      <c r="J42" s="80"/>
      <c r="K42" s="80"/>
      <c r="L42" s="41"/>
      <c r="M42" s="41"/>
      <c r="N42" s="80"/>
      <c r="O42" s="80"/>
      <c r="P42" s="41"/>
      <c r="Q42" s="41" t="s">
        <v>21</v>
      </c>
      <c r="R42" s="80"/>
      <c r="S42" s="67"/>
      <c r="T42" s="80"/>
    </row>
    <row r="43" spans="2:20" ht="60" customHeight="1" x14ac:dyDescent="0.35">
      <c r="B43" s="39" t="s">
        <v>508</v>
      </c>
      <c r="C43" s="78"/>
      <c r="D43" s="79"/>
      <c r="E43" s="79" t="s">
        <v>21</v>
      </c>
      <c r="F43" s="79" t="str">
        <f>IF(E43&lt;&gt;"", IFERROR(VLOOKUP(E43, Dashboard!$B46:$F51, 5, FALSE), ""), "")</f>
        <v/>
      </c>
      <c r="G43" s="80"/>
      <c r="H43" s="67"/>
      <c r="I43" s="67"/>
      <c r="J43" s="80"/>
      <c r="K43" s="80"/>
      <c r="L43" s="41"/>
      <c r="M43" s="41"/>
      <c r="N43" s="80"/>
      <c r="O43" s="80"/>
      <c r="P43" s="41"/>
      <c r="Q43" s="41" t="s">
        <v>21</v>
      </c>
      <c r="R43" s="80"/>
      <c r="S43" s="67"/>
      <c r="T43" s="80"/>
    </row>
    <row r="44" spans="2:20" ht="60" customHeight="1" x14ac:dyDescent="0.35">
      <c r="B44" s="39" t="s">
        <v>509</v>
      </c>
      <c r="C44" s="78"/>
      <c r="D44" s="79"/>
      <c r="E44" s="79" t="s">
        <v>21</v>
      </c>
      <c r="F44" s="79" t="str">
        <f>IF(E44&lt;&gt;"", IFERROR(VLOOKUP(E44, Dashboard!$B46:$F51, 5, FALSE), ""), "")</f>
        <v/>
      </c>
      <c r="G44" s="80"/>
      <c r="H44" s="67"/>
      <c r="I44" s="67"/>
      <c r="J44" s="80"/>
      <c r="K44" s="80"/>
      <c r="L44" s="41"/>
      <c r="M44" s="41"/>
      <c r="N44" s="80"/>
      <c r="O44" s="80"/>
      <c r="P44" s="41"/>
      <c r="Q44" s="41" t="s">
        <v>21</v>
      </c>
      <c r="R44" s="80"/>
      <c r="S44" s="67"/>
      <c r="T44" s="80"/>
    </row>
    <row r="45" spans="2:20" ht="60" customHeight="1" x14ac:dyDescent="0.35">
      <c r="B45" s="39" t="s">
        <v>510</v>
      </c>
      <c r="C45" s="78"/>
      <c r="D45" s="79"/>
      <c r="E45" s="79" t="s">
        <v>21</v>
      </c>
      <c r="F45" s="79" t="str">
        <f>IF(E45&lt;&gt;"", IFERROR(VLOOKUP(E45, Dashboard!$B46:$F51, 5, FALSE), ""), "")</f>
        <v/>
      </c>
      <c r="G45" s="80"/>
      <c r="H45" s="67"/>
      <c r="I45" s="67"/>
      <c r="J45" s="80"/>
      <c r="K45" s="80"/>
      <c r="L45" s="41"/>
      <c r="M45" s="41"/>
      <c r="N45" s="80"/>
      <c r="O45" s="80"/>
      <c r="P45" s="41"/>
      <c r="Q45" s="41" t="s">
        <v>21</v>
      </c>
      <c r="R45" s="80"/>
      <c r="S45" s="67"/>
      <c r="T45" s="80"/>
    </row>
    <row r="46" spans="2:20" ht="60" customHeight="1" x14ac:dyDescent="0.35">
      <c r="B46" s="39" t="s">
        <v>511</v>
      </c>
      <c r="C46" s="78"/>
      <c r="D46" s="79"/>
      <c r="E46" s="79" t="s">
        <v>21</v>
      </c>
      <c r="F46" s="79" t="str">
        <f>IF(E46&lt;&gt;"", IFERROR(VLOOKUP(E46, Dashboard!$B46:$F51, 5, FALSE), ""), "")</f>
        <v/>
      </c>
      <c r="G46" s="80"/>
      <c r="H46" s="67"/>
      <c r="I46" s="67"/>
      <c r="J46" s="80"/>
      <c r="K46" s="80"/>
      <c r="L46" s="41"/>
      <c r="M46" s="41"/>
      <c r="N46" s="80"/>
      <c r="O46" s="80"/>
      <c r="P46" s="41"/>
      <c r="Q46" s="41" t="s">
        <v>21</v>
      </c>
      <c r="R46" s="80"/>
      <c r="S46" s="67"/>
      <c r="T46" s="80"/>
    </row>
    <row r="47" spans="2:20" ht="60" customHeight="1" x14ac:dyDescent="0.35">
      <c r="B47" s="39" t="s">
        <v>512</v>
      </c>
      <c r="C47" s="78"/>
      <c r="D47" s="79"/>
      <c r="E47" s="79" t="s">
        <v>21</v>
      </c>
      <c r="F47" s="79" t="str">
        <f>IF(E47&lt;&gt;"", IFERROR(VLOOKUP(E47, Dashboard!$B46:$F51, 5, FALSE), ""), "")</f>
        <v/>
      </c>
      <c r="G47" s="80"/>
      <c r="H47" s="67"/>
      <c r="I47" s="67"/>
      <c r="J47" s="80"/>
      <c r="K47" s="80"/>
      <c r="L47" s="41"/>
      <c r="M47" s="41"/>
      <c r="N47" s="80"/>
      <c r="O47" s="80"/>
      <c r="P47" s="41"/>
      <c r="Q47" s="41" t="s">
        <v>21</v>
      </c>
      <c r="R47" s="80"/>
      <c r="S47" s="67"/>
      <c r="T47" s="80"/>
    </row>
    <row r="48" spans="2:20" ht="60" customHeight="1" x14ac:dyDescent="0.35">
      <c r="B48" s="39" t="s">
        <v>513</v>
      </c>
      <c r="C48" s="78"/>
      <c r="D48" s="79"/>
      <c r="E48" s="79" t="s">
        <v>21</v>
      </c>
      <c r="F48" s="79" t="str">
        <f>IF(E48&lt;&gt;"", IFERROR(VLOOKUP(E48, Dashboard!$B46:$F51, 5, FALSE), ""), "")</f>
        <v/>
      </c>
      <c r="G48" s="80"/>
      <c r="H48" s="67"/>
      <c r="I48" s="67"/>
      <c r="J48" s="80"/>
      <c r="K48" s="80"/>
      <c r="L48" s="41"/>
      <c r="M48" s="41"/>
      <c r="N48" s="80"/>
      <c r="O48" s="80"/>
      <c r="P48" s="41"/>
      <c r="Q48" s="41" t="s">
        <v>21</v>
      </c>
      <c r="R48" s="80"/>
      <c r="S48" s="67"/>
      <c r="T48" s="80"/>
    </row>
    <row r="49" spans="2:20" ht="60" customHeight="1" x14ac:dyDescent="0.35">
      <c r="B49" s="39" t="s">
        <v>514</v>
      </c>
      <c r="C49" s="78"/>
      <c r="D49" s="79"/>
      <c r="E49" s="79" t="s">
        <v>21</v>
      </c>
      <c r="F49" s="79" t="str">
        <f>IF(E49&lt;&gt;"", IFERROR(VLOOKUP(E49, Dashboard!$B46:$F51, 5, FALSE), ""), "")</f>
        <v/>
      </c>
      <c r="G49" s="80"/>
      <c r="H49" s="67"/>
      <c r="I49" s="67"/>
      <c r="J49" s="80"/>
      <c r="K49" s="80"/>
      <c r="L49" s="41"/>
      <c r="M49" s="41"/>
      <c r="N49" s="80"/>
      <c r="O49" s="80"/>
      <c r="P49" s="41"/>
      <c r="Q49" s="41" t="s">
        <v>21</v>
      </c>
      <c r="R49" s="80"/>
      <c r="S49" s="67"/>
      <c r="T49" s="80"/>
    </row>
    <row r="50" spans="2:20" ht="60" customHeight="1" x14ac:dyDescent="0.35">
      <c r="B50" s="39" t="s">
        <v>515</v>
      </c>
      <c r="C50" s="78"/>
      <c r="D50" s="79"/>
      <c r="E50" s="79" t="s">
        <v>21</v>
      </c>
      <c r="F50" s="79" t="str">
        <f>IF(E50&lt;&gt;"", IFERROR(VLOOKUP(E50, Dashboard!$B46:$F51, 5, FALSE), ""), "")</f>
        <v/>
      </c>
      <c r="G50" s="80"/>
      <c r="H50" s="67"/>
      <c r="I50" s="67"/>
      <c r="J50" s="80"/>
      <c r="K50" s="80"/>
      <c r="L50" s="41"/>
      <c r="M50" s="41"/>
      <c r="N50" s="80"/>
      <c r="O50" s="80"/>
      <c r="P50" s="41"/>
      <c r="Q50" s="41" t="s">
        <v>21</v>
      </c>
      <c r="R50" s="80"/>
      <c r="S50" s="67"/>
      <c r="T50" s="80"/>
    </row>
    <row r="51" spans="2:20" ht="60" customHeight="1" x14ac:dyDescent="0.35">
      <c r="B51" s="39" t="s">
        <v>516</v>
      </c>
      <c r="C51" s="78"/>
      <c r="D51" s="79"/>
      <c r="E51" s="79" t="s">
        <v>21</v>
      </c>
      <c r="F51" s="79" t="str">
        <f>IF(E51&lt;&gt;"", IFERROR(VLOOKUP(E51, Dashboard!$B46:$F51, 5, FALSE), ""), "")</f>
        <v/>
      </c>
      <c r="G51" s="80"/>
      <c r="H51" s="67"/>
      <c r="I51" s="67"/>
      <c r="J51" s="80"/>
      <c r="K51" s="80"/>
      <c r="L51" s="41"/>
      <c r="M51" s="41"/>
      <c r="N51" s="80"/>
      <c r="O51" s="80"/>
      <c r="P51" s="41"/>
      <c r="Q51" s="41" t="s">
        <v>21</v>
      </c>
      <c r="R51" s="80"/>
      <c r="S51" s="67"/>
      <c r="T51" s="80"/>
    </row>
    <row r="52" spans="2:20" ht="60" customHeight="1" x14ac:dyDescent="0.35">
      <c r="B52" s="39" t="s">
        <v>517</v>
      </c>
      <c r="C52" s="78"/>
      <c r="D52" s="79"/>
      <c r="E52" s="79" t="s">
        <v>21</v>
      </c>
      <c r="F52" s="79" t="str">
        <f>IF(E52&lt;&gt;"", IFERROR(VLOOKUP(E52, Dashboard!$B46:$F51, 5, FALSE), ""), "")</f>
        <v/>
      </c>
      <c r="G52" s="80"/>
      <c r="H52" s="67"/>
      <c r="I52" s="67"/>
      <c r="J52" s="80"/>
      <c r="K52" s="80"/>
      <c r="L52" s="41"/>
      <c r="M52" s="41"/>
      <c r="N52" s="80"/>
      <c r="O52" s="80"/>
      <c r="P52" s="41"/>
      <c r="Q52" s="41" t="s">
        <v>21</v>
      </c>
      <c r="R52" s="80"/>
      <c r="S52" s="67"/>
      <c r="T52" s="80"/>
    </row>
    <row r="53" spans="2:20" ht="60" customHeight="1" x14ac:dyDescent="0.35">
      <c r="B53" s="39" t="s">
        <v>518</v>
      </c>
      <c r="C53" s="78"/>
      <c r="D53" s="79"/>
      <c r="E53" s="79" t="s">
        <v>21</v>
      </c>
      <c r="F53" s="79" t="str">
        <f>IF(E53&lt;&gt;"", IFERROR(VLOOKUP(E53, Dashboard!$B46:$F51, 5, FALSE), ""), "")</f>
        <v/>
      </c>
      <c r="G53" s="80"/>
      <c r="H53" s="67"/>
      <c r="I53" s="67"/>
      <c r="J53" s="80"/>
      <c r="K53" s="80"/>
      <c r="L53" s="41"/>
      <c r="M53" s="41"/>
      <c r="N53" s="80"/>
      <c r="O53" s="80"/>
      <c r="P53" s="41"/>
      <c r="Q53" s="41" t="s">
        <v>21</v>
      </c>
      <c r="R53" s="80"/>
      <c r="S53" s="67"/>
      <c r="T53" s="80"/>
    </row>
    <row r="54" spans="2:20" ht="60" customHeight="1" x14ac:dyDescent="0.35">
      <c r="B54" s="39" t="s">
        <v>519</v>
      </c>
      <c r="C54" s="78"/>
      <c r="D54" s="79"/>
      <c r="E54" s="79" t="s">
        <v>21</v>
      </c>
      <c r="F54" s="79" t="str">
        <f>IF(E54&lt;&gt;"", IFERROR(VLOOKUP(E54, Dashboard!$B46:$F51,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301</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Arista MLS DCS-7000 Series Security Technical Implementation Guide - SHGIR</dc:title>
  <dc:subject>Generated on: 2026-06-08 13:53:47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2026-06-08T12:53:53Z</dcterms:modified>
  <cp:category>DISA-STIG</cp:category>
  <cp:contentStatus>Draft</cp:contentStatus>
</cp:coreProperties>
</file>