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22CD8E5C88DFC74C273AE530242B1664A12C160D" xr6:coauthVersionLast="47" xr6:coauthVersionMax="47" xr10:uidLastSave="{EF739EFB-B4FC-4B0F-A7D0-48E89B59D4B6}"/>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F110" i="3" s="1"/>
  <c r="L7" i="1"/>
  <c r="L6" i="1"/>
  <c r="L5" i="1"/>
  <c r="L4" i="1"/>
  <c r="L3" i="1"/>
  <c r="L2" i="1"/>
  <c r="R185" i="3"/>
  <c r="R184" i="3"/>
  <c r="R183" i="3"/>
  <c r="R182" i="3"/>
  <c r="R181" i="3"/>
  <c r="R180" i="3"/>
  <c r="R179" i="3"/>
  <c r="R178" i="3"/>
  <c r="R177" i="3"/>
  <c r="R176" i="3"/>
  <c r="R175" i="3"/>
  <c r="R174" i="3"/>
  <c r="R173" i="3"/>
  <c r="R172" i="3"/>
  <c r="R171" i="3"/>
  <c r="R170" i="3"/>
  <c r="R169" i="3"/>
  <c r="R168" i="3"/>
  <c r="R167" i="3"/>
  <c r="R166" i="3"/>
  <c r="O110" i="3"/>
  <c r="N110" i="3"/>
  <c r="M110" i="3"/>
  <c r="L110" i="3"/>
  <c r="K110" i="3"/>
  <c r="E110" i="3"/>
  <c r="O109" i="3"/>
  <c r="N109" i="3"/>
  <c r="M109" i="3"/>
  <c r="L109" i="3"/>
  <c r="K109" i="3"/>
  <c r="F109" i="3"/>
  <c r="E109" i="3"/>
  <c r="G109" i="3" s="1"/>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E91" i="3"/>
  <c r="D91" i="3"/>
  <c r="C91" i="3"/>
  <c r="F91" i="3" s="1"/>
  <c r="E90" i="3"/>
  <c r="D90" i="3"/>
  <c r="C90" i="3"/>
  <c r="F90" i="3" s="1"/>
  <c r="E89" i="3"/>
  <c r="D89" i="3"/>
  <c r="C89" i="3"/>
  <c r="F89" i="3" s="1"/>
  <c r="E88" i="3"/>
  <c r="D88" i="3"/>
  <c r="C88" i="3"/>
  <c r="F88" i="3" s="1"/>
  <c r="E71" i="3"/>
  <c r="D71" i="3"/>
  <c r="C71" i="3"/>
  <c r="F71" i="3" s="1"/>
  <c r="F70" i="3"/>
  <c r="E78" i="3" s="1"/>
  <c r="E70" i="3"/>
  <c r="D70" i="3"/>
  <c r="C70" i="3"/>
  <c r="E69" i="3"/>
  <c r="D69" i="3"/>
  <c r="C69" i="3"/>
  <c r="W121" i="3" s="1"/>
  <c r="E68" i="3"/>
  <c r="D68" i="3"/>
  <c r="C68" i="3"/>
  <c r="U121" i="3" s="1"/>
  <c r="F67" i="3"/>
  <c r="E75" i="3" s="1"/>
  <c r="E67" i="3"/>
  <c r="D67" i="3"/>
  <c r="C67" i="3"/>
  <c r="S121" i="3" s="1"/>
  <c r="E53" i="3"/>
  <c r="D53" i="3"/>
  <c r="C53" i="3"/>
  <c r="F53" i="3" s="1"/>
  <c r="E52" i="3"/>
  <c r="D52" i="3"/>
  <c r="C52" i="3"/>
  <c r="F52" i="3" s="1"/>
  <c r="E34" i="3"/>
  <c r="D34" i="3"/>
  <c r="C34" i="3"/>
  <c r="F34" i="3" s="1"/>
  <c r="F33" i="3"/>
  <c r="E42" i="3" s="1"/>
  <c r="E33" i="3"/>
  <c r="D33" i="3"/>
  <c r="C33" i="3"/>
  <c r="E32" i="3"/>
  <c r="D32" i="3"/>
  <c r="C32" i="3"/>
  <c r="F32" i="3" s="1"/>
  <c r="E31" i="3"/>
  <c r="D31" i="3"/>
  <c r="C31" i="3"/>
  <c r="F31" i="3" s="1"/>
  <c r="E30" i="3"/>
  <c r="D30" i="3"/>
  <c r="C30" i="3"/>
  <c r="F30" i="3" s="1"/>
  <c r="E29" i="3"/>
  <c r="D29" i="3"/>
  <c r="C29" i="3"/>
  <c r="F29" i="3" s="1"/>
  <c r="E16" i="3"/>
  <c r="D16" i="3"/>
  <c r="C16" i="3"/>
  <c r="F16" i="3" s="1"/>
  <c r="D9" i="3"/>
  <c r="C9" i="3"/>
  <c r="D8" i="3"/>
  <c r="C8" i="3"/>
  <c r="C7" i="3" s="1"/>
  <c r="D7" i="3" s="1"/>
  <c r="C38" i="3" l="1"/>
  <c r="E38" i="3"/>
  <c r="D38" i="3"/>
  <c r="G110" i="3"/>
  <c r="E79" i="3"/>
  <c r="D79" i="3"/>
  <c r="C79" i="3"/>
  <c r="E39" i="3"/>
  <c r="D39" i="3"/>
  <c r="C39" i="3"/>
  <c r="E40" i="3"/>
  <c r="D40" i="3"/>
  <c r="C40" i="3"/>
  <c r="E41" i="3"/>
  <c r="D41" i="3"/>
  <c r="C41" i="3"/>
  <c r="E57" i="3"/>
  <c r="D57" i="3"/>
  <c r="C57" i="3"/>
  <c r="E58" i="3"/>
  <c r="D58" i="3"/>
  <c r="C58" i="3"/>
  <c r="E96" i="3"/>
  <c r="D96" i="3"/>
  <c r="C96" i="3"/>
  <c r="E98" i="3"/>
  <c r="D98" i="3"/>
  <c r="C98" i="3"/>
  <c r="C43" i="3"/>
  <c r="E43" i="3"/>
  <c r="D43" i="3"/>
  <c r="E95" i="3"/>
  <c r="D95" i="3"/>
  <c r="C95" i="3"/>
  <c r="E97" i="3"/>
  <c r="D97" i="3"/>
  <c r="C97" i="3"/>
  <c r="D20" i="3"/>
  <c r="C20" i="3"/>
  <c r="R149" i="3"/>
  <c r="R144" i="3"/>
  <c r="R139" i="3"/>
  <c r="R134" i="3"/>
  <c r="R129" i="3"/>
  <c r="R124" i="3"/>
  <c r="R153" i="3"/>
  <c r="R148" i="3"/>
  <c r="R143" i="3"/>
  <c r="R138" i="3"/>
  <c r="R133" i="3"/>
  <c r="R128" i="3"/>
  <c r="R123" i="3"/>
  <c r="R152" i="3"/>
  <c r="R147" i="3"/>
  <c r="R142" i="3"/>
  <c r="R137" i="3"/>
  <c r="R132" i="3"/>
  <c r="R127" i="3"/>
  <c r="E20" i="3"/>
  <c r="R151" i="3"/>
  <c r="R146" i="3"/>
  <c r="R141" i="3"/>
  <c r="R136" i="3"/>
  <c r="R131" i="3"/>
  <c r="R126" i="3"/>
  <c r="R150" i="3"/>
  <c r="R145" i="3"/>
  <c r="R140" i="3"/>
  <c r="R135" i="3"/>
  <c r="R130" i="3"/>
  <c r="R125" i="3"/>
  <c r="T125" i="3"/>
  <c r="T130" i="3"/>
  <c r="T135" i="3"/>
  <c r="T140" i="3"/>
  <c r="T145" i="3"/>
  <c r="T150" i="3"/>
  <c r="F68" i="3"/>
  <c r="T126" i="3"/>
  <c r="T131" i="3"/>
  <c r="T136" i="3"/>
  <c r="T141" i="3"/>
  <c r="T146" i="3"/>
  <c r="T151" i="3"/>
  <c r="C78" i="3"/>
  <c r="D78" i="3"/>
  <c r="F69" i="3"/>
  <c r="Q121" i="3"/>
  <c r="T127" i="3"/>
  <c r="T132" i="3"/>
  <c r="T137" i="3"/>
  <c r="T142" i="3"/>
  <c r="T147" i="3"/>
  <c r="T152" i="3"/>
  <c r="T123" i="3"/>
  <c r="T128" i="3"/>
  <c r="T133" i="3"/>
  <c r="T138" i="3"/>
  <c r="T143" i="3"/>
  <c r="T148" i="3"/>
  <c r="T153" i="3"/>
  <c r="C42" i="3"/>
  <c r="C75" i="3"/>
  <c r="T124" i="3"/>
  <c r="T129" i="3"/>
  <c r="T134" i="3"/>
  <c r="T139" i="3"/>
  <c r="T144" i="3"/>
  <c r="T149" i="3"/>
  <c r="D75" i="3"/>
  <c r="D42" i="3"/>
  <c r="V149" i="3" l="1"/>
  <c r="V144" i="3"/>
  <c r="V139" i="3"/>
  <c r="V134" i="3"/>
  <c r="V129" i="3"/>
  <c r="V124" i="3"/>
  <c r="V153" i="3"/>
  <c r="V148" i="3"/>
  <c r="V143" i="3"/>
  <c r="V138" i="3"/>
  <c r="V133" i="3"/>
  <c r="V128" i="3"/>
  <c r="V123" i="3"/>
  <c r="V152" i="3"/>
  <c r="V147" i="3"/>
  <c r="V142" i="3"/>
  <c r="V137" i="3"/>
  <c r="V132" i="3"/>
  <c r="V127" i="3"/>
  <c r="C76" i="3"/>
  <c r="V151" i="3"/>
  <c r="V146" i="3"/>
  <c r="V141" i="3"/>
  <c r="V136" i="3"/>
  <c r="V131" i="3"/>
  <c r="V126" i="3"/>
  <c r="V150" i="3"/>
  <c r="V145" i="3"/>
  <c r="V140" i="3"/>
  <c r="V135" i="3"/>
  <c r="V130" i="3"/>
  <c r="V125" i="3"/>
  <c r="E76" i="3"/>
  <c r="D76" i="3"/>
  <c r="X149" i="3"/>
  <c r="X144" i="3"/>
  <c r="X139" i="3"/>
  <c r="X134" i="3"/>
  <c r="X129" i="3"/>
  <c r="X124" i="3"/>
  <c r="X153" i="3"/>
  <c r="X148" i="3"/>
  <c r="X143" i="3"/>
  <c r="X138" i="3"/>
  <c r="X133" i="3"/>
  <c r="X128" i="3"/>
  <c r="X123" i="3"/>
  <c r="E77" i="3"/>
  <c r="X152" i="3"/>
  <c r="X147" i="3"/>
  <c r="X142" i="3"/>
  <c r="X137" i="3"/>
  <c r="X132" i="3"/>
  <c r="X127" i="3"/>
  <c r="X151" i="3"/>
  <c r="X146" i="3"/>
  <c r="X141" i="3"/>
  <c r="X136" i="3"/>
  <c r="X131" i="3"/>
  <c r="X126" i="3"/>
  <c r="D77" i="3"/>
  <c r="X150" i="3"/>
  <c r="X145" i="3"/>
  <c r="X140" i="3"/>
  <c r="X135" i="3"/>
  <c r="X130" i="3"/>
  <c r="X125" i="3"/>
  <c r="C77" i="3"/>
</calcChain>
</file>

<file path=xl/sharedStrings.xml><?xml version="1.0" encoding="utf-8"?>
<sst xmlns="http://schemas.openxmlformats.org/spreadsheetml/2006/main" count="900" uniqueCount="404">
  <si>
    <t>Id</t>
  </si>
  <si>
    <t>Title</t>
  </si>
  <si>
    <t>Severity</t>
  </si>
  <si>
    <t>MoSCoW</t>
  </si>
  <si>
    <t>OpsImpact</t>
  </si>
  <si>
    <t>Phase</t>
  </si>
  <si>
    <t>ImplStatus</t>
  </si>
  <si>
    <t>Notes</t>
  </si>
  <si>
    <t>Remediation</t>
  </si>
  <si>
    <t>Description</t>
  </si>
  <si>
    <t>Audit</t>
  </si>
  <si>
    <t>Status</t>
  </si>
  <si>
    <t>LogID</t>
  </si>
  <si>
    <t>V-206715</t>
  </si>
  <si>
    <r>
      <rPr>
        <sz val="11"/>
        <rFont val="Calibri"/>
      </rPr>
      <t>The SDN controller must be configured to enforce approved authorizations for access to system resources in accordance with applicable access control policies.</t>
    </r>
  </si>
  <si>
    <t>CAT II (Medium)</t>
  </si>
  <si>
    <t>Unassigned</t>
  </si>
  <si>
    <t>Unassessed</t>
  </si>
  <si>
    <t>Pending</t>
  </si>
  <si>
    <t/>
  </si>
  <si>
    <r>
      <rPr>
        <sz val="11"/>
        <color rgb="FF000000"/>
        <rFont val="Calibri"/>
      </rPr>
      <t>Configure the SDN controller to utilize RBAC rules to enforce approved authorizations for access to system resources.</t>
    </r>
  </si>
  <si>
    <r>
      <rPr>
        <sz val="11"/>
        <color rgb="FF000000"/>
        <rFont val="Calibri"/>
      </rPr>
      <t>To mitigate the risk of unauthorized access to system resources within the SDN framework, authorization procedures and controls must be implemented to ensure each authenticated entity also has a validated and current authorization. Authorization is the process of determining whether an entity, once authenticated, is permitted to access a specific asset.</t>
    </r>
    <r>
      <rPr>
        <sz val="11"/>
        <color rgb="FF000000"/>
        <rFont val="Calibri"/>
      </rPr>
      <t xml:space="preserve">
</t>
    </r>
    <r>
      <rPr>
        <sz val="11"/>
        <color rgb="FF000000"/>
        <rFont val="Calibri"/>
      </rPr>
      <t>With a multi-tenant implementation, customers share the network infrastructure and services while they are logically isolated from each other. The controller can provide an abstract view of a virtual network that belongs to each tenant. Hence, a northbound multi-tenancy deployment provides tenants with means to manage and monitor their own virtual networks via a northbound API. The behavior of tenants and their end users should be strictly controlled according to pre-defined access policies.  Role-based access control (RBAC) can be implemented to allow tenants to modify configuration and parameters of the SDN framework that they own and control, while prohibiting access to objects they do not own. Tenants have a self-service model by which they can perform configuration changes, read statistics, and monitor logs that apply only to them. To ensure tenant separation while preserving the integrity and stability of the SDN controller, it is imperative that tenant access to resources within the SDN framework is strictly controlled according to access control policies.</t>
    </r>
  </si>
  <si>
    <r>
      <rPr>
        <sz val="11"/>
        <color rgb="FF000000"/>
        <rFont val="Calibri"/>
      </rPr>
      <t xml:space="preserve">Review the SDN configuration and verify that RBAC rules have been implemented to control access to system resources within the SDN framework. </t>
    </r>
    <r>
      <rPr>
        <sz val="11"/>
        <color rgb="FF000000"/>
        <rFont val="Calibri"/>
      </rPr>
      <t xml:space="preserve">
</t>
    </r>
    <r>
      <rPr>
        <sz val="11"/>
        <color rgb="FF000000"/>
        <rFont val="Calibri"/>
      </rPr>
      <t>If the SDN controller is not configured to enforce approved authorizations for access to system resources, this is a finding.</t>
    </r>
  </si>
  <si>
    <t>V-206716</t>
  </si>
  <si>
    <r>
      <rPr>
        <sz val="11"/>
        <rFont val="Calibri"/>
      </rPr>
      <t>The SDN controller must be configured to enforce approved authorizations for controlling the flow of traffic within the network based on organization-defined information flow control policies.</t>
    </r>
  </si>
  <si>
    <r>
      <rPr>
        <sz val="11"/>
        <color rgb="FF000000"/>
        <rFont val="Calibri"/>
      </rPr>
      <t>Configure the SDN controller to create and distribute forwarding table flow entries based on organization-defined information flow control policies. The implementation could be driven by a service application via the northbound API that contains the flow control policy and forwarding rules.</t>
    </r>
  </si>
  <si>
    <r>
      <rPr>
        <sz val="11"/>
        <color rgb="FF000000"/>
        <rFont val="Calibri"/>
      </rPr>
      <t>Unrestricted traffic may contain malicious traffic which poses a threat to an enclave or data center. Additionally, unrestricted traffic may transit a network consuming bandwidth and network node resources. Access control policies and access control lists implemented on routers and switches can control the flow of network traffic by ensuring that the flow of traffic is only allowed from authorized sources to authorized destinations. Furthermore, the SDN controller provides flow rules to the SDN-enabled routers and switches to populate their forwarding tables. SDN-enabled routers and switches will drop packets for flows that are not permitted by the controller. Also when reactive flow setup occurs (switch has no flow entry in the forwarding table for specific flow), the controller can respond to the switch to drop the packet or provide the device with a new flow entry. It is imperative that both proactive and reactive flow setup must be implemented based on organization-defined information flow control policies.</t>
    </r>
  </si>
  <si>
    <r>
      <rPr>
        <sz val="11"/>
        <color rgb="FF000000"/>
        <rFont val="Calibri"/>
      </rPr>
      <t xml:space="preserve">Review the SDN controller configuration to determine if it creates and distributes forwarding table flow entries based on organization-defined information flow control policies. The implementation could be driven by a service application via the northbound API that contains the flow control policy and forwarding rules. </t>
    </r>
    <r>
      <rPr>
        <sz val="11"/>
        <color rgb="FF000000"/>
        <rFont val="Calibri"/>
      </rPr>
      <t xml:space="preserve">
</t>
    </r>
    <r>
      <rPr>
        <sz val="11"/>
        <color rgb="FF000000"/>
        <rFont val="Calibri"/>
      </rPr>
      <t>If the SDN controller is not configured to enforce approved authorizations for controlling the flow of traffic within the network based on organization-defined information flow control policies, this is a finding.</t>
    </r>
  </si>
  <si>
    <t>V-206717</t>
  </si>
  <si>
    <r>
      <rPr>
        <sz val="11"/>
        <rFont val="Calibri"/>
      </rPr>
      <t>The SDN controller must be configured to produce audit records containing information to establish what type of events occurred.</t>
    </r>
  </si>
  <si>
    <r>
      <rPr>
        <sz val="11"/>
        <color rgb="FF000000"/>
        <rFont val="Calibri"/>
      </rPr>
      <t>Configure the SDN controller to include the type of event in the log records.</t>
    </r>
  </si>
  <si>
    <r>
      <rPr>
        <sz val="11"/>
        <color rgb="FF000000"/>
        <rFont val="Calibri"/>
      </rPr>
      <t>Without establishing what type of event occurred, it would be difficult to establish, correlate, and investigate the events leading up to an outage or attack. Audit record content that may be necessary to satisfy this requirement includes, for example, time stamps, source and destination addresses, user/process identifiers, event descriptions, success/fail indications, filenames involved, and access control or flow control rules invoked.</t>
    </r>
    <r>
      <rPr>
        <sz val="11"/>
        <color rgb="FF000000"/>
        <rFont val="Calibri"/>
      </rPr>
      <t xml:space="preserve">
</t>
    </r>
    <r>
      <rPr>
        <sz val="11"/>
        <color rgb="FF000000"/>
        <rFont val="Calibri"/>
      </rPr>
      <t>Associating event types with detected events in the network element logs provides a means of investigating an attack; recognizing resource utilization or capacity thresholds; or identifying an improperly configured network element.</t>
    </r>
  </si>
  <si>
    <r>
      <rPr>
        <sz val="11"/>
        <color rgb="FF000000"/>
        <rFont val="Calibri"/>
      </rPr>
      <t xml:space="preserve">Review the SDN controller configuration to determine if the audit records will note the type of event that is being logged. </t>
    </r>
    <r>
      <rPr>
        <sz val="11"/>
        <color rgb="FF000000"/>
        <rFont val="Calibri"/>
      </rPr>
      <t xml:space="preserve">
</t>
    </r>
    <r>
      <rPr>
        <sz val="11"/>
        <color rgb="FF000000"/>
        <rFont val="Calibri"/>
      </rPr>
      <t>If the SDN controller is not configured to produce audit records containing information to establish what type of events occurred, this is a finding.</t>
    </r>
  </si>
  <si>
    <t>V-206718</t>
  </si>
  <si>
    <r>
      <rPr>
        <sz val="11"/>
        <rFont val="Calibri"/>
      </rPr>
      <t>The SDN controller must be configured to produce audit records containing information to establish when the events occurred.</t>
    </r>
  </si>
  <si>
    <r>
      <rPr>
        <sz val="11"/>
        <color rgb="FF000000"/>
        <rFont val="Calibri"/>
      </rPr>
      <t>Configure the SDN controller to include the date and time in the log records.</t>
    </r>
  </si>
  <si>
    <r>
      <rPr>
        <sz val="11"/>
        <color rgb="FF000000"/>
        <rFont val="Calibri"/>
      </rPr>
      <t>Without establishing when events occurred, it is impossible to establish, correlate, and investigate the events leading up to an outage or attack. In order to compile an accurate risk assessment, and provide forensic analysis of network traffic patterns, it is essential for security personnel to know when (i.e., date and time) flow control events occurred within the infrastructure.</t>
    </r>
  </si>
  <si>
    <r>
      <rPr>
        <sz val="11"/>
        <color rgb="FF000000"/>
        <rFont val="Calibri"/>
      </rPr>
      <t xml:space="preserve">Review the SDN controller configuration to determine if the audit records will note the date and time of the event that is being logged. </t>
    </r>
    <r>
      <rPr>
        <sz val="11"/>
        <color rgb="FF000000"/>
        <rFont val="Calibri"/>
      </rPr>
      <t xml:space="preserve">
</t>
    </r>
    <r>
      <rPr>
        <sz val="11"/>
        <color rgb="FF000000"/>
        <rFont val="Calibri"/>
      </rPr>
      <t>If the SDN controller is not configured to produce audit records containing information to establish when (i.e., date and time) the events occurred, this is a finding.</t>
    </r>
  </si>
  <si>
    <t>V-206719</t>
  </si>
  <si>
    <r>
      <rPr>
        <sz val="11"/>
        <rFont val="Calibri"/>
      </rPr>
      <t>The SDN controller must be configured to produce audit records containing information to establish where the events occurred.</t>
    </r>
  </si>
  <si>
    <r>
      <rPr>
        <sz val="11"/>
        <color rgb="FF000000"/>
        <rFont val="Calibri"/>
      </rPr>
      <t>Configure the SDN controller to include where (e.g., service, interface, node, link, etc.) the event occurred in the log records.</t>
    </r>
  </si>
  <si>
    <r>
      <rPr>
        <sz val="11"/>
        <color rgb="FF000000"/>
        <rFont val="Calibri"/>
      </rPr>
      <t>Without establishing where events occurred, it is impossible to establish, correlate, and investigate the events leading up to an outage or attack. In order to compile an accurate risk assessment, and provide forensic analysis, it is essential for security personnel to know where (e.g., interface, node, source IP, etc.) events occurred. Associating information about where the event occurred within the network provides a means of investigating an attack; recognizing resource utilization or capacity thresholds; or identifying an improperly configured network element.</t>
    </r>
  </si>
  <si>
    <r>
      <rPr>
        <sz val="11"/>
        <color rgb="FF000000"/>
        <rFont val="Calibri"/>
      </rPr>
      <t xml:space="preserve">Review the SDN controller configuration to determine if the audit records will note where (e.g., service, interface, node, link, etc.) the event that is being logged occurred. </t>
    </r>
    <r>
      <rPr>
        <sz val="11"/>
        <color rgb="FF000000"/>
        <rFont val="Calibri"/>
      </rPr>
      <t xml:space="preserve">
</t>
    </r>
    <r>
      <rPr>
        <sz val="11"/>
        <color rgb="FF000000"/>
        <rFont val="Calibri"/>
      </rPr>
      <t>If the SDN controller is not configured to produce audit records containing information to establish where (e.g., service, interface, node, link, etc.) the events occurred, this is a finding.</t>
    </r>
  </si>
  <si>
    <t>V-206720</t>
  </si>
  <si>
    <r>
      <rPr>
        <sz val="11"/>
        <rFont val="Calibri"/>
      </rPr>
      <t>The SDN controller must be configured to produce audit records containing information to establish the source of the events.</t>
    </r>
  </si>
  <si>
    <r>
      <rPr>
        <sz val="11"/>
        <color rgb="FF000000"/>
        <rFont val="Calibri"/>
      </rPr>
      <t>Configure the SDN controller to include the source (e.g., flow, API, IP address, etc.) of the event in the log records.</t>
    </r>
  </si>
  <si>
    <r>
      <rPr>
        <sz val="11"/>
        <color rgb="FF000000"/>
        <rFont val="Calibri"/>
      </rPr>
      <t>Without establishing the source of the event, it is impossible to establish, correlate, and investigate the events leading up to an outage or attack. In order to compile an accurate risk assessment and provide forensic analysis, security personnel need to know the source (i.e. service, function, node name, IP address, etc.) of the event.</t>
    </r>
  </si>
  <si>
    <r>
      <rPr>
        <sz val="11"/>
        <color rgb="FF000000"/>
        <rFont val="Calibri"/>
      </rPr>
      <t xml:space="preserve">Review the SDN controller configuration to determine if the audit records will note the source (e.g., flow, API, IP address, etc.) the event that is being logged. </t>
    </r>
    <r>
      <rPr>
        <sz val="11"/>
        <color rgb="FF000000"/>
        <rFont val="Calibri"/>
      </rPr>
      <t xml:space="preserve">
</t>
    </r>
    <r>
      <rPr>
        <sz val="11"/>
        <color rgb="FF000000"/>
        <rFont val="Calibri"/>
      </rPr>
      <t>If the SDN controller is not configured to produce audit records containing information to establish the source (e.g., flow, API, IP address, etc.) of the events, this is a finding.</t>
    </r>
  </si>
  <si>
    <t>V-206721</t>
  </si>
  <si>
    <r>
      <rPr>
        <sz val="11"/>
        <rFont val="Calibri"/>
      </rPr>
      <t>The SDN controller must be configured to produce audit records containing information to establish the outcome of the events.</t>
    </r>
  </si>
  <si>
    <r>
      <rPr>
        <sz val="11"/>
        <color rgb="FF000000"/>
        <rFont val="Calibri"/>
      </rPr>
      <t>Configure the SDN controller to include the outcome (i.e. packet allowed, packet dropped, link down, etc.) of the event in the log records.</t>
    </r>
  </si>
  <si>
    <r>
      <rPr>
        <sz val="11"/>
        <color rgb="FF000000"/>
        <rFont val="Calibri"/>
      </rPr>
      <t>Without information about the outcome of events, security personnel cannot make an accurate assessment as to whether an attack was successful or if changes were made to the security state of the network. Event outcomes can include indicators of event success or failure and event-specific results (e.g., the security state of the network after the event occurred). As such, they also provide a means to measure the impact of an event and help authorized personnel to determine the appropriate response.</t>
    </r>
  </si>
  <si>
    <r>
      <rPr>
        <sz val="11"/>
        <color rgb="FF000000"/>
        <rFont val="Calibri"/>
      </rPr>
      <t xml:space="preserve">Review the SDN controller configuration to determine if the audit records will note the outcome (i.e. packet allowed, packet dropped, link down, etc.) the event that is being logged. </t>
    </r>
    <r>
      <rPr>
        <sz val="11"/>
        <color rgb="FF000000"/>
        <rFont val="Calibri"/>
      </rPr>
      <t xml:space="preserve">
</t>
    </r>
    <r>
      <rPr>
        <sz val="11"/>
        <color rgb="FF000000"/>
        <rFont val="Calibri"/>
      </rPr>
      <t>If the SDN controller is not configured to produce audit records containing information to establish the outcome (i.e. packet allowed, packet dropped, link down, etc.) of the events, this is a finding.</t>
    </r>
  </si>
  <si>
    <t>V-206722</t>
  </si>
  <si>
    <r>
      <rPr>
        <sz val="11"/>
        <rFont val="Calibri"/>
      </rPr>
      <t>The SDN controller must be configured to generate audit records containing information that establishes the identity of any individual or process associated with the event.</t>
    </r>
  </si>
  <si>
    <r>
      <rPr>
        <sz val="11"/>
        <color rgb="FF000000"/>
        <rFont val="Calibri"/>
      </rPr>
      <t>Configure the SDN controller to the identity of any individual or process associated with an event in the log records.</t>
    </r>
  </si>
  <si>
    <r>
      <rPr>
        <sz val="11"/>
        <color rgb="FF000000"/>
        <rFont val="Calibri"/>
      </rPr>
      <t>Without information that establishes the identity of the subjects (i.e., users or processes acting on behalf of users) associated with the events, security personnel cannot determine responsibility for the potentially harmful event.</t>
    </r>
  </si>
  <si>
    <r>
      <rPr>
        <sz val="11"/>
        <color rgb="FF000000"/>
        <rFont val="Calibri"/>
      </rPr>
      <t xml:space="preserve">Review the SDN controller configuration to determine if the audit records will contain the identity of any individual or process associated with an event that is being logged. </t>
    </r>
    <r>
      <rPr>
        <sz val="11"/>
        <color rgb="FF000000"/>
        <rFont val="Calibri"/>
      </rPr>
      <t xml:space="preserve">
</t>
    </r>
    <r>
      <rPr>
        <sz val="11"/>
        <color rgb="FF000000"/>
        <rFont val="Calibri"/>
      </rPr>
      <t>If the SDN controller is not configured to produce audit records containing the identity of any individual or process associated with an event being logged, this is a finding.</t>
    </r>
  </si>
  <si>
    <t>V-206723</t>
  </si>
  <si>
    <r>
      <rPr>
        <sz val="11"/>
        <rFont val="Calibri"/>
      </rPr>
      <t>The SDN controller must be configured to disable non-essential capabilities.</t>
    </r>
  </si>
  <si>
    <r>
      <rPr>
        <sz val="11"/>
        <color rgb="FF000000"/>
        <rFont val="Calibri"/>
      </rPr>
      <t>Remove unneeded services and functions from the SDN configuration. Removal is recommended because the service or function may be inadvertently enabled otherwise. However, if removal is not possible, disable the service or function.</t>
    </r>
  </si>
  <si>
    <r>
      <rPr>
        <sz val="11"/>
        <color rgb="FF000000"/>
        <rFont val="Calibri"/>
      </rPr>
      <t>It is detrimental for network elements to provide, or enable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Some of the functions and services that could be enabled may not be necessary to support essential organizational operations.</t>
    </r>
  </si>
  <si>
    <r>
      <rPr>
        <sz val="11"/>
        <color rgb="FF000000"/>
        <rFont val="Calibri"/>
      </rPr>
      <t xml:space="preserve">Review the SDN controller configuration to determine if services or functions not required for SDN controller operation are enabled. </t>
    </r>
    <r>
      <rPr>
        <sz val="11"/>
        <color rgb="FF000000"/>
        <rFont val="Calibri"/>
      </rPr>
      <t xml:space="preserve">
</t>
    </r>
    <r>
      <rPr>
        <sz val="11"/>
        <color rgb="FF000000"/>
        <rFont val="Calibri"/>
      </rPr>
      <t>If unnecessary services and functions are enabled on the SDN controller, this is a finding.</t>
    </r>
  </si>
  <si>
    <t>V-206724</t>
  </si>
  <si>
    <r>
      <rPr>
        <sz val="11"/>
        <rFont val="Calibri"/>
      </rPr>
      <t>The SDN controller must be configured to enforce a policy to manage bandwidth and to limit the effects of a packet-flooding Denial of Service (DoS) attack.</t>
    </r>
  </si>
  <si>
    <r>
      <rPr>
        <sz val="11"/>
        <color rgb="FF000000"/>
        <rFont val="Calibri"/>
      </rPr>
      <t>Configure the SDN controller to enforce a policy to manage bandwidth and to limit the effects of a packet-flooding Denial of Service (DoS) attack. This can be implemented via northbound API from a service application containing the policy.</t>
    </r>
  </si>
  <si>
    <r>
      <rPr>
        <sz val="11"/>
        <color rgb="FF000000"/>
        <rFont val="Calibri"/>
      </rPr>
      <t xml:space="preserve">A network element experiencing a DoS attack will not be able to handle production traffic load. The high utilization and CPU caused by a DoS attack will also have an effect on control keep-alives and timers used for neighbor peering resulting in route flapping and will eventually black hole production traffic. </t>
    </r>
    <r>
      <rPr>
        <sz val="11"/>
        <color rgb="FF000000"/>
        <rFont val="Calibri"/>
      </rPr>
      <t xml:space="preserve">
</t>
    </r>
    <r>
      <rPr>
        <sz val="11"/>
        <color rgb="FF000000"/>
        <rFont val="Calibri"/>
      </rPr>
      <t>The device must be configured to contain and limit a DoS attack's effect on the device's resource utilization. The use of redundant components and load balancing are examples of mitigating "flood type" DoS attacks through increased capacity.</t>
    </r>
  </si>
  <si>
    <r>
      <rPr>
        <sz val="11"/>
        <color rgb="FF000000"/>
        <rFont val="Calibri"/>
      </rPr>
      <t>Review the SDN controller configuration to verify that it is configured to enforce a policy to manage bandwidth and to limit the effects of a packet-flooding DoS attack. The implementation could be driven by a service application via the northbound API that contains the policy.</t>
    </r>
    <r>
      <rPr>
        <sz val="11"/>
        <color rgb="FF000000"/>
        <rFont val="Calibri"/>
      </rPr>
      <t xml:space="preserve">
</t>
    </r>
    <r>
      <rPr>
        <sz val="11"/>
        <color rgb="FF000000"/>
        <rFont val="Calibri"/>
      </rPr>
      <t>If the SDN controller is not configured to enforce a policy to manage bandwidth and limit the effect of a packet-flooding DoS attack, this is a finding.</t>
    </r>
  </si>
  <si>
    <t>V-206725</t>
  </si>
  <si>
    <r>
      <rPr>
        <sz val="11"/>
        <rFont val="Calibri"/>
      </rPr>
      <t>The SDN controllers must be configured as a cluster in active/active or active/passive mode to preserve any information necessary to determine cause of a system failure and to maintain network operations with least disruption to workload processes and flows.</t>
    </r>
  </si>
  <si>
    <r>
      <rPr>
        <sz val="11"/>
        <color rgb="FF000000"/>
        <rFont val="Calibri"/>
      </rPr>
      <t>Configure the SDN controller to peer with one or more controllers in an active/active or active/passive failover mode.</t>
    </r>
  </si>
  <si>
    <r>
      <rPr>
        <sz val="11"/>
        <color rgb="FF000000"/>
        <rFont val="Calibri"/>
      </rPr>
      <t>Failure in a known state can address safety or security in accordance with the mission needs of the organization. Failure to a known secure state helps prevent a loss of confidentiality, integrity, or availability in the event of a failure of the SDN controller. Preserving network element state information helps to facilitate continuous network operations minimal or no disruption to mission-essential workload processes and flows.</t>
    </r>
  </si>
  <si>
    <r>
      <rPr>
        <sz val="11"/>
        <color rgb="FF000000"/>
        <rFont val="Calibri"/>
      </rPr>
      <t xml:space="preserve">Review the SDN controller configuration to determine if it is configured to peer with one or more controllers in an active/active or active/passive failover mode.  </t>
    </r>
    <r>
      <rPr>
        <sz val="11"/>
        <color rgb="FF000000"/>
        <rFont val="Calibri"/>
      </rPr>
      <t xml:space="preserve">
</t>
    </r>
    <r>
      <rPr>
        <sz val="11"/>
        <color rgb="FF000000"/>
        <rFont val="Calibri"/>
      </rPr>
      <t>If the SDN controller is not configured to be deployed as a cluster in active/active or active/passive mode, this is a finding.</t>
    </r>
  </si>
  <si>
    <t>V-206726</t>
  </si>
  <si>
    <r>
      <rPr>
        <sz val="11"/>
        <rFont val="Calibri"/>
      </rPr>
      <t>The SDN controller must be configured to protect against or limit the effects of denial-of-service (DoS) attacks by rate-limiting control-plane communications.</t>
    </r>
  </si>
  <si>
    <r>
      <rPr>
        <sz val="11"/>
        <color rgb="FF000000"/>
        <rFont val="Calibri"/>
      </rPr>
      <t>Configure the SDN controller to rate-limit control-plane messages.</t>
    </r>
  </si>
  <si>
    <r>
      <rPr>
        <sz val="11"/>
        <color rgb="FF000000"/>
        <rFont val="Calibri"/>
      </rPr>
      <t>The SDN Controller is critical to all network operations because it is the component used to build all forwarding paths for the data plane via control-plane processes. It is also instrumental with network management and provisioning functions that keep the SDN-enabled network elements and links available for providing network services. Any disruption to the SDN Controller can result in mission-critical network outages. A DoS attack targeting the SDN Controller can result in excessive CPU and memory utilization. The SDN Controller must be configured to rate-limit control-plane traffic destined to itself to mitigate the risk of a DoS attack and ensure network stability.</t>
    </r>
  </si>
  <si>
    <r>
      <rPr>
        <sz val="11"/>
        <color rgb="FF000000"/>
        <rFont val="Calibri"/>
      </rPr>
      <t xml:space="preserve">Review the SDN controller configuration to determine if it is configured to rate-limit control-plane messages. </t>
    </r>
    <r>
      <rPr>
        <sz val="11"/>
        <color rgb="FF000000"/>
        <rFont val="Calibri"/>
      </rPr>
      <t xml:space="preserve">
</t>
    </r>
    <r>
      <rPr>
        <sz val="11"/>
        <color rgb="FF000000"/>
        <rFont val="Calibri"/>
      </rPr>
      <t>If the SDN controller is not configured to rate-limit control-plane messages, this is a finding.</t>
    </r>
  </si>
  <si>
    <t>V-206727</t>
  </si>
  <si>
    <r>
      <rPr>
        <sz val="11"/>
        <rFont val="Calibri"/>
      </rPr>
      <t>The SDN controller must be configured to only allow incoming communications from organization-defined authorized sources routed to organization-defined authorized destinations.</t>
    </r>
  </si>
  <si>
    <r>
      <rPr>
        <sz val="11"/>
        <color rgb="FF000000"/>
        <rFont val="Calibri"/>
      </rPr>
      <t>Configure the SDN controller to enforce perimeter security by deploying strict flow entries to the SDN-enabled edge routers to only allow incoming traffic that is authorized.</t>
    </r>
  </si>
  <si>
    <r>
      <rPr>
        <sz val="11"/>
        <color rgb="FF000000"/>
        <rFont val="Calibri"/>
      </rPr>
      <t>Unrestricted traffic may contain malicious traffic which poses a threat to an enclave or data center. Additionally, unrestricted traffic may transit a network consuming bandwidth and network node resources. Access control policies and access control lists implemented on routers and switches can control the flow of network traffic by ensuring that the flow of traffic is only allowed from authorized sources to authorized destinations. Furthermore, the SDN controller provides flow rules to the SDN-enabled routers and switches to populate their forwarding tables. SDN-enabled routers and switches will drop packets for flows that are not permitted by the controller. Also when reactive flow setup occurs (switch has no flow entry in the forwarding table for specific flow), the controller can respond to the switch to drop the packet or provide the device with a new flow entry. It is imperative that the SDN controller enforces perimeter security by deploying strict flow entries to the SDN-enabled edge routers.</t>
    </r>
  </si>
  <si>
    <r>
      <rPr>
        <sz val="11"/>
        <color rgb="FF000000"/>
        <rFont val="Calibri"/>
      </rPr>
      <t xml:space="preserve">Review the SDN configuration to determine if it enforces perimeter security by deploying strict flow entries to the SDN-enabled edge routers to only allow incoming traffic that is authorized. </t>
    </r>
    <r>
      <rPr>
        <sz val="11"/>
        <color rgb="FF000000"/>
        <rFont val="Calibri"/>
      </rPr>
      <t xml:space="preserve">
</t>
    </r>
    <r>
      <rPr>
        <sz val="11"/>
        <color rgb="FF000000"/>
        <rFont val="Calibri"/>
      </rPr>
      <t>If the SDN controller is not configured to only allow incoming communications from organization-defined authorized sources routed to organization-defined authorized destinations, this is a finding.</t>
    </r>
  </si>
  <si>
    <t>V-206728</t>
  </si>
  <si>
    <r>
      <rPr>
        <sz val="11"/>
        <rFont val="Calibri"/>
      </rPr>
      <t>The SDN controller must be configured to authenticate southbound Application Program Interface (API) control-plane messages received from SDN-enabled network elements using a FIPS-approved message authentication code algorithm.</t>
    </r>
  </si>
  <si>
    <t>CAT I (High)</t>
  </si>
  <si>
    <r>
      <rPr>
        <sz val="11"/>
        <color rgb="FF000000"/>
        <rFont val="Calibri"/>
      </rPr>
      <t xml:space="preserve">Configure the SDN controller to authenticate southbound API control-plane messages using a FIPS-approved message authentication code algorithm. </t>
    </r>
    <r>
      <rPr>
        <sz val="11"/>
        <color rgb="FF000000"/>
        <rFont val="Calibri"/>
      </rPr>
      <t xml:space="preserve">
</t>
    </r>
    <r>
      <rPr>
        <sz val="11"/>
        <color rgb="FF000000"/>
        <rFont val="Calibri"/>
      </rPr>
      <t>FIPS-approved algorithms for authentication are the CMAC and the HMAC. AES and 3DES are NIST-approved CMAC algorithms. The following are NIST-approved HMAC algorithms: SHA-1, SHA-224, SHA-256, SHA-384, SHA-512, SHA-512/224, and SHA-512/256.</t>
    </r>
  </si>
  <si>
    <r>
      <rPr>
        <sz val="11"/>
        <color rgb="FF000000"/>
        <rFont val="Calibri"/>
      </rPr>
      <t>Southbound APIs such as OpenFlow provide the forwarding tables to network devices, such as switches and routers, both physical and virtual (hypervisor-based). The SDN controllers use the concept of flows to identify network traffic based on predefined rules that can be statically or dynamically programmed by the SDN control software, thereby determining how traffic should flow through network devices based on usage patterns, applications, and policy that can optimize traffic paths based on business requirements and not network infrastructure design. The SDN controller can receive control-plane messages from the SDN-enabled routers and switches to provide link state information or to require a flow table entry for a packet that does not map to any entries (i.e., reactive flow setup). To ensure the integrity and authenticity of these messages, it is imperative that they are authenticated prior to processing and taking any action.</t>
    </r>
  </si>
  <si>
    <r>
      <rPr>
        <sz val="11"/>
        <color rgb="FF000000"/>
        <rFont val="Calibri"/>
      </rPr>
      <t xml:space="preserve">Review the SDN configuration, verify that it is configured to authenticate received southbound API control-plane messages using a FIPS-approved message authentication code algorithm. </t>
    </r>
    <r>
      <rPr>
        <sz val="11"/>
        <color rgb="FF000000"/>
        <rFont val="Calibri"/>
      </rPr>
      <t xml:space="preserve">
</t>
    </r>
    <r>
      <rPr>
        <sz val="11"/>
        <color rgb="FF000000"/>
        <rFont val="Calibri"/>
      </rPr>
      <t xml:space="preserve">FIPS-approved algorithms for authentication are the cipher-based message authentication code (CMAC) and the keyed-hash message authentication code (HMAC). AES and 3DES are NIST-approved CMAC algorithms. The following are NIST-approved HMAC algorithms: SHA-1, SHA-224, SHA-256, SHA-384, SHA-512, SHA-512/224, and SHA-512/256. </t>
    </r>
    <r>
      <rPr>
        <sz val="11"/>
        <color rgb="FF000000"/>
        <rFont val="Calibri"/>
      </rPr>
      <t xml:space="preserve">
</t>
    </r>
    <r>
      <rPr>
        <sz val="11"/>
        <color rgb="FF000000"/>
        <rFont val="Calibri"/>
      </rPr>
      <t>If the SDN controller is not configured to authenticate received southbound API control-plane messages using a FIPS-approved message authentication code algorithm, this is a finding.</t>
    </r>
  </si>
  <si>
    <t>V-206729</t>
  </si>
  <si>
    <r>
      <rPr>
        <sz val="11"/>
        <rFont val="Calibri"/>
      </rPr>
      <t>The SDN controller must be configured to authenticate northbound Application Program Interface (API) messages received from business applications and management systems using a FIPS-approved message authentication code algorithm.</t>
    </r>
  </si>
  <si>
    <r>
      <rPr>
        <sz val="11"/>
        <color rgb="FF000000"/>
        <rFont val="Calibri"/>
      </rPr>
      <t xml:space="preserve">Configure the SDN controller to authenticate received northbound API messages using a FIPS-approved message authentication code algorithm. </t>
    </r>
    <r>
      <rPr>
        <sz val="11"/>
        <color rgb="FF000000"/>
        <rFont val="Calibri"/>
      </rPr>
      <t xml:space="preserve">
</t>
    </r>
    <r>
      <rPr>
        <sz val="11"/>
        <color rgb="FF000000"/>
        <rFont val="Calibri"/>
      </rPr>
      <t xml:space="preserve">FIPS-approved algorithms for authentication are the CMAC and the HMAC. </t>
    </r>
    <r>
      <rPr>
        <sz val="11"/>
        <color rgb="FF000000"/>
        <rFont val="Calibri"/>
      </rPr>
      <t xml:space="preserve">
</t>
    </r>
    <r>
      <rPr>
        <sz val="11"/>
        <color rgb="FF000000"/>
        <rFont val="Calibri"/>
      </rPr>
      <t>AES and 3DES are NIST-approved CMAC algorithms. The following are NIST-approved HMAC algorithms: SHA-1, SHA-224, SHA-256, SHA-384, SHA-512, SHA-512/224, and SHA-512/256.</t>
    </r>
  </si>
  <si>
    <r>
      <rPr>
        <sz val="11"/>
        <color rgb="FF000000"/>
        <rFont val="Calibri"/>
      </rPr>
      <t xml:space="preserve">The SDN controller determines how traffic should flow through physical and virtual network devices based on application profiles, network infrastructure resources, security policies, and business requirements that it receives via the northbound API. It also receives network service requests from orchestration and management systems to deploy and configure network elements via this API. In turn, the northbound API presents a network abstraction to these orchestration and management systems. </t>
    </r>
    <r>
      <rPr>
        <sz val="11"/>
        <color rgb="FF000000"/>
        <rFont val="Calibri"/>
      </rPr>
      <t xml:space="preserve">
</t>
    </r>
    <r>
      <rPr>
        <sz val="11"/>
        <color rgb="FF000000"/>
        <rFont val="Calibri"/>
      </rPr>
      <t>If attackers could leverage a vulnerable northbound API, they would have control over the SDN infrastructure through the controller. If the SDN controller were to receive fictitious information from a rogue application or orchestration system, non-optimized network paths would be produced that could disrupt network operations, resulting in inefficient application and business processes. An attacker could also leverage these protocols and attempt to instantiate new flows that could be inadvertently pushed into network devices’ flow-table. The attacker would want to try to spoof new flows to permit specific types of traffic that should be disallowed across the network. If an attacker could create a flow that bypasses the traffic steering that forces traffic through a firewall, the attacker would have a decided advantage. If the attacker can steer traffic in their direction, they may try to leverage that capability to sniff traffic and perform a man-in-the-middle attack.</t>
    </r>
  </si>
  <si>
    <r>
      <rPr>
        <sz val="11"/>
        <color rgb="FF000000"/>
        <rFont val="Calibri"/>
      </rPr>
      <t xml:space="preserve">Review the SDN configuration verify that it is configured to authenticate received northbound API messages using a FIPS-approved message authentication code algorithm. </t>
    </r>
    <r>
      <rPr>
        <sz val="11"/>
        <color rgb="FF000000"/>
        <rFont val="Calibri"/>
      </rPr>
      <t xml:space="preserve">
</t>
    </r>
    <r>
      <rPr>
        <sz val="11"/>
        <color rgb="FF000000"/>
        <rFont val="Calibri"/>
      </rPr>
      <t xml:space="preserve">FIPS-approved algorithms for authentication are the cipher-based message authentication code (CMAC) and the keyed-hash message authentication code (HMAC). AES and 3DES are NIST-approved CMAC algorithms. The following are NIST-approved HMAC algorithms: SHA-1, SHA-224, SHA-256, SHA-384, SHA-512, SHA-512/224, and SHA-512/256. </t>
    </r>
    <r>
      <rPr>
        <sz val="11"/>
        <color rgb="FF000000"/>
        <rFont val="Calibri"/>
      </rPr>
      <t xml:space="preserve">
</t>
    </r>
    <r>
      <rPr>
        <sz val="11"/>
        <color rgb="FF000000"/>
        <rFont val="Calibri"/>
      </rPr>
      <t>If the SDN controller is not configured to authenticate northbound API messages received from business applications and management systems using a FIPS-approved message authentication code algorithm, this is a finding.</t>
    </r>
  </si>
  <si>
    <t>V-206730</t>
  </si>
  <si>
    <r>
      <rPr>
        <sz val="11"/>
        <rFont val="Calibri"/>
      </rPr>
      <t>The SDN controller must be configured to encrypt all southbound Application Program Interface (API) control-plane messages using a FIPS-validated cryptographic module.</t>
    </r>
  </si>
  <si>
    <r>
      <rPr>
        <sz val="11"/>
        <color rgb="FF000000"/>
        <rFont val="Calibri"/>
      </rPr>
      <t xml:space="preserve">Deploy an out-of-band network to provision paths between SDN controller and SDN-enabled devices as well as all hypervisor hosts that compose the SDN infrastructure to provide transport for southbound API control-plane traffic. </t>
    </r>
    <r>
      <rPr>
        <sz val="11"/>
        <color rgb="FF000000"/>
        <rFont val="Calibri"/>
      </rPr>
      <t xml:space="preserve">
</t>
    </r>
    <r>
      <rPr>
        <sz val="11"/>
        <color rgb="FF000000"/>
        <rFont val="Calibri"/>
      </rPr>
      <t>An alternative is to configure the SDN controller to encrypt all southbound API control-plane traffic using a using a FIPS-validated cryptographic module. Implement a cryptographic module which has a validation certification and is listed on the NIST Cryptographic Module Validation Program's (CMVP) validation list.</t>
    </r>
  </si>
  <si>
    <r>
      <rPr>
        <sz val="11"/>
        <color rgb="FF000000"/>
        <rFont val="Calibri"/>
      </rPr>
      <t xml:space="preserve">Southbound APIs such as OpenFlow provide the forwarding tables to network devices, such as switches and routers, both physical and virtual (hypervisor-based). The SDN controllers use the concept of flows to identify network traffic based on predefined rules that can be statically or dynamically programmed by the SDN control software, thereby determining how traffic should flow through network devices based on usage patterns, applications, and policy that can optimize traffic paths based on business requirements and not network infrastructure design. </t>
    </r>
    <r>
      <rPr>
        <sz val="11"/>
        <color rgb="FF000000"/>
        <rFont val="Calibri"/>
      </rPr>
      <t xml:space="preserve">
</t>
    </r>
    <r>
      <rPr>
        <sz val="11"/>
        <color rgb="FF000000"/>
        <rFont val="Calibri"/>
      </rPr>
      <t>An attacker could also leverage these protocols and attempt to instantiate new flows into a device’s flow-table. The attacker would want to try to spoof new flows to permit specific types of traffic that should be disallowed across the network. If an attacker could create a flow that bypasses the traffic steering that forces traffic through a firewall, the attacker would have a decided advantage. If an SDN-aware router or switch received erroneous forwarding information from a rogue controller, traffic could be black-holed or even forwarded to a malicious user to sniff traffic and perform a man-in-the-middle attack. Hence, it is imperative to secure flow table updates by encrypting all southbound API traffic or deploying an out-of-band network for this traffic to traverse.</t>
    </r>
  </si>
  <si>
    <r>
      <rPr>
        <sz val="11"/>
        <color rgb="FF000000"/>
        <rFont val="Calibri"/>
      </rPr>
      <t xml:space="preserve">Determine if the southbound API control-plane traffic traverses an out-of-band path. If not, review the SDN controller configuration to verify that southbound API management-plane traffic is encrypted using a using a FIPS-validated cryptographic module. </t>
    </r>
    <r>
      <rPr>
        <sz val="11"/>
        <color rgb="FF000000"/>
        <rFont val="Calibri"/>
      </rPr>
      <t xml:space="preserve">
</t>
    </r>
    <r>
      <rPr>
        <sz val="11"/>
        <color rgb="FF000000"/>
        <rFont val="Calibri"/>
      </rPr>
      <t>If the southbound API control-plane traffic does not traverse an out-of-band path or is not encrypted using a using a FIPS-validated cryptographic module, this is a finding.</t>
    </r>
    <r>
      <rPr>
        <sz val="11"/>
        <color rgb="FF000000"/>
        <rFont val="Calibri"/>
      </rPr>
      <t xml:space="preserve">
</t>
    </r>
    <r>
      <rPr>
        <sz val="11"/>
        <color rgb="FF000000"/>
        <rFont val="Calibri"/>
      </rPr>
      <t>Note: FIPS-validated cryptographic modules are listed on the NIST Cryptographic Module Validation Program's (CMVP) validation list.</t>
    </r>
  </si>
  <si>
    <t>V-206731</t>
  </si>
  <si>
    <r>
      <rPr>
        <sz val="11"/>
        <rFont val="Calibri"/>
      </rPr>
      <t>The SDN controller must be configured to encrypt all northbound Application Program Interface (API) messages using a FIPS-validated cryptographic module.</t>
    </r>
  </si>
  <si>
    <r>
      <rPr>
        <sz val="11"/>
        <color rgb="FF000000"/>
        <rFont val="Calibri"/>
      </rPr>
      <t xml:space="preserve">Deploy an out-of-band network to provision paths between the SDN controller and the SDN management/orchestration systems for providing transport for northbound API traffic. </t>
    </r>
    <r>
      <rPr>
        <sz val="11"/>
        <color rgb="FF000000"/>
        <rFont val="Calibri"/>
      </rPr>
      <t xml:space="preserve">
</t>
    </r>
    <r>
      <rPr>
        <sz val="11"/>
        <color rgb="FF000000"/>
        <rFont val="Calibri"/>
      </rPr>
      <t>An alternative is to configure the SDN controller to encrypt all northbound API traffic using a FIPS-validated cryptographic module. Implement a cryptographic module which has a validation certification and is listed on the NIST Cryptographic Module Validation Program's (CMVP) validation list.</t>
    </r>
  </si>
  <si>
    <r>
      <rPr>
        <sz val="11"/>
        <color rgb="FF000000"/>
        <rFont val="Calibri"/>
      </rPr>
      <t>The SDN controller receives network service requests from orchestration and management systems to deploy and configure network elements via the northbound API. In turn, the northbound API presents a network abstraction to these systems. If either the orchestration or management system were breached, a rogue user could make modifications to the business or security policy that could disrupt network operations, resulting in inefficient application and business processes and bypassing security controls. In addition, invalid network service requests could be processed that could exhaust compute, storage, and network resources, leaving no resources available for legitimate business requirements. Hence, it is imperative that all northbound API traffic is secured by encrypting the traffic or deploying an out-of-band network for this traffic to traverse.</t>
    </r>
  </si>
  <si>
    <r>
      <rPr>
        <sz val="11"/>
        <color rgb="FF000000"/>
        <rFont val="Calibri"/>
      </rPr>
      <t xml:space="preserve">Determine if the northbound API traffic traverses an out-of-band path. If not, review the SDN controller configuration to verify that northbound API traffic is encrypted using a using a FIPS-validated cryptographic module. </t>
    </r>
    <r>
      <rPr>
        <sz val="11"/>
        <color rgb="FF000000"/>
        <rFont val="Calibri"/>
      </rPr>
      <t xml:space="preserve">
</t>
    </r>
    <r>
      <rPr>
        <sz val="11"/>
        <color rgb="FF000000"/>
        <rFont val="Calibri"/>
      </rPr>
      <t>If northbound API traffic does not traverse an out-of-band path and is not encrypted using a using a FIPS-validated cryptographic module, this is a finding.</t>
    </r>
    <r>
      <rPr>
        <sz val="11"/>
        <color rgb="FF000000"/>
        <rFont val="Calibri"/>
      </rPr>
      <t xml:space="preserve">
</t>
    </r>
    <r>
      <rPr>
        <sz val="11"/>
        <color rgb="FF000000"/>
        <rFont val="Calibri"/>
      </rPr>
      <t>Note: FIPS-validated cryptographic modules are listed on the NIST Cryptographic Module Validation Program's (CMVP) validation list.</t>
    </r>
  </si>
  <si>
    <t>V-206732</t>
  </si>
  <si>
    <r>
      <rPr>
        <sz val="11"/>
        <rFont val="Calibri"/>
      </rPr>
      <t>The SDN controller must be configured to authenticate received southbound Application Program Interface (API) management-plane messages using a FIPS-approved message authentication code algorithm.</t>
    </r>
  </si>
  <si>
    <r>
      <rPr>
        <sz val="11"/>
        <color rgb="FF000000"/>
        <rFont val="Calibri"/>
      </rPr>
      <t xml:space="preserve">Configure the SDN controller to authenticate southbound API management-plane messages using a FIPS-approved message authentication code algorithm. </t>
    </r>
    <r>
      <rPr>
        <sz val="11"/>
        <color rgb="FF000000"/>
        <rFont val="Calibri"/>
      </rPr>
      <t xml:space="preserve">
</t>
    </r>
    <r>
      <rPr>
        <sz val="11"/>
        <color rgb="FF000000"/>
        <rFont val="Calibri"/>
      </rPr>
      <t>FIPS-approved algorithms for authentication are the CMAC and the HMAC. AES and 3DES are NIST-approved CMAC algorithms. The following are NIST-approved HMAC algorithms: SHA-1, SHA-224, SHA-256, SHA-384, SHA-512, SHA-512/224, and SHA-512/256.</t>
    </r>
  </si>
  <si>
    <r>
      <rPr>
        <sz val="11"/>
        <color rgb="FF000000"/>
        <rFont val="Calibri"/>
      </rPr>
      <t>The SDN controller can receive management-plane traffic from the SDN-enabled devices that it monitors and manages. The messages could be responses from SNMP get requests as well as SNMP notifications (i.e., traps and informs) provided to note changes in node or link state. NETCONF is also used by the SDN controller to configure SDN-enabled devices as well as to receive state and configuration information. Communication between the SDN controller and NETCONF-enabled devices is session based. A session is established for the purpose of exchanging data using remote procedure call (RPC) requests and replies. If the SDN controller were to receive messages from a rogue device using SNMP or NETCONF providing fraud state information or configuration data, the abstract view of the network topology could be altered thereby providing an attacker with the ability to force traffic to bypass security controls or be forwarded using non-optimized paths. To ensure the integrity and authenticity of these messages, it is imperative that they are authenticated prior to processing and taking any action.</t>
    </r>
  </si>
  <si>
    <r>
      <rPr>
        <sz val="11"/>
        <color rgb="FF000000"/>
        <rFont val="Calibri"/>
      </rPr>
      <t xml:space="preserve">Review the SDN configuration, verify that it is configured to authenticate received southbound API management-plane messages using a FIPS-approved message authentication code algorithm. </t>
    </r>
    <r>
      <rPr>
        <sz val="11"/>
        <color rgb="FF000000"/>
        <rFont val="Calibri"/>
      </rPr>
      <t xml:space="preserve">
</t>
    </r>
    <r>
      <rPr>
        <sz val="11"/>
        <color rgb="FF000000"/>
        <rFont val="Calibri"/>
      </rPr>
      <t xml:space="preserve">FIPS-approved algorithms for authentication are the cipher-based message authentication code (CMAC) and the keyed-hash message authentication code (HMAC). AES and 3DES are NIST-approved CMAC algorithms. The following are NIST-approved HMAC algorithms: SHA-1, SHA-224, SHA-256, SHA-384, SHA-512, SHA-512/224, and SHA-512/256. </t>
    </r>
    <r>
      <rPr>
        <sz val="11"/>
        <color rgb="FF000000"/>
        <rFont val="Calibri"/>
      </rPr>
      <t xml:space="preserve">
</t>
    </r>
    <r>
      <rPr>
        <sz val="11"/>
        <color rgb="FF000000"/>
        <rFont val="Calibri"/>
      </rPr>
      <t>If the SDN controller is not configured to authenticate received southbound API management-plane messages using a FIPS-approved message authentication code algorithm, this is a finding.</t>
    </r>
  </si>
  <si>
    <t>V-206733</t>
  </si>
  <si>
    <r>
      <rPr>
        <sz val="11"/>
        <rFont val="Calibri"/>
      </rPr>
      <t>The SDN controller must be configured to encrypt all southbound Application Program Interface (API) management-plane messages using a FIPS-validated cryptographic module.</t>
    </r>
  </si>
  <si>
    <r>
      <rPr>
        <sz val="11"/>
        <color rgb="FF000000"/>
        <rFont val="Calibri"/>
      </rPr>
      <t xml:space="preserve">Deploy an out-of-band network to provision paths between SDN controller and SDN-enabled devices as well as all hypervisor hosts that compose the SDN infrastructure to provide transport for southbound API management-plane traffic. </t>
    </r>
    <r>
      <rPr>
        <sz val="11"/>
        <color rgb="FF000000"/>
        <rFont val="Calibri"/>
      </rPr>
      <t xml:space="preserve">
</t>
    </r>
    <r>
      <rPr>
        <sz val="11"/>
        <color rgb="FF000000"/>
        <rFont val="Calibri"/>
      </rPr>
      <t>An alternative is to configure the SDN controller to encrypt all southbound API management-plane traffic using a FIPS-validated cryptographic module. Implement a cryptographic module which has a validation certification and is listed on the NIST Cryptographic Module Validation Program's (CMVP) validation list.</t>
    </r>
  </si>
  <si>
    <r>
      <rPr>
        <sz val="11"/>
        <color rgb="FF000000"/>
        <rFont val="Calibri"/>
      </rPr>
      <t>An SDN controller can manage and configure SDN-enabled devices using protocols such as SNMP and NETCONF. If an SDN-aware router or switch received erroneous configuration information that was altered by a malicious user, interfaces could be disabled, erroneous IP addresses configured, services removed—all resulting a network disruption or even an outage.  Hence, it is imperative to secure the management plane by encrypting all southbound API management-plane traffic or deploying an out-of-band network for this traffic to traverse.</t>
    </r>
  </si>
  <si>
    <r>
      <rPr>
        <sz val="11"/>
        <color rgb="FF000000"/>
        <rFont val="Calibri"/>
      </rPr>
      <t xml:space="preserve">Determine if the southbound API management-plane traffic traverses an out-of-band path. If not, review the SDN controller configuration to verify that southbound API management-plane traffic is encrypted using a using a FIPS-validated cryptographic module. </t>
    </r>
    <r>
      <rPr>
        <sz val="11"/>
        <color rgb="FF000000"/>
        <rFont val="Calibri"/>
      </rPr>
      <t xml:space="preserve">
</t>
    </r>
    <r>
      <rPr>
        <sz val="11"/>
        <color rgb="FF000000"/>
        <rFont val="Calibri"/>
      </rPr>
      <t>If the southbound API management-plane traffic does not traverse an out-of-band path and is not encrypted using a FIPS-validated cryptographic module, this is a finding.</t>
    </r>
    <r>
      <rPr>
        <sz val="11"/>
        <color rgb="FF000000"/>
        <rFont val="Calibri"/>
      </rPr>
      <t xml:space="preserve">
</t>
    </r>
    <r>
      <rPr>
        <sz val="11"/>
        <color rgb="FF000000"/>
        <rFont val="Calibri"/>
      </rPr>
      <t>Note: FIPS-validated cryptographic modules are listed on the NIST Cryptographic Module Validation Program's (CMVP) validation list.</t>
    </r>
  </si>
  <si>
    <t>V-206734</t>
  </si>
  <si>
    <r>
      <rPr>
        <sz val="11"/>
        <rFont val="Calibri"/>
      </rPr>
      <t>The SDN controller must be configured to be deployed as a cluster and on separate physical hosts.</t>
    </r>
  </si>
  <si>
    <r>
      <rPr>
        <sz val="11"/>
        <color rgb="FF000000"/>
        <rFont val="Calibri"/>
      </rPr>
      <t>Deploy the SDN controller as a cluster using on a separate physical hosts to eliminate single point of failure. Configure the SDN controller to peer with one or more controllers.</t>
    </r>
  </si>
  <si>
    <r>
      <rPr>
        <sz val="11"/>
        <color rgb="FF000000"/>
        <rFont val="Calibri"/>
      </rPr>
      <t>SDN relies heavily on control messages between a controller and the forwarding devices for network convergence. The controller uses node and link state discovery information to calculate and determine optimum pathing within the SDN network infrastructure based on application, business, and security policies. Operating in the proactive flow instantiation mode, the SDN controller populates forwarding tables to the SDN-aware forwarding devices. At times, the SDN controller must function in reactive flow instantiation mode; that is, when a forwarding device receives a packet for a flow not found in its forwarding table, it must send it to the controller to receive forwarding instructions.</t>
    </r>
    <r>
      <rPr>
        <sz val="11"/>
        <color rgb="FF000000"/>
        <rFont val="Calibri"/>
      </rPr>
      <t xml:space="preserve">
</t>
    </r>
    <r>
      <rPr>
        <sz val="11"/>
        <color rgb="FF000000"/>
        <rFont val="Calibri"/>
      </rPr>
      <t>With total dependence on the SDN controller for determining forwarding decisions and path optimization within the SDN infrastructure for both proactive and reactive flow modes of operation, having a single point of failure is not acceptable. A controller failure with no failover backup leaves the network in an unmanaged state. Hence, it is imperative that the SDN controllers are deployed as clusters on separate physical hosts to guarantee network high availability.</t>
    </r>
  </si>
  <si>
    <r>
      <rPr>
        <sz val="11"/>
        <color rgb="FF000000"/>
        <rFont val="Calibri"/>
      </rPr>
      <t xml:space="preserve">Review the SDN controller configuration to determine if it is configured to peer with one or more controllers. Also verify that the controller resides on a different physical host than any of its peers. </t>
    </r>
    <r>
      <rPr>
        <sz val="11"/>
        <color rgb="FF000000"/>
        <rFont val="Calibri"/>
      </rPr>
      <t xml:space="preserve">
</t>
    </r>
    <r>
      <rPr>
        <sz val="11"/>
        <color rgb="FF000000"/>
        <rFont val="Calibri"/>
      </rPr>
      <t>If the SDN controller is not configured to be deployed as a cluster and on separate physical hosts, this is a finding.</t>
    </r>
  </si>
  <si>
    <t>V-206735</t>
  </si>
  <si>
    <r>
      <rPr>
        <sz val="11"/>
        <rFont val="Calibri"/>
      </rPr>
      <t>The SDN Controller must be configured to notify the forwarding device to either drop the packet or make an entry in the flow table for a received packet that does not match any flow table entries.</t>
    </r>
  </si>
  <si>
    <r>
      <rPr>
        <sz val="11"/>
        <color rgb="FF000000"/>
        <rFont val="Calibri"/>
      </rPr>
      <t>Configure the SDN controller to enable reactive flow setup so that the controller will notify a forwarding device to either drop the packet or make an entry in the flow table for a received packet that does not match any flow table entries.</t>
    </r>
  </si>
  <si>
    <r>
      <rPr>
        <sz val="11"/>
        <color rgb="FF000000"/>
        <rFont val="Calibri"/>
      </rPr>
      <t>Reactive flow setup occurs when the SDN-aware switch receives a packet that does not match the flow table entries and hence the switch has to send the packet to the controller for processing. Once the controller decides how to process the flow that information is cached on the SDN-aware switch, and the SDN controller determines how long to keep the cache alive. In order to prevent packets from being dropped as a result of no flow table entry, it is imperative that the SDN Controller is configured to enable reactive flow setup.</t>
    </r>
  </si>
  <si>
    <r>
      <rPr>
        <sz val="11"/>
        <color rgb="FF000000"/>
        <rFont val="Calibri"/>
      </rPr>
      <t xml:space="preserve">Review the SDN controller configuration to determine if it is configured to enable reactive flow setup. </t>
    </r>
    <r>
      <rPr>
        <sz val="11"/>
        <color rgb="FF000000"/>
        <rFont val="Calibri"/>
      </rPr>
      <t xml:space="preserve">
</t>
    </r>
    <r>
      <rPr>
        <sz val="11"/>
        <color rgb="FF000000"/>
        <rFont val="Calibri"/>
      </rPr>
      <t>If the SDN Controller is not configured to notify the forwarding device to either drop the packet or make an entry in the flow table for a received packet that does not match any flow table entries, this is a finding.</t>
    </r>
  </si>
  <si>
    <t>V-206736</t>
  </si>
  <si>
    <r>
      <rPr>
        <sz val="11"/>
        <rFont val="Calibri"/>
      </rPr>
      <t>SDN controller must be configured to forward traffic based on security requirements.</t>
    </r>
  </si>
  <si>
    <r>
      <rPr>
        <sz val="11"/>
        <color rgb="FF000000"/>
        <rFont val="Calibri"/>
      </rPr>
      <t>Configure the SDN controller to forward traffic based on security requirements.</t>
    </r>
  </si>
  <si>
    <r>
      <rPr>
        <sz val="11"/>
        <color rgb="FF000000"/>
        <rFont val="Calibri"/>
      </rPr>
      <t>For security reasons, an organization may choose to have traffic that is inbound to a server go through a specific firewall. In order not to consume the resources of the firewall with clean traffic, the organization may want to choose to redirect the traffic that is outbound from the server to not go through the firewall. Today, zero-trust models are being implemented within the data center; applications and workloads trust no other workload; hence, connectivity between them is not allowed unless explicitly authorized. Each application or workload can have its own security policies. With the advent of cloud networking and multi-tenancy, security policies have evolved to be more workload and application-centric (for example, what type of application, who the tenant is, and which tier of the application is being protected). The SDN Controller must enforce these policies by controlling the forwarding of packets to specific destinations for specific workloads based on the rules provided within the policies.</t>
    </r>
  </si>
  <si>
    <r>
      <rPr>
        <sz val="11"/>
        <color rgb="FF000000"/>
        <rFont val="Calibri"/>
      </rPr>
      <t xml:space="preserve">Review the SDN controller configuration to determine if it is configured to forward traffic based on security requirements that have been provided from a security service or policy engine via the northbound API. </t>
    </r>
    <r>
      <rPr>
        <sz val="11"/>
        <color rgb="FF000000"/>
        <rFont val="Calibri"/>
      </rPr>
      <t xml:space="preserve">
</t>
    </r>
    <r>
      <rPr>
        <sz val="11"/>
        <color rgb="FF000000"/>
        <rFont val="Calibri"/>
      </rPr>
      <t>If the SDN Controller is not configured to forward traffic based on security requirements, this is a finding.</t>
    </r>
  </si>
  <si>
    <t>V-206737</t>
  </si>
  <si>
    <r>
      <rPr>
        <sz val="11"/>
        <rFont val="Calibri"/>
      </rPr>
      <t>The SDN controller must be configured to enable multi-tenant virtual networks to be fully isolated from one another.</t>
    </r>
  </si>
  <si>
    <r>
      <rPr>
        <sz val="11"/>
        <color rgb="FF000000"/>
        <rFont val="Calibri"/>
      </rPr>
      <t>Configure the SDN controller to deploy dedicated instances of virtual networks and separate forwarding tables to the provisioned network elements belonging to each tenant.</t>
    </r>
  </si>
  <si>
    <r>
      <rPr>
        <sz val="11"/>
        <color rgb="FF000000"/>
        <rFont val="Calibri"/>
      </rPr>
      <t>Network-as-a-Service (NaaS) is often implemented in a multi-tenant paradigm, where customers share network infrastructure and services while they are logically isolated from each other. SDN provides an approach to the orchestration and provisioning of virtual network services by the owners of the network infrastructures. This leads to various multi-tenancy deployments: on different layers, for different purposes, using different techniques—each of which provides different levels of control while requiring different types of isolation among users. For instance, implementation can be a southbound multi-tenancy with several guest controllers sharing the same data forwarding elements, or a northbound multi-tenancy with several guest applications sharing the entire SDN infrastructure including the SDN controller. Regardless of the implementation, it is imperative that the controller provides the necessary isolation and separation.</t>
    </r>
  </si>
  <si>
    <r>
      <rPr>
        <sz val="11"/>
        <color rgb="FF000000"/>
        <rFont val="Calibri"/>
      </rPr>
      <t xml:space="preserve">Review the SDN controller configuration to determine if it is configured to deploy dedicated instances of virtual networks and separate forwarding tables to the provisioned network elements belonging to each tenant. </t>
    </r>
    <r>
      <rPr>
        <sz val="11"/>
        <color rgb="FF000000"/>
        <rFont val="Calibri"/>
      </rPr>
      <t xml:space="preserve">
</t>
    </r>
    <r>
      <rPr>
        <sz val="11"/>
        <color rgb="FF000000"/>
        <rFont val="Calibri"/>
      </rPr>
      <t>If the SDN Controller is not configured to enable multi-tenant virtual networks to be fully isolated from one another, this is a finding.</t>
    </r>
  </si>
  <si>
    <t>V-206738</t>
  </si>
  <si>
    <r>
      <rPr>
        <sz val="11"/>
        <rFont val="Calibri"/>
      </rPr>
      <t>The SDN controller must be configured to separate tenant functionality from system management functionality.</t>
    </r>
  </si>
  <si>
    <r>
      <rPr>
        <sz val="11"/>
        <color rgb="FF000000"/>
        <rFont val="Calibri"/>
      </rPr>
      <t>Configure the SDN controller to have tenant functionality separated from system management functionality using separated instances within the controller framework as well as Role-based access control (RBAC).</t>
    </r>
  </si>
  <si>
    <r>
      <rPr>
        <sz val="11"/>
        <color rgb="FF000000"/>
        <rFont val="Calibri"/>
      </rPr>
      <t>Network-as-a-Service (NaaS) is frequently offered in a multi-tenant paradigm, where customers share network infrastructure. SDN provides an approach to the provisioning of virtual network services by owners of the network infrastructures to third parties. This leads to various multi-tenancy deployments using different techniques, each of which provides different levels of control while requiring different types of isolation among users. For example, a southbound implementation allows multiple guest controllers sharing the same data forwarding elements; whereas a northbound implementation enables multiple guest applications sharing the whole SDN infrastructure including the SDN controller. To ensure stable network operations in a multi-tenant deployment, it is imperative that the SDN controller is configured to separate tenant functionality from system management functionality.</t>
    </r>
  </si>
  <si>
    <r>
      <rPr>
        <sz val="11"/>
        <color rgb="FF000000"/>
        <rFont val="Calibri"/>
      </rPr>
      <t xml:space="preserve">Review the SDN controller configuration to determine whether tenant functionality is separated from system management functionality using separated instances within the controller framework as well as Role-based access control (RBAC). </t>
    </r>
    <r>
      <rPr>
        <sz val="11"/>
        <color rgb="FF000000"/>
        <rFont val="Calibri"/>
      </rPr>
      <t xml:space="preserve">
</t>
    </r>
    <r>
      <rPr>
        <sz val="11"/>
        <color rgb="FF000000"/>
        <rFont val="Calibri"/>
      </rPr>
      <t>If the SDN controller is not configured to separate tenant functionality from system management functionality, this is a finding.</t>
    </r>
  </si>
  <si>
    <t>V-206739</t>
  </si>
  <si>
    <r>
      <rPr>
        <sz val="11"/>
        <rFont val="Calibri"/>
      </rPr>
      <t>The SDN controller must be configured to isolate security functions from non-security functions.</t>
    </r>
  </si>
  <si>
    <r>
      <rPr>
        <sz val="11"/>
        <color rgb="FF000000"/>
        <rFont val="Calibri"/>
      </rPr>
      <t>Configure the SDN controller to isolate objects and code implementing RBAC to restrict access to security functionality from non-security functionality objects and code.</t>
    </r>
  </si>
  <si>
    <r>
      <rPr>
        <sz val="11"/>
        <color rgb="FF000000"/>
        <rFont val="Calibri"/>
      </rPr>
      <t xml:space="preserve">An isolation boundary provides access control and protects the integrity of the hardware, software, and firmware that perform security functions. </t>
    </r>
    <r>
      <rPr>
        <sz val="11"/>
        <color rgb="FF000000"/>
        <rFont val="Calibri"/>
      </rPr>
      <t xml:space="preserve">
</t>
    </r>
    <r>
      <rPr>
        <sz val="11"/>
        <color rgb="FF000000"/>
        <rFont val="Calibri"/>
      </rPr>
      <t xml:space="preserve">Security functions are the hardware, software, and/or firmware of the information system responsible for enforcing the system security policy and supporting the isolation of code and data on which the protection is based. </t>
    </r>
    <r>
      <rPr>
        <sz val="11"/>
        <color rgb="FF000000"/>
        <rFont val="Calibri"/>
      </rPr>
      <t xml:space="preserve">
</t>
    </r>
    <r>
      <rPr>
        <sz val="11"/>
        <color rgb="FF000000"/>
        <rFont val="Calibri"/>
      </rPr>
      <t>Developers and implementers can increase the assurance in security functions by employing well-defined security policy models; structured, disciplined, and rigorous hardware and software development techniques; and sound system/security engineering principles. Implementation may include isolation of memory space and libraries. Applications restrict access to security functions through the use of access control mechanisms and by implementing least privilege capabilities.</t>
    </r>
  </si>
  <si>
    <r>
      <rPr>
        <sz val="11"/>
        <color rgb="FF000000"/>
        <rFont val="Calibri"/>
      </rPr>
      <t xml:space="preserve">Review the SDN controller configuration to determine whether objects and code implementing security functionality are isolated from non-security functionality objects and code. Role-based access control (RBAC) must also be configured to restrict access to all security functionality. </t>
    </r>
    <r>
      <rPr>
        <sz val="11"/>
        <color rgb="FF000000"/>
        <rFont val="Calibri"/>
      </rPr>
      <t xml:space="preserve">
</t>
    </r>
    <r>
      <rPr>
        <sz val="11"/>
        <color rgb="FF000000"/>
        <rFont val="Calibri"/>
      </rPr>
      <t>If security-related objects and code are not kept separate and are not configured with RBAC access restriction, this is a finding.</t>
    </r>
  </si>
  <si>
    <t>V-206740</t>
  </si>
  <si>
    <r>
      <rPr>
        <sz val="11"/>
        <rFont val="Calibri"/>
      </rPr>
      <t>The SDN controller must be configured to generate error messages that provide information necessary for corrective actions without revealing information that could be exploited by adversaries.</t>
    </r>
  </si>
  <si>
    <r>
      <rPr>
        <sz val="11"/>
        <color rgb="FF000000"/>
        <rFont val="Calibri"/>
      </rPr>
      <t>Configure the SDN controller to generate error messages that provide information necessary for corrective actions without revealing information that could be exploited by adversaries.</t>
    </r>
  </si>
  <si>
    <r>
      <rPr>
        <sz val="11"/>
        <color rgb="FF000000"/>
        <rFont val="Calibri"/>
      </rPr>
      <t>Providing too much information in error messages on the screen or printout risks compromising the data and security of the SDN controller. The structure and content of error messages need to be carefully considered by the organization. The extent to which information systems are able to identify and handle error conditions is guided by organizational policy and operational requirements.</t>
    </r>
  </si>
  <si>
    <r>
      <rPr>
        <sz val="11"/>
        <color rgb="FF000000"/>
        <rFont val="Calibri"/>
      </rPr>
      <t xml:space="preserve">Review the SDN controller configuration to determine that error messages do not contain information beyond what is needed for troubleshooting controller and network problems. </t>
    </r>
    <r>
      <rPr>
        <sz val="11"/>
        <color rgb="FF000000"/>
        <rFont val="Calibri"/>
      </rPr>
      <t xml:space="preserve">
</t>
    </r>
    <r>
      <rPr>
        <sz val="11"/>
        <color rgb="FF000000"/>
        <rFont val="Calibri"/>
      </rPr>
      <t>If the controller is not configured to generate error messages that provide information necessary for corrective actions without revealing information that could be exploited by adversaries, this is a finding.</t>
    </r>
  </si>
  <si>
    <t>V-206741</t>
  </si>
  <si>
    <r>
      <rPr>
        <sz val="11"/>
        <rFont val="Calibri"/>
      </rPr>
      <t>The SDN controller must be configured to notify the ISSO and ISSM of failed verification tests for organization-defined security functions.</t>
    </r>
  </si>
  <si>
    <r>
      <rPr>
        <sz val="11"/>
        <color rgb="FF000000"/>
        <rFont val="Calibri"/>
      </rPr>
      <t>Configure the SDN controller to notify the ISSO and ISSM of failed security verification tests.</t>
    </r>
    <r>
      <rPr>
        <sz val="11"/>
        <color rgb="FF000000"/>
        <rFont val="Calibri"/>
      </rPr>
      <t xml:space="preserve">
</t>
    </r>
    <r>
      <rPr>
        <sz val="11"/>
        <color rgb="FF000000"/>
        <rFont val="Calibri"/>
      </rPr>
      <t>Note: DoD activities should also notify the Regional Cyber Center (RCC).</t>
    </r>
    <r>
      <rPr>
        <sz val="11"/>
        <color rgb="FF000000"/>
        <rFont val="Calibri"/>
      </rPr>
      <t xml:space="preserve">
</t>
    </r>
    <r>
      <rPr>
        <sz val="11"/>
        <color rgb="FF000000"/>
        <rFont val="Calibri"/>
      </rPr>
      <t>Note: The organization defines the system transitional states when the SDN controller will verify correct operation of the security functions.</t>
    </r>
  </si>
  <si>
    <r>
      <rPr>
        <sz val="11"/>
        <color rgb="FF000000"/>
        <rFont val="Calibri"/>
      </rPr>
      <t xml:space="preserve">If personnel are not notified of failed security verification tests, they will not be able to take corrective action and the unsecure condition(s) will remain. </t>
    </r>
    <r>
      <rPr>
        <sz val="11"/>
        <color rgb="FF000000"/>
        <rFont val="Calibri"/>
      </rPr>
      <t xml:space="preserve">
</t>
    </r>
    <r>
      <rPr>
        <sz val="11"/>
        <color rgb="FF000000"/>
        <rFont val="Calibri"/>
      </rPr>
      <t>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t>
    </r>
    <r>
      <rPr>
        <sz val="11"/>
        <color rgb="FF000000"/>
        <rFont val="Calibri"/>
      </rPr>
      <t xml:space="preserve">
</t>
    </r>
    <r>
      <rPr>
        <sz val="11"/>
        <color rgb="FF000000"/>
        <rFont val="Calibri"/>
      </rPr>
      <t>Notifications provided by information systems include messages to local computer consoles, and/or hardware indications, such as lights.</t>
    </r>
    <r>
      <rPr>
        <sz val="11"/>
        <color rgb="FF000000"/>
        <rFont val="Calibri"/>
      </rPr>
      <t xml:space="preserve">
</t>
    </r>
    <r>
      <rPr>
        <sz val="11"/>
        <color rgb="FF000000"/>
        <rFont val="Calibri"/>
      </rPr>
      <t>This requirement applies to applications performing security functions and the applications performing security function verification/testing.</t>
    </r>
  </si>
  <si>
    <r>
      <rPr>
        <sz val="11"/>
        <color rgb="FF000000"/>
        <rFont val="Calibri"/>
      </rPr>
      <t xml:space="preserve">Review the SDN controller configuration to determine if it is configured to notify the ISSO and ISSM of failed security verification tests. </t>
    </r>
    <r>
      <rPr>
        <sz val="11"/>
        <color rgb="FF000000"/>
        <rFont val="Calibri"/>
      </rPr>
      <t xml:space="preserve">
</t>
    </r>
    <r>
      <rPr>
        <sz val="11"/>
        <color rgb="FF000000"/>
        <rFont val="Calibri"/>
      </rPr>
      <t>If the SDN controller is not configured to notify the ISSO and ISSM of failed security verification tests, this is a finding.</t>
    </r>
    <r>
      <rPr>
        <sz val="11"/>
        <color rgb="FF000000"/>
        <rFont val="Calibri"/>
      </rPr>
      <t xml:space="preserve">
</t>
    </r>
    <r>
      <rPr>
        <sz val="11"/>
        <color rgb="FF000000"/>
        <rFont val="Calibri"/>
      </rPr>
      <t>Note: The organization defines the system transitional states when the SDN controller will verify correct operation of the security functions.</t>
    </r>
  </si>
  <si>
    <t>V-206742</t>
  </si>
  <si>
    <r>
      <rPr>
        <sz val="11"/>
        <rFont val="Calibri"/>
      </rPr>
      <t>The SDN controller must be configured to prohibit user installation of software without explicit privileged status.</t>
    </r>
  </si>
  <si>
    <r>
      <rPr>
        <sz val="11"/>
        <color rgb="FF000000"/>
        <rFont val="Calibri"/>
      </rPr>
      <t>Document the approval for nonadministrative users who require the ability to install, modify, or replace software modules within the SDN controller framework. Configure the SDN controller to revoke the installation of software modules by any unapproved permissions or access levels.</t>
    </r>
  </si>
  <si>
    <r>
      <rPr>
        <sz val="11"/>
        <color rgb="FF000000"/>
        <rFont val="Calibri"/>
      </rPr>
      <t>Allowing regular users to install software, without explicit privileges, creates the risk that untested or potentially malicious software will be installed on the system. Explicit privileges (escalated or administrative privileges) provide the regular user with explicit capabilities and control that exceeds the rights of a regular user.</t>
    </r>
    <r>
      <rPr>
        <sz val="11"/>
        <color rgb="FF000000"/>
        <rFont val="Calibri"/>
      </rPr>
      <t xml:space="preserve">
</t>
    </r>
    <r>
      <rPr>
        <sz val="11"/>
        <color rgb="FF000000"/>
        <rFont val="Calibri"/>
      </rPr>
      <t xml:space="preserve">Application functionality will vary, and while users are not permitted to install unapproved applications, there may be instances where the organization allows the user to install approved software packages such as from an approved software repository. </t>
    </r>
    <r>
      <rPr>
        <sz val="11"/>
        <color rgb="FF000000"/>
        <rFont val="Calibri"/>
      </rPr>
      <t xml:space="preserve">
</t>
    </r>
    <r>
      <rPr>
        <sz val="11"/>
        <color rgb="FF000000"/>
        <rFont val="Calibri"/>
      </rPr>
      <t xml:space="preserve">The application must enforce software installation by users based upon what types of software installations are permitted (e.g., updates and security patches to existing software) and what types of installations are prohibited (e.g., software whose pedigree with regard to being potentially malicious is unknown or suspect) by the organization. </t>
    </r>
    <r>
      <rPr>
        <sz val="11"/>
        <color rgb="FF000000"/>
        <rFont val="Calibri"/>
      </rPr>
      <t xml:space="preserve">
</t>
    </r>
    <r>
      <rPr>
        <sz val="11"/>
        <color rgb="FF000000"/>
        <rFont val="Calibri"/>
      </rPr>
      <t>This requirement applies, for example, to applications that provide the ability to extend application functionality (e.g., plug-ins, add-ons) and software management applications.</t>
    </r>
  </si>
  <si>
    <r>
      <rPr>
        <sz val="11"/>
        <color rgb="FF000000"/>
        <rFont val="Calibri"/>
      </rPr>
      <t xml:space="preserve">Review documentation of nonadministrative users who have been given access permissions to install, modify, or replace software modules within the SDN controller framework. Review the SDN controller configuration to determine that only authorized users have the permissions to install, modify, or replace software modules. </t>
    </r>
    <r>
      <rPr>
        <sz val="11"/>
        <color rgb="FF000000"/>
        <rFont val="Calibri"/>
      </rPr>
      <t xml:space="preserve">
</t>
    </r>
    <r>
      <rPr>
        <sz val="11"/>
        <color rgb="FF000000"/>
        <rFont val="Calibri"/>
      </rPr>
      <t>If the SDN controller is not configured to revoke unauthorized attempts to install, modify, or replace software modules, this is a finding.</t>
    </r>
  </si>
  <si>
    <t>V-206743</t>
  </si>
  <si>
    <r>
      <rPr>
        <sz val="11"/>
        <rFont val="Calibri"/>
      </rPr>
      <t>The SDN controller must be configured to enforce access restrictions associated with changes to the configuration.</t>
    </r>
  </si>
  <si>
    <r>
      <rPr>
        <sz val="11"/>
        <color rgb="FF000000"/>
        <rFont val="Calibri"/>
      </rPr>
      <t>Configure the SDN controller to restrict access to the configuration.</t>
    </r>
  </si>
  <si>
    <r>
      <rPr>
        <sz val="11"/>
        <color rgb="FF000000"/>
        <rFont val="Calibri"/>
      </rPr>
      <t xml:space="preserve">Failure to provide logical access restrictions associated with changes to application configuration may have significant effects on the overall security of the system. </t>
    </r>
    <r>
      <rPr>
        <sz val="11"/>
        <color rgb="FF000000"/>
        <rFont val="Calibri"/>
      </rPr>
      <t xml:space="preserve">
</t>
    </r>
    <r>
      <rPr>
        <sz val="11"/>
        <color rgb="FF000000"/>
        <rFont val="Calibri"/>
      </rPr>
      <t xml:space="preserve">When dealing with access restrictions pertaining to change control, it should be noted that any changes to the hardware, software, and/or firmware components of the information system and/or application can potentially have significant effects on the overall security of the system. </t>
    </r>
    <r>
      <rPr>
        <sz val="11"/>
        <color rgb="FF000000"/>
        <rFont val="Calibri"/>
      </rPr>
      <t xml:space="preserve">
</t>
    </r>
    <r>
      <rPr>
        <sz val="11"/>
        <color rgb="FF000000"/>
        <rFont val="Calibri"/>
      </rPr>
      <t xml:space="preserve">Accordingly, only qualified and authorized individuals should be allowed to obtain access to application components for the purposes of initiating changes, including upgrades and modifications. </t>
    </r>
    <r>
      <rPr>
        <sz val="11"/>
        <color rgb="FF000000"/>
        <rFont val="Calibri"/>
      </rPr>
      <t xml:space="preserve">
</t>
    </r>
    <r>
      <rPr>
        <sz val="11"/>
        <color rgb="FF000000"/>
        <rFont val="Calibri"/>
      </rPr>
      <t>Logical access restrictions include, for example, controls that restrict access to workflow automation, media libraries, abstract layers (e.g., changes implemented into third-party interfaces rather than directly into information systems), and change windows (e.g., changes occur only during specified times, making unauthorized changes easy to discover).</t>
    </r>
  </si>
  <si>
    <r>
      <rPr>
        <sz val="11"/>
        <color rgb="FF000000"/>
        <rFont val="Calibri"/>
      </rPr>
      <t xml:space="preserve">Review the SDN controller configuration to determine if it is configured to restrict access to the configuration. </t>
    </r>
    <r>
      <rPr>
        <sz val="11"/>
        <color rgb="FF000000"/>
        <rFont val="Calibri"/>
      </rPr>
      <t xml:space="preserve">
</t>
    </r>
    <r>
      <rPr>
        <sz val="11"/>
        <color rgb="FF000000"/>
        <rFont val="Calibri"/>
      </rPr>
      <t>If the SDN controller is not configured to enforce access restrictions associated with changes to the configuration, this is a finding.</t>
    </r>
  </si>
  <si>
    <t>V-206744</t>
  </si>
  <si>
    <r>
      <rPr>
        <sz val="11"/>
        <rFont val="Calibri"/>
      </rPr>
      <t>The SDN controller must be configured to audit the enforcement actions used to restrict access associated with changes to any application within the SDN framework.</t>
    </r>
  </si>
  <si>
    <r>
      <rPr>
        <sz val="11"/>
        <color rgb="FF000000"/>
        <rFont val="Calibri"/>
      </rPr>
      <t>Configure the SDN controller to audit enforcement actions used to restrict access associated with changes to any application.</t>
    </r>
  </si>
  <si>
    <r>
      <rPr>
        <sz val="11"/>
        <color rgb="FF000000"/>
        <rFont val="Calibri"/>
      </rPr>
      <t xml:space="preserve">Without auditing the enforcement of access restrictions against changes to any application within the SDN framework, it will be difficult to identify attempted attacks and an audit trail will not be available for forensic investigation for after-the-fact actions. </t>
    </r>
    <r>
      <rPr>
        <sz val="11"/>
        <color rgb="FF000000"/>
        <rFont val="Calibri"/>
      </rPr>
      <t xml:space="preserve">
</t>
    </r>
    <r>
      <rPr>
        <sz val="11"/>
        <color rgb="FF000000"/>
        <rFont val="Calibri"/>
      </rPr>
      <t>Enforcement actions are the methods or mechanisms used to prevent unauthorized changes to configuration settings. Enforcement action methods may be as simple as denying access to a file based on the application of file permissions (access restriction). Audit items may consist of lists of actions blocked by access restrictions or changes identified after the fact.</t>
    </r>
  </si>
  <si>
    <r>
      <rPr>
        <sz val="11"/>
        <color rgb="FF000000"/>
        <rFont val="Calibri"/>
      </rPr>
      <t xml:space="preserve">Review the SDN controller configuration to determine if it is configured to audit enforcement actions used to restrict access associated with changes to any application. </t>
    </r>
    <r>
      <rPr>
        <sz val="11"/>
        <color rgb="FF000000"/>
        <rFont val="Calibri"/>
      </rPr>
      <t xml:space="preserve">
</t>
    </r>
    <r>
      <rPr>
        <sz val="11"/>
        <color rgb="FF000000"/>
        <rFont val="Calibri"/>
      </rPr>
      <t>If the SDN controller is not configured to audit the enforcement actions used to restrict access associated with changes to any application within the SDN framework, this is a finding.</t>
    </r>
  </si>
  <si>
    <t>V-216509</t>
  </si>
  <si>
    <r>
      <rPr>
        <sz val="11"/>
        <rFont val="Calibri"/>
      </rPr>
      <t>The SDN controller must be configured in accordance with the security configuration settings based on DoD security configuration or implementation guidance, including STIGs, NSA configuration guides, CTOs, and DTMs.</t>
    </r>
  </si>
  <si>
    <r>
      <rPr>
        <sz val="11"/>
        <color rgb="FF000000"/>
        <rFont val="Calibri"/>
      </rPr>
      <t>Configure the SDN controller to be configured in accordance with the security configuration settings based on DoD security configuration or implementation guidance, including STIGs, NSA configuration guides, CTOs, and DTMs.</t>
    </r>
  </si>
  <si>
    <r>
      <rPr>
        <sz val="11"/>
        <color rgb="FF000000"/>
        <rFont val="Calibri"/>
      </rPr>
      <t>Configuring the network device to implement organization-wide security implementation guides and security checklists ensures compliance with federal standards and establishes a common security baseline across DoD that reflects the most restrictive security posture consistent with operational requirements.</t>
    </r>
    <r>
      <rPr>
        <sz val="11"/>
        <color rgb="FF000000"/>
        <rFont val="Calibri"/>
      </rPr>
      <t xml:space="preserve">
</t>
    </r>
    <r>
      <rPr>
        <sz val="11"/>
        <color rgb="FF000000"/>
        <rFont val="Calibri"/>
      </rPr>
      <t>Configuration settings are the set of parameters that can be changed that affect the security posture and/or functionality of the network device. Security-related parameters are those parameters impacting the security state of the network device, including the parameters required to satisfy other security control requirements.</t>
    </r>
  </si>
  <si>
    <r>
      <rPr>
        <sz val="11"/>
        <color rgb="FF000000"/>
        <rFont val="Calibri"/>
      </rPr>
      <t>Determine if the SDN controller is configured in accordance with the security configuration settings based on DoD security configuration or implementation guidance, including STIGs, NSA configuration guides, CTOs, and DTMs.</t>
    </r>
    <r>
      <rPr>
        <sz val="11"/>
        <color rgb="FF000000"/>
        <rFont val="Calibri"/>
      </rPr>
      <t xml:space="preserve">
</t>
    </r>
    <r>
      <rPr>
        <sz val="11"/>
        <color rgb="FF000000"/>
        <rFont val="Calibri"/>
      </rPr>
      <t>If it is not configured in accordance with the designated security configuration settings, this is a finding.</t>
    </r>
  </si>
  <si>
    <t>V-264312</t>
  </si>
  <si>
    <r>
      <rPr>
        <sz val="11"/>
        <rFont val="Calibri"/>
      </rPr>
      <t>The SDN controller must be configured to employ organization-defined controls by type of denial of service (DoS) to achieve the DoS objective.</t>
    </r>
  </si>
  <si>
    <r>
      <rPr>
        <sz val="11"/>
        <color rgb="FF000000"/>
        <rFont val="Calibri"/>
      </rPr>
      <t>Configure the SDN controller to employ organization-defined controls by type of DoS to achieve the DoS objective.</t>
    </r>
  </si>
  <si>
    <r>
      <rPr>
        <sz val="11"/>
        <color rgb="FF000000"/>
        <rFont val="Calibri"/>
      </rPr>
      <t>DoS events may occur due to a variety of internal and external causes, such as an attack by an adversary or a lack of planning to support organizational needs with respect to capacity and bandwidth. Such attacks can occur across a wide range of network protocols (e.g., IPv4, IPv6). A variety of technologies are available to limit or eliminate the origination and effects of DoS events. For example, boundary protection devices can filter certain types of packets to protect system components on internal networks from being directly affected by or the source of DoS attacks. Employing increased network capacity and bandwidth combined with service redundancy also reduces the susceptibility to DoS events.</t>
    </r>
  </si>
  <si>
    <r>
      <rPr>
        <sz val="11"/>
        <color rgb="FF000000"/>
        <rFont val="Calibri"/>
      </rPr>
      <t>Verify the SDN controller is configured to employ organization-defined controls by type of DoS to achieve the DoS objective.</t>
    </r>
    <r>
      <rPr>
        <sz val="11"/>
        <color rgb="FF000000"/>
        <rFont val="Calibri"/>
      </rPr>
      <t xml:space="preserve">
</t>
    </r>
    <r>
      <rPr>
        <sz val="11"/>
        <color rgb="FF000000"/>
        <rFont val="Calibri"/>
      </rPr>
      <t>If the SDN controller is not configured to employ organization-defined controls by type of DoS to achieve the DoS objective, this is a finding.</t>
    </r>
  </si>
  <si>
    <t>V-264313</t>
  </si>
  <si>
    <r>
      <rPr>
        <sz val="11"/>
        <rFont val="Calibri"/>
      </rPr>
      <t>The SDN controller must be configured to implement physically or logically separate subnetworks to isolate organization-defined critical system components and functions.</t>
    </r>
  </si>
  <si>
    <r>
      <rPr>
        <sz val="11"/>
        <color rgb="FF000000"/>
        <rFont val="Calibri"/>
      </rPr>
      <t>Configure the SDN controller to implement physically or logically separate subnetworks to isolate organization-defined critical system components and functions.</t>
    </r>
  </si>
  <si>
    <r>
      <rPr>
        <sz val="11"/>
        <color rgb="FF000000"/>
        <rFont val="Calibri"/>
      </rPr>
      <t>Separating critical system components and functions from other noncritical system components and functions through separate subnetworks may be necessary to reduce susceptibility to a catastrophic or debilitating breach or compromise that results in system failure. For example, physically separating the command and control function from the in-flight entertainment function through separate subnetworks in a commercial aircraft provides an increased level of assurance in the trustworthiness of critical system functions.</t>
    </r>
  </si>
  <si>
    <r>
      <rPr>
        <sz val="11"/>
        <color rgb="FF000000"/>
        <rFont val="Calibri"/>
      </rPr>
      <t>Verify the SDN controller is configured to implement physically or logically separate subnetworks to isolate organization-defined critical system components and functions.</t>
    </r>
    <r>
      <rPr>
        <sz val="11"/>
        <color rgb="FF000000"/>
        <rFont val="Calibri"/>
      </rPr>
      <t xml:space="preserve">
</t>
    </r>
    <r>
      <rPr>
        <sz val="11"/>
        <color rgb="FF000000"/>
        <rFont val="Calibri"/>
      </rPr>
      <t>If the SDN controller is not configured to implement physically or logically separate subnetworks to isolate organization-defined critical system components and functions, this is a finding.</t>
    </r>
  </si>
  <si>
    <t>V-264314</t>
  </si>
  <si>
    <r>
      <rPr>
        <sz val="11"/>
        <rFont val="Calibri"/>
      </rPr>
      <t>The SDN controller must be configured to establish organization-defined alternate communications paths for system operations organizational command and control.</t>
    </r>
  </si>
  <si>
    <r>
      <rPr>
        <sz val="11"/>
        <color rgb="FF000000"/>
        <rFont val="Calibri"/>
      </rPr>
      <t>Configure the SDN controller to establish organization-defined alternate communications paths for system operations organizational command and control.</t>
    </r>
  </si>
  <si>
    <r>
      <rPr>
        <sz val="11"/>
        <color rgb="FF000000"/>
        <rFont val="Calibri"/>
      </rPr>
      <t>An incident, whether adversarial- or nonadversarial-based, can disrupt established communications paths used for system operations and organizational command and control. Alternate communications paths reduce the risk of all communications paths being affected by the same incident. To compound the problem, the inability of organizational officials to obtain timely information about disruptions or to provide timely direction to operational elements after a communications path incident, can impact the ability of the organization to respond to such incidents in a timely manner. Establishing alternate communications paths for command and control purposes, including designating alternative decision makers if primary decision makers are unavailable and establishing the extent and limitations of their actions, can greatly facilitate the organization's ability to continue to operate and take appropriate actions during an incident.</t>
    </r>
  </si>
  <si>
    <r>
      <rPr>
        <sz val="11"/>
        <color rgb="FF000000"/>
        <rFont val="Calibri"/>
      </rPr>
      <t>Verify the SDN controller is configured to establish organization-defined alternate communications paths for system operations organizational command and control.</t>
    </r>
    <r>
      <rPr>
        <sz val="11"/>
        <color rgb="FF000000"/>
        <rFont val="Calibri"/>
      </rPr>
      <t xml:space="preserve">
</t>
    </r>
    <r>
      <rPr>
        <sz val="11"/>
        <color rgb="FF000000"/>
        <rFont val="Calibri"/>
      </rPr>
      <t>If the SDN controller is not configured to establish organization-defined alternate communications paths for system operations organizational command and control,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</si>
  <si>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</si>
  <si>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</si>
  <si>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</si>
  <si>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</si>
  <si>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</si>
  <si>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</si>
  <si>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</si>
  <si>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</si>
  <si>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</si>
  <si>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</si>
  <si>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</si>
  <si>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</si>
  <si>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</si>
  <si>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</si>
  <si>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</si>
  <si>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</si>
  <si>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</si>
  <si>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</si>
  <si>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</si>
  <si>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</si>
  <si>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</si>
  <si>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</si>
  <si>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</si>
  <si>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</si>
  <si>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</si>
  <si>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</si>
  <si>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</si>
  <si>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</si>
  <si>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</si>
  <si>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SDN Controller Security Requirements Guide V2R1</t>
  </si>
  <si>
    <t>Developed By:</t>
  </si>
  <si>
    <t>Defense Information Systems Agency (DISA) for the US DoD</t>
  </si>
  <si>
    <t>Release Information:</t>
  </si>
  <si>
    <r>
      <rPr>
        <b/>
        <sz val="11"/>
        <color rgb="FF000000"/>
        <rFont val="Calibri"/>
      </rPr>
      <t>Version:</t>
    </r>
    <r>
      <rPr>
        <sz val="11"/>
        <color rgb="FF000000"/>
        <rFont val="Calibri"/>
      </rPr>
      <t xml:space="preserve"> V2R1    </t>
    </r>
    <r>
      <rPr>
        <b/>
        <sz val="11"/>
        <color rgb="FF000000"/>
        <rFont val="Calibri"/>
      </rPr>
      <t>Date:</t>
    </r>
    <r>
      <rPr>
        <sz val="11"/>
        <color rgb="FF000000"/>
        <rFont val="Calibri"/>
      </rPr>
      <t xml:space="preserve"> 24 July 2024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34</t>
    </r>
  </si>
  <si>
    <t>Download Url:</t>
  </si>
  <si>
    <t>https://www.cyber.mil/stigs</t>
  </si>
  <si>
    <t>Guide Overview:</t>
  </si>
  <si>
    <r>
      <rPr>
        <sz val="11"/>
        <color rgb="FF000000"/>
        <rFont val="Calibri"/>
      </rPr>
      <t>Software Defined Networking (SDN) is an approach to networking that separates the control plane from the forwarding plane. SDN is also new paradigm for network virtualization. Most SDN architectures have three layers: an upper layer that includes applications and services that contain security policy, network management automation, orchestration platforms, and business drivers; a lower layer of physical and virtual SDN-aware network devices that forward all traffic within the SDN infrastructure; and, in the middle, SDN controller(s) that communicate with the upper layer via northbound application program interfaces (APIs) and with the lower layer via southbound APIs. The latter is the control plane framework that enables the controller to provide forwarding tables to the network devices. Because the SDN controller is the heart of the SDN infrastructure, it is critical that the controller is secured.</t>
    </r>
    <r>
      <rPr>
        <sz val="11"/>
        <color rgb="FF000000"/>
        <rFont val="Calibri"/>
      </rPr>
      <t xml:space="preserve">
</t>
    </r>
    <r>
      <rPr>
        <sz val="11"/>
        <color rgb="FF000000"/>
        <rFont val="Calibri"/>
      </rPr>
      <t>This SDN Controller Security Requirements Guide (SRG) provides the guidelines and requirements for implementing security measures for SDN controllers that will enable network operations to minimize the risk of a network outage or compromise. This SRG does not include security guidelines for the development of northbound or southbound APIs that may be integrated with the SDN controller; those guidelines would be found in the Application SRG. The Network Device Management (NDM) SRG provides security guidelines for the management of the SDN controller.</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</si>
  <si>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</si>
  <si>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</si>
  <si>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</si>
  <si>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</si>
  <si>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</si>
  <si>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</si>
  <si>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</si>
  <si>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</si>
  <si>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</si>
  <si>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</si>
  <si>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</si>
  <si>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</si>
  <si>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</si>
  <si>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</si>
  <si>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</si>
  <si>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</si>
  <si>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</si>
  <si>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</si>
  <si>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</si>
  <si>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</si>
  <si>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</si>
  <si>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</si>
  <si>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</si>
  <si>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SDN Controller Security Requirements Guide V2R1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</si>
  <si>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</si>
  <si>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</si>
  <si>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</si>
  <si>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</si>
  <si>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</si>
  <si>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</si>
  <si>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</si>
  <si>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</si>
  <si>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</si>
  <si>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</si>
  <si>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</si>
  <si>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</si>
  <si>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</si>
  <si>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</si>
  <si>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</si>
  <si>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</si>
  <si>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</si>
  <si>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</si>
  <si>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</si>
  <si>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</si>
  <si>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</si>
  <si>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</si>
  <si>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</si>
  <si>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</si>
  <si>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</si>
  <si>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</si>
  <si>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</si>
  <si>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</si>
  <si>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</si>
  <si>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</si>
  <si>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</si>
  <si>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</si>
  <si>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</si>
  <si>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</si>
  <si>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</si>
  <si>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</si>
  <si>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</si>
  <si>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</si>
  <si>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</si>
  <si>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</si>
  <si>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</si>
  <si>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</si>
  <si>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</si>
  <si>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</si>
  <si>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</si>
  <si>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</si>
  <si>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(C67)</t>
  </si>
  <si>
    <t>% Must</t>
  </si>
  <si>
    <t>Should Count (C68)</t>
  </si>
  <si>
    <t>% Should</t>
  </si>
  <si>
    <t>Could Count (C69)</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</si>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</sst>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A4CF-4B11-94C7-6715A628068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A4CF-4B11-94C7-6715A628068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34</c:v>
                </c:pt>
              </c:numCache>
            </c:numRef>
          </c:val>
          <c:extLst>
            <c:ext xmlns:c16="http://schemas.microsoft.com/office/drawing/2014/chart" uri="{C3380CC4-5D6E-409C-BE32-E72D297353CC}">
              <c16:uniqueId val="{00000002-A4CF-4B11-94C7-6715A628068B}"/>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9039-4744-A5A5-E7C7EC0EB863}"/>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9039-4744-A5A5-E7C7EC0EB863}"/>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34</c:v>
                </c:pt>
              </c:numCache>
            </c:numRef>
          </c:val>
          <c:extLst>
            <c:ext xmlns:c16="http://schemas.microsoft.com/office/drawing/2014/chart" uri="{C3380CC4-5D6E-409C-BE32-E72D297353CC}">
              <c16:uniqueId val="{00000002-9039-4744-A5A5-E7C7EC0EB863}"/>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Dashboard!$C$52:$C$53</c:f>
              <c:numCache>
                <c:formatCode>General</c:formatCode>
                <c:ptCount val="2"/>
                <c:pt idx="0">
                  <c:v>0</c:v>
                </c:pt>
                <c:pt idx="1">
                  <c:v>0</c:v>
                </c:pt>
              </c:numCache>
            </c:numRef>
          </c:val>
          <c:extLst>
            <c:ext xmlns:c16="http://schemas.microsoft.com/office/drawing/2014/chart" uri="{C3380CC4-5D6E-409C-BE32-E72D297353CC}">
              <c16:uniqueId val="{00000000-58A5-427E-BCAD-D6027DD19AA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Dashboard!$D$52:$D$53</c:f>
              <c:numCache>
                <c:formatCode>General</c:formatCode>
                <c:ptCount val="2"/>
                <c:pt idx="0">
                  <c:v>0</c:v>
                </c:pt>
                <c:pt idx="1">
                  <c:v>0</c:v>
                </c:pt>
              </c:numCache>
            </c:numRef>
          </c:val>
          <c:extLst>
            <c:ext xmlns:c16="http://schemas.microsoft.com/office/drawing/2014/chart" uri="{C3380CC4-5D6E-409C-BE32-E72D297353CC}">
              <c16:uniqueId val="{00000001-58A5-427E-BCAD-D6027DD19AA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Dashboard!$E$52:$E$53</c:f>
              <c:numCache>
                <c:formatCode>General</c:formatCode>
                <c:ptCount val="2"/>
                <c:pt idx="0">
                  <c:v>6</c:v>
                </c:pt>
                <c:pt idx="1">
                  <c:v>28</c:v>
                </c:pt>
              </c:numCache>
            </c:numRef>
          </c:val>
          <c:extLst>
            <c:ext xmlns:c16="http://schemas.microsoft.com/office/drawing/2014/chart" uri="{C3380CC4-5D6E-409C-BE32-E72D297353CC}">
              <c16:uniqueId val="{00000002-58A5-427E-BCAD-D6027DD19AA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Dashboard!$C$67:$C$71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5266-482F-9E40-5903B989E83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Dashboard!$D$67:$D$71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5266-482F-9E40-5903B989E83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Dashboard!$E$67:$E$71</c:f>
              <c:numCache>
                <c:formatCode>General</c:formatCode>
                <c:ptCount val="5"/>
                <c:pt idx="0">
                  <c:v>0</c:v>
                </c:pt>
                <c:pt idx="1">
                  <c:v>0</c:v>
                </c:pt>
                <c:pt idx="2">
                  <c:v>0</c:v>
                </c:pt>
                <c:pt idx="3">
                  <c:v>0</c:v>
                </c:pt>
                <c:pt idx="4">
                  <c:v>34</c:v>
                </c:pt>
              </c:numCache>
            </c:numRef>
          </c:val>
          <c:extLst>
            <c:ext xmlns:c16="http://schemas.microsoft.com/office/drawing/2014/chart" uri="{C3380CC4-5D6E-409C-BE32-E72D297353CC}">
              <c16:uniqueId val="{00000002-5266-482F-9E40-5903B989E83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Dashboard!$C$88:$C$91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590B-42FF-86A8-2FC3A50FAF6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Dashboard!$D$88:$D$91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590B-42FF-86A8-2FC3A50FAF6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Dashboard!$E$88:$E$91</c:f>
              <c:numCache>
                <c:formatCode>General</c:formatCode>
                <c:ptCount val="4"/>
                <c:pt idx="0">
                  <c:v>0</c:v>
                </c:pt>
                <c:pt idx="1">
                  <c:v>0</c:v>
                </c:pt>
                <c:pt idx="2">
                  <c:v>0</c:v>
                </c:pt>
                <c:pt idx="3">
                  <c:v>34</c:v>
                </c:pt>
              </c:numCache>
            </c:numRef>
          </c:val>
          <c:extLst>
            <c:ext xmlns:c16="http://schemas.microsoft.com/office/drawing/2014/chart" uri="{C3380CC4-5D6E-409C-BE32-E72D297353CC}">
              <c16:uniqueId val="{00000002-590B-42FF-86A8-2FC3A50FAF6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Dashboard!$P$124:$P$153</c:f>
              <c:numCache>
                <c:formatCode>yyyy\-mm\-dd</c:formatCode>
                <c:ptCount val="30"/>
              </c:numCache>
            </c:numRef>
          </c:cat>
          <c:val>
            <c:numRef>
              <c:f>Dashboard!$R$124:$R$153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2052-4F2E-A0D1-708EC9037805}"/>
            </c:ext>
          </c:extLst>
        </c:ser>
        <c:ser>
          <c:idx val="1"/>
          <c:order val="1"/>
          <c:tx>
            <c:v>Must % Resolved</c:v>
          </c:tx>
          <c:spPr>
            <a:ln w="22225" cap="rnd">
              <a:solidFill>
                <a:schemeClr val="accent2"/>
              </a:solidFill>
              <a:round/>
            </a:ln>
            <a:effectLst/>
          </c:spPr>
          <c:marker>
            <c:symbol val="none"/>
          </c:marker>
          <c:cat>
            <c:numRef>
              <c:f>Dashboard!$P$124:$P$153</c:f>
              <c:numCache>
                <c:formatCode>yyyy\-mm\-dd</c:formatCode>
                <c:ptCount val="30"/>
              </c:numCache>
            </c:numRef>
          </c:cat>
          <c:val>
            <c:numRef>
              <c:f>Dashboard!$T$124:$T$153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2052-4F2E-A0D1-708EC9037805}"/>
            </c:ext>
          </c:extLst>
        </c:ser>
        <c:ser>
          <c:idx val="2"/>
          <c:order val="2"/>
          <c:tx>
            <c:v>Should % Resolved</c:v>
          </c:tx>
          <c:spPr>
            <a:ln w="22225" cap="rnd">
              <a:solidFill>
                <a:schemeClr val="accent3"/>
              </a:solidFill>
              <a:round/>
            </a:ln>
            <a:effectLst/>
          </c:spPr>
          <c:marker>
            <c:symbol val="none"/>
          </c:marker>
          <c:cat>
            <c:numRef>
              <c:f>Dashboard!$P$124:$P$153</c:f>
              <c:numCache>
                <c:formatCode>yyyy\-mm\-dd</c:formatCode>
                <c:ptCount val="30"/>
              </c:numCache>
            </c:numRef>
          </c:cat>
          <c:val>
            <c:numRef>
              <c:f>Dashboard!$V$124:$V$153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2052-4F2E-A0D1-708EC9037805}"/>
            </c:ext>
          </c:extLst>
        </c:ser>
        <c:ser>
          <c:idx val="3"/>
          <c:order val="3"/>
          <c:tx>
            <c:v>Could % Resolved</c:v>
          </c:tx>
          <c:spPr>
            <a:ln w="22225" cap="rnd">
              <a:solidFill>
                <a:schemeClr val="accent4"/>
              </a:solidFill>
              <a:round/>
            </a:ln>
            <a:effectLst/>
          </c:spPr>
          <c:marker>
            <c:symbol val="none"/>
          </c:marker>
          <c:cat>
            <c:numRef>
              <c:f>Dashboard!$P$124:$P$153</c:f>
              <c:numCache>
                <c:formatCode>yyyy\-mm\-dd</c:formatCode>
                <c:ptCount val="30"/>
              </c:numCache>
            </c:numRef>
          </c:cat>
          <c:val>
            <c:numRef>
              <c:f>Dashboard!$X$124:$X$153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2052-4F2E-A0D1-708EC903780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Dashboard!$P$166:$P$185</c:f>
              <c:numCache>
                <c:formatCode>yyyy\-mm\-dd</c:formatCode>
                <c:ptCount val="20"/>
              </c:numCache>
            </c:numRef>
          </c:cat>
          <c:val>
            <c:numRef>
              <c:f>Dashboard!$R$166:$R$185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CD12-4BA3-B87C-8D90DDEB9646}"/>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0wtxb3">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kmi5vl">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klf3ut">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79</xdr:row>
      <xdr:rowOff>0</xdr:rowOff>
    </xdr:to>
    <xdr:graphicFrame macro="">
      <xdr:nvGraphicFramePr>
        <xdr:cNvPr id="5" name="Chartx3defx">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97</xdr:row>
      <xdr:rowOff>142875</xdr:rowOff>
    </xdr:to>
    <xdr:graphicFrame macro="">
      <xdr:nvGraphicFramePr>
        <xdr:cNvPr id="6" name="Charto5kbcr">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119</xdr:row>
      <xdr:rowOff>95250</xdr:rowOff>
    </xdr:from>
    <xdr:to>
      <xdr:col>14</xdr:col>
      <xdr:colOff>0</xdr:colOff>
      <xdr:row>142</xdr:row>
      <xdr:rowOff>38100</xdr:rowOff>
    </xdr:to>
    <xdr:graphicFrame macro="">
      <xdr:nvGraphicFramePr>
        <xdr:cNvPr id="7" name="Chartrq4nnv">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160</xdr:row>
      <xdr:rowOff>95250</xdr:rowOff>
    </xdr:from>
    <xdr:to>
      <xdr:col>14</xdr:col>
      <xdr:colOff>0</xdr:colOff>
      <xdr:row>178</xdr:row>
      <xdr:rowOff>123825</xdr:rowOff>
    </xdr:to>
    <xdr:graphicFrame macro="">
      <xdr:nvGraphicFramePr>
        <xdr:cNvPr id="8" name="Chartwst23r">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35">
  <autoFilter ref="A1:M35"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190</v>
      </c>
    </row>
    <row r="3" spans="2:3" ht="15" customHeight="1" x14ac:dyDescent="0.35"/>
    <row r="4" spans="2:3" ht="58" x14ac:dyDescent="0.35">
      <c r="B4" s="18" t="s">
        <v>191</v>
      </c>
      <c r="C4" s="19" t="s">
        <v>192</v>
      </c>
    </row>
    <row r="5" spans="2:3" x14ac:dyDescent="0.35">
      <c r="C5" s="19" t="s">
        <v>193</v>
      </c>
    </row>
    <row r="6" spans="2:3" x14ac:dyDescent="0.35">
      <c r="C6" s="16" t="s">
        <v>194</v>
      </c>
    </row>
    <row r="7" spans="2:3" ht="10" customHeight="1" x14ac:dyDescent="0.35"/>
    <row r="8" spans="2:3" ht="232" x14ac:dyDescent="0.35">
      <c r="B8" s="20" t="s">
        <v>195</v>
      </c>
      <c r="C8" s="19" t="s">
        <v>196</v>
      </c>
    </row>
    <row r="9" spans="2:3" ht="10" customHeight="1" x14ac:dyDescent="0.35"/>
    <row r="10" spans="2:3" ht="35" customHeight="1" x14ac:dyDescent="0.35">
      <c r="B10" s="20" t="s">
        <v>197</v>
      </c>
      <c r="C10" s="19" t="s">
        <v>198</v>
      </c>
    </row>
    <row r="11" spans="2:3" ht="75" customHeight="1" x14ac:dyDescent="0.35">
      <c r="B11" s="16" t="s">
        <v>19</v>
      </c>
      <c r="C11" s="19" t="s">
        <v>199</v>
      </c>
    </row>
    <row r="12" spans="2:3" ht="47" customHeight="1" x14ac:dyDescent="0.35">
      <c r="B12" s="16" t="s">
        <v>19</v>
      </c>
      <c r="C12" s="19" t="s">
        <v>200</v>
      </c>
    </row>
    <row r="13" spans="2:3" ht="35" customHeight="1" x14ac:dyDescent="0.35">
      <c r="B13" s="16" t="s">
        <v>19</v>
      </c>
      <c r="C13" s="19" t="s">
        <v>201</v>
      </c>
    </row>
    <row r="14" spans="2:3" ht="32" customHeight="1" x14ac:dyDescent="0.35">
      <c r="B14" s="16" t="s">
        <v>19</v>
      </c>
      <c r="C14" s="19" t="s">
        <v>202</v>
      </c>
    </row>
    <row r="15" spans="2:3" ht="30" customHeight="1" x14ac:dyDescent="0.35">
      <c r="B15" s="16" t="s">
        <v>19</v>
      </c>
      <c r="C15" s="19" t="s">
        <v>203</v>
      </c>
    </row>
    <row r="16" spans="2:3" ht="10" customHeight="1" x14ac:dyDescent="0.35"/>
    <row r="17" spans="1:3" ht="145" customHeight="1" x14ac:dyDescent="0.35">
      <c r="B17" s="20" t="s">
        <v>204</v>
      </c>
      <c r="C17" s="19" t="s">
        <v>205</v>
      </c>
    </row>
    <row r="18" spans="1:3" ht="10" customHeight="1" x14ac:dyDescent="0.35"/>
    <row r="19" spans="1:3" ht="3" customHeight="1" x14ac:dyDescent="0.35">
      <c r="B19" s="21"/>
      <c r="C19" s="21"/>
    </row>
    <row r="20" spans="1:3" ht="12" customHeight="1" x14ac:dyDescent="0.35"/>
    <row r="21" spans="1:3" ht="35" customHeight="1" x14ac:dyDescent="0.35">
      <c r="A21" s="23"/>
      <c r="B21" s="24" t="s">
        <v>206</v>
      </c>
      <c r="C21" s="25" t="s">
        <v>207</v>
      </c>
    </row>
    <row r="22" spans="1:3" ht="18" customHeight="1" x14ac:dyDescent="0.35">
      <c r="A22" s="23"/>
      <c r="B22" s="23" t="s">
        <v>19</v>
      </c>
      <c r="C22" s="25" t="s">
        <v>208</v>
      </c>
    </row>
    <row r="23" spans="1:3" ht="18" customHeight="1" x14ac:dyDescent="0.35">
      <c r="A23" s="23"/>
      <c r="B23" s="23" t="s">
        <v>19</v>
      </c>
      <c r="C23" s="25" t="s">
        <v>209</v>
      </c>
    </row>
    <row r="24" spans="1:3" ht="18" customHeight="1" x14ac:dyDescent="0.35">
      <c r="A24" s="23"/>
      <c r="B24" s="23" t="s">
        <v>19</v>
      </c>
      <c r="C24" s="25" t="s">
        <v>210</v>
      </c>
    </row>
    <row r="25" spans="1:3" ht="18" customHeight="1" x14ac:dyDescent="0.35">
      <c r="A25" s="23"/>
      <c r="B25" s="23" t="s">
        <v>19</v>
      </c>
      <c r="C25" s="25" t="s">
        <v>211</v>
      </c>
    </row>
    <row r="26" spans="1:3" ht="18" customHeight="1" x14ac:dyDescent="0.35">
      <c r="A26" s="23"/>
      <c r="B26" s="23" t="s">
        <v>19</v>
      </c>
      <c r="C26" s="25" t="s">
        <v>212</v>
      </c>
    </row>
    <row r="27" spans="1:3" ht="18" customHeight="1" x14ac:dyDescent="0.35">
      <c r="A27" s="23"/>
      <c r="B27" s="23" t="s">
        <v>19</v>
      </c>
      <c r="C27" s="25" t="s">
        <v>213</v>
      </c>
    </row>
    <row r="28" spans="1:3" ht="18" customHeight="1" x14ac:dyDescent="0.35">
      <c r="A28" s="23"/>
      <c r="B28" s="23" t="s">
        <v>19</v>
      </c>
      <c r="C28" s="25" t="s">
        <v>214</v>
      </c>
    </row>
    <row r="29" spans="1:3" ht="18" customHeight="1" x14ac:dyDescent="0.35">
      <c r="A29" s="23"/>
      <c r="B29" s="23" t="s">
        <v>19</v>
      </c>
      <c r="C29" s="25" t="s">
        <v>215</v>
      </c>
    </row>
    <row r="30" spans="1:3" ht="44" customHeight="1" x14ac:dyDescent="0.35">
      <c r="A30" s="23"/>
      <c r="B30" s="23" t="s">
        <v>19</v>
      </c>
      <c r="C30" s="26" t="s">
        <v>216</v>
      </c>
    </row>
    <row r="31" spans="1:3" ht="10" customHeight="1" x14ac:dyDescent="0.35"/>
    <row r="32" spans="1:3" ht="3" customHeight="1" x14ac:dyDescent="0.35">
      <c r="B32" s="21"/>
      <c r="C32" s="21"/>
    </row>
    <row r="33" spans="2:3" ht="12" customHeight="1" x14ac:dyDescent="0.35"/>
    <row r="34" spans="2:3" ht="24" customHeight="1" x14ac:dyDescent="0.35">
      <c r="B34" s="27" t="s">
        <v>217</v>
      </c>
      <c r="C34" s="28" t="s">
        <v>218</v>
      </c>
    </row>
    <row r="35" spans="2:3" ht="18.5" x14ac:dyDescent="0.35">
      <c r="B35" s="27" t="s">
        <v>219</v>
      </c>
      <c r="C35" s="29" t="s">
        <v>220</v>
      </c>
    </row>
    <row r="36" spans="2:3" ht="27" customHeight="1" x14ac:dyDescent="0.35">
      <c r="B36" s="30" t="s">
        <v>221</v>
      </c>
      <c r="C36" s="22" t="s">
        <v>222</v>
      </c>
    </row>
    <row r="37" spans="2:3" x14ac:dyDescent="0.35">
      <c r="B37" s="27" t="s">
        <v>223</v>
      </c>
      <c r="C37" s="31" t="s">
        <v>224</v>
      </c>
    </row>
    <row r="38" spans="2:3" ht="10" customHeight="1" x14ac:dyDescent="0.35"/>
    <row r="39" spans="2:3" ht="220" customHeight="1" x14ac:dyDescent="0.35">
      <c r="B39" s="27" t="s">
        <v>225</v>
      </c>
      <c r="C39" s="32" t="s">
        <v>226</v>
      </c>
    </row>
    <row r="40" spans="2:3" ht="10" customHeight="1" x14ac:dyDescent="0.35"/>
    <row r="41" spans="2:3" ht="43.5" x14ac:dyDescent="0.35">
      <c r="B41" s="27" t="s">
        <v>227</v>
      </c>
      <c r="C41" s="19" t="s">
        <v>228</v>
      </c>
    </row>
    <row r="42" spans="2:3" ht="10" customHeight="1" x14ac:dyDescent="0.35"/>
    <row r="43" spans="2:3" ht="15.5" x14ac:dyDescent="0.35">
      <c r="C43" s="33" t="s">
        <v>85</v>
      </c>
    </row>
    <row r="44" spans="2:3" ht="29" x14ac:dyDescent="0.35">
      <c r="C44" s="19" t="s">
        <v>229</v>
      </c>
    </row>
    <row r="45" spans="2:3" ht="10" customHeight="1" x14ac:dyDescent="0.35"/>
    <row r="46" spans="2:3" ht="15.5" x14ac:dyDescent="0.35">
      <c r="C46" s="34" t="s">
        <v>15</v>
      </c>
    </row>
    <row r="47" spans="2:3" ht="29" x14ac:dyDescent="0.35">
      <c r="C47" s="19" t="s">
        <v>230</v>
      </c>
    </row>
    <row r="48" spans="2:3" ht="10" customHeight="1" x14ac:dyDescent="0.35"/>
    <row r="49" spans="2:3" ht="15.5" x14ac:dyDescent="0.35">
      <c r="C49" s="35" t="s">
        <v>231</v>
      </c>
    </row>
    <row r="50" spans="2:3" ht="29" x14ac:dyDescent="0.35">
      <c r="C50" s="19" t="s">
        <v>232</v>
      </c>
    </row>
    <row r="51" spans="2:3" ht="10" customHeight="1" x14ac:dyDescent="0.35"/>
    <row r="52" spans="2:3" ht="3" customHeight="1" x14ac:dyDescent="0.35">
      <c r="B52" s="21"/>
      <c r="C52" s="21"/>
    </row>
    <row r="53" spans="2:3" ht="12" customHeight="1" x14ac:dyDescent="0.35"/>
    <row r="54" spans="2:3" ht="130.5" x14ac:dyDescent="0.35">
      <c r="B54" s="18" t="s">
        <v>233</v>
      </c>
      <c r="C54" s="19" t="s">
        <v>234</v>
      </c>
    </row>
    <row r="55" spans="2:3" ht="6" customHeight="1" x14ac:dyDescent="0.35"/>
    <row r="56" spans="2:3" ht="217.5" x14ac:dyDescent="0.35">
      <c r="C56" s="19" t="s">
        <v>235</v>
      </c>
    </row>
    <row r="57" spans="2:3" ht="6" customHeight="1" x14ac:dyDescent="0.35"/>
    <row r="58" spans="2:3" ht="43.5" x14ac:dyDescent="0.35">
      <c r="C58" s="19" t="s">
        <v>236</v>
      </c>
    </row>
    <row r="59" spans="2:3" ht="10" customHeight="1" x14ac:dyDescent="0.35"/>
    <row r="60" spans="2:3" ht="3" customHeight="1" x14ac:dyDescent="0.35">
      <c r="B60" s="21"/>
      <c r="C60" s="21"/>
    </row>
    <row r="61" spans="2:3" ht="12" customHeight="1" x14ac:dyDescent="0.35"/>
    <row r="62" spans="2:3" ht="145" x14ac:dyDescent="0.35">
      <c r="B62" s="18" t="s">
        <v>237</v>
      </c>
      <c r="C62" s="19" t="s">
        <v>238</v>
      </c>
    </row>
    <row r="63" spans="2:3" ht="6" customHeight="1" x14ac:dyDescent="0.35"/>
    <row r="64" spans="2:3" ht="203" x14ac:dyDescent="0.35">
      <c r="C64" s="19" t="s">
        <v>239</v>
      </c>
    </row>
    <row r="65" spans="2:3" ht="6" customHeight="1" x14ac:dyDescent="0.35"/>
    <row r="66" spans="2:3" ht="43.5" x14ac:dyDescent="0.35">
      <c r="C66" s="19" t="s">
        <v>240</v>
      </c>
    </row>
    <row r="67" spans="2:3" ht="10" customHeight="1" x14ac:dyDescent="0.35"/>
    <row r="68" spans="2:3" ht="3" customHeight="1" x14ac:dyDescent="0.35">
      <c r="B68" s="21"/>
      <c r="C68" s="21"/>
    </row>
    <row r="69" spans="2:3" ht="12" customHeight="1" x14ac:dyDescent="0.35"/>
    <row r="70" spans="2:3" ht="101.5" x14ac:dyDescent="0.35">
      <c r="B70" s="18" t="s">
        <v>241</v>
      </c>
      <c r="C70" s="19" t="s">
        <v>242</v>
      </c>
    </row>
    <row r="71" spans="2:3" ht="6" customHeight="1" x14ac:dyDescent="0.35"/>
    <row r="72" spans="2:3" ht="145" x14ac:dyDescent="0.35">
      <c r="C72" s="19" t="s">
        <v>243</v>
      </c>
    </row>
    <row r="73" spans="2:3" ht="6" customHeight="1" x14ac:dyDescent="0.35"/>
    <row r="74" spans="2:3" ht="43.5" x14ac:dyDescent="0.35">
      <c r="C74" s="19" t="s">
        <v>244</v>
      </c>
    </row>
    <row r="78" spans="2:3" ht="32" customHeight="1" x14ac:dyDescent="0.35">
      <c r="B78" s="78" t="s">
        <v>189</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9"/>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245</v>
      </c>
      <c r="C2" s="80"/>
      <c r="D2" s="80"/>
      <c r="E2" s="80"/>
      <c r="F2" s="80"/>
      <c r="G2" s="80"/>
      <c r="H2" s="80"/>
      <c r="I2" s="80"/>
    </row>
    <row r="4" spans="2:15" ht="18.5" x14ac:dyDescent="0.45">
      <c r="B4" s="37" t="s">
        <v>246</v>
      </c>
    </row>
    <row r="5" spans="2:15" x14ac:dyDescent="0.35">
      <c r="B5" s="39" t="s">
        <v>19</v>
      </c>
      <c r="C5" s="39" t="s">
        <v>247</v>
      </c>
      <c r="D5" s="39" t="s">
        <v>248</v>
      </c>
      <c r="F5" s="81" t="s">
        <v>249</v>
      </c>
      <c r="G5" s="81"/>
      <c r="H5" s="81"/>
      <c r="I5" s="82" t="s">
        <v>250</v>
      </c>
      <c r="J5" s="82"/>
      <c r="K5" s="82"/>
      <c r="L5" s="82"/>
      <c r="M5" s="82"/>
      <c r="N5" s="82"/>
      <c r="O5" s="82"/>
    </row>
    <row r="6" spans="2:15" x14ac:dyDescent="0.35">
      <c r="B6" s="45" t="s">
        <v>251</v>
      </c>
      <c r="C6" s="46">
        <v>34</v>
      </c>
      <c r="D6" s="47" t="s">
        <v>19</v>
      </c>
      <c r="F6" s="81" t="s">
        <v>252</v>
      </c>
      <c r="G6" s="81"/>
      <c r="H6" s="81"/>
      <c r="I6" s="83" t="s">
        <v>253</v>
      </c>
      <c r="J6" s="83"/>
      <c r="K6" s="83"/>
      <c r="L6" s="83"/>
      <c r="M6" s="83"/>
      <c r="N6" s="83"/>
      <c r="O6" s="83"/>
    </row>
    <row r="7" spans="2:15" x14ac:dyDescent="0.35">
      <c r="B7" s="48" t="s">
        <v>254</v>
      </c>
      <c r="C7" s="49">
        <f>C6-C8-C9</f>
        <v>34</v>
      </c>
      <c r="D7" s="50">
        <f>IF(C6&gt;0,C7/C6,0)</f>
        <v>1</v>
      </c>
      <c r="F7" s="81" t="s">
        <v>255</v>
      </c>
      <c r="G7" s="81"/>
      <c r="H7" s="81"/>
      <c r="I7" s="83" t="s">
        <v>253</v>
      </c>
      <c r="J7" s="83"/>
      <c r="K7" s="83"/>
      <c r="L7" s="83"/>
      <c r="M7" s="83"/>
      <c r="N7" s="83"/>
      <c r="O7" s="83"/>
    </row>
    <row r="8" spans="2:15" x14ac:dyDescent="0.35">
      <c r="B8" s="41" t="s">
        <v>256</v>
      </c>
      <c r="C8" s="42">
        <f>COUNTIF('Recommendations'!G:G,"Risk Accepted")</f>
        <v>0</v>
      </c>
      <c r="D8" s="43">
        <f>IF(C6&gt;0,C8/C6,0)</f>
        <v>0</v>
      </c>
      <c r="F8" s="81" t="s">
        <v>257</v>
      </c>
      <c r="G8" s="81"/>
      <c r="H8" s="81"/>
      <c r="I8" s="83" t="s">
        <v>253</v>
      </c>
      <c r="J8" s="83"/>
      <c r="K8" s="83"/>
      <c r="L8" s="83"/>
      <c r="M8" s="83"/>
      <c r="N8" s="83"/>
      <c r="O8" s="83"/>
    </row>
    <row r="9" spans="2:15" x14ac:dyDescent="0.35">
      <c r="B9" s="41" t="s">
        <v>258</v>
      </c>
      <c r="C9" s="42">
        <f>COUNTIF('Recommendations'!G:G,"N/A")</f>
        <v>0</v>
      </c>
      <c r="D9" s="43">
        <f>IF(C6&gt;0,C9/C6,0)</f>
        <v>0</v>
      </c>
      <c r="F9" s="81" t="s">
        <v>259</v>
      </c>
      <c r="G9" s="81"/>
      <c r="H9" s="81"/>
      <c r="I9" s="83" t="s">
        <v>253</v>
      </c>
      <c r="J9" s="83"/>
      <c r="K9" s="83"/>
      <c r="L9" s="83"/>
      <c r="M9" s="83"/>
      <c r="N9" s="83"/>
      <c r="O9" s="83"/>
    </row>
    <row r="12" spans="2:15" ht="18.5" x14ac:dyDescent="0.45">
      <c r="B12" s="37" t="s">
        <v>260</v>
      </c>
    </row>
    <row r="14" spans="2:15" x14ac:dyDescent="0.35">
      <c r="B14" s="51" t="s">
        <v>261</v>
      </c>
    </row>
    <row r="15" spans="2:15" x14ac:dyDescent="0.35">
      <c r="B15" s="39" t="s">
        <v>19</v>
      </c>
      <c r="C15" s="39" t="s">
        <v>262</v>
      </c>
      <c r="D15" s="39" t="s">
        <v>263</v>
      </c>
      <c r="E15" s="39" t="s">
        <v>264</v>
      </c>
      <c r="F15" s="39" t="s">
        <v>265</v>
      </c>
    </row>
    <row r="16" spans="2:15" x14ac:dyDescent="0.35">
      <c r="B16" s="41" t="s">
        <v>266</v>
      </c>
      <c r="C16" s="42">
        <f>COUNTIF('Recommendations'!L:L,"Resolved")</f>
        <v>0</v>
      </c>
      <c r="D16" s="42">
        <f>COUNTIF('Recommendations'!L:L,"Testing")</f>
        <v>0</v>
      </c>
      <c r="E16" s="42">
        <f>COUNTIF('Recommendations'!L:L,"Outstanding")</f>
        <v>34</v>
      </c>
      <c r="F16" s="42">
        <f>SUM(C16:E16)</f>
        <v>34</v>
      </c>
    </row>
    <row r="18" spans="2:6" x14ac:dyDescent="0.35">
      <c r="B18" s="51" t="s">
        <v>267</v>
      </c>
    </row>
    <row r="19" spans="2:6" x14ac:dyDescent="0.35">
      <c r="B19" s="52" t="s">
        <v>19</v>
      </c>
      <c r="C19" s="52" t="s">
        <v>262</v>
      </c>
      <c r="D19" s="52" t="s">
        <v>263</v>
      </c>
      <c r="E19" s="52" t="s">
        <v>264</v>
      </c>
      <c r="F19" s="52" t="s">
        <v>19</v>
      </c>
    </row>
    <row r="20" spans="2:6" x14ac:dyDescent="0.35">
      <c r="B20" s="41" t="s">
        <v>266</v>
      </c>
      <c r="C20" s="43">
        <f>IF(F16&gt;0, C16/F16, 0)</f>
        <v>0</v>
      </c>
      <c r="D20" s="43">
        <f>IF(F16&gt;0, D16/F16, 0)</f>
        <v>0</v>
      </c>
      <c r="E20" s="43">
        <f>IF(F16&gt;0, E16/F16, 0)</f>
        <v>1</v>
      </c>
      <c r="F20" s="44" t="s">
        <v>19</v>
      </c>
    </row>
    <row r="25" spans="2:6" ht="18.5" x14ac:dyDescent="0.45">
      <c r="B25" s="37" t="s">
        <v>268</v>
      </c>
    </row>
    <row r="27" spans="2:6" x14ac:dyDescent="0.35">
      <c r="B27" s="51" t="s">
        <v>261</v>
      </c>
    </row>
    <row r="28" spans="2:6" x14ac:dyDescent="0.35">
      <c r="B28" s="39" t="s">
        <v>5</v>
      </c>
      <c r="C28" s="39" t="s">
        <v>262</v>
      </c>
      <c r="D28" s="39" t="s">
        <v>263</v>
      </c>
      <c r="E28" s="39" t="s">
        <v>264</v>
      </c>
      <c r="F28" s="39" t="s">
        <v>265</v>
      </c>
    </row>
    <row r="29" spans="2:6" x14ac:dyDescent="0.35">
      <c r="B29" s="41" t="s">
        <v>269</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270</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271</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272</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273</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34</v>
      </c>
      <c r="F34" s="42">
        <f t="shared" si="0"/>
        <v>34</v>
      </c>
    </row>
    <row r="36" spans="2:6" x14ac:dyDescent="0.35">
      <c r="B36" s="51" t="s">
        <v>267</v>
      </c>
    </row>
    <row r="37" spans="2:6" x14ac:dyDescent="0.35">
      <c r="B37" s="52" t="s">
        <v>5</v>
      </c>
      <c r="C37" s="52" t="s">
        <v>262</v>
      </c>
      <c r="D37" s="52" t="s">
        <v>263</v>
      </c>
      <c r="E37" s="52" t="s">
        <v>264</v>
      </c>
      <c r="F37" s="52" t="s">
        <v>19</v>
      </c>
    </row>
    <row r="38" spans="2:6" x14ac:dyDescent="0.35">
      <c r="B38" s="41" t="s">
        <v>269</v>
      </c>
      <c r="C38" s="43">
        <f t="shared" ref="C38:C43" si="1">IF(F29&gt;0, C29/F29, 0)</f>
        <v>0</v>
      </c>
      <c r="D38" s="43">
        <f t="shared" ref="D38:D43" si="2">IF(F29&gt;0, D29/F29, 0)</f>
        <v>0</v>
      </c>
      <c r="E38" s="43">
        <f t="shared" ref="E38:E43" si="3">IF(F29&gt;0, E29/F29, 0)</f>
        <v>0</v>
      </c>
      <c r="F38" s="44" t="s">
        <v>19</v>
      </c>
    </row>
    <row r="39" spans="2:6" x14ac:dyDescent="0.35">
      <c r="B39" s="41" t="s">
        <v>270</v>
      </c>
      <c r="C39" s="43">
        <f t="shared" si="1"/>
        <v>0</v>
      </c>
      <c r="D39" s="43">
        <f t="shared" si="2"/>
        <v>0</v>
      </c>
      <c r="E39" s="43">
        <f t="shared" si="3"/>
        <v>0</v>
      </c>
      <c r="F39" s="44" t="s">
        <v>19</v>
      </c>
    </row>
    <row r="40" spans="2:6" x14ac:dyDescent="0.35">
      <c r="B40" s="41" t="s">
        <v>271</v>
      </c>
      <c r="C40" s="43">
        <f t="shared" si="1"/>
        <v>0</v>
      </c>
      <c r="D40" s="43">
        <f t="shared" si="2"/>
        <v>0</v>
      </c>
      <c r="E40" s="43">
        <f t="shared" si="3"/>
        <v>0</v>
      </c>
      <c r="F40" s="44" t="s">
        <v>19</v>
      </c>
    </row>
    <row r="41" spans="2:6" x14ac:dyDescent="0.35">
      <c r="B41" s="41" t="s">
        <v>272</v>
      </c>
      <c r="C41" s="43">
        <f t="shared" si="1"/>
        <v>0</v>
      </c>
      <c r="D41" s="43">
        <f t="shared" si="2"/>
        <v>0</v>
      </c>
      <c r="E41" s="43">
        <f t="shared" si="3"/>
        <v>0</v>
      </c>
      <c r="F41" s="44" t="s">
        <v>19</v>
      </c>
    </row>
    <row r="42" spans="2:6" x14ac:dyDescent="0.35">
      <c r="B42" s="41" t="s">
        <v>273</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274</v>
      </c>
    </row>
    <row r="50" spans="2:6" x14ac:dyDescent="0.35">
      <c r="B50" s="51" t="s">
        <v>261</v>
      </c>
    </row>
    <row r="51" spans="2:6" x14ac:dyDescent="0.35">
      <c r="B51" s="39" t="s">
        <v>2</v>
      </c>
      <c r="C51" s="39" t="s">
        <v>262</v>
      </c>
      <c r="D51" s="39" t="s">
        <v>263</v>
      </c>
      <c r="E51" s="39" t="s">
        <v>264</v>
      </c>
      <c r="F51" s="39" t="s">
        <v>265</v>
      </c>
    </row>
    <row r="52" spans="2:6" x14ac:dyDescent="0.35">
      <c r="B52" s="41" t="s">
        <v>85</v>
      </c>
      <c r="C52" s="42">
        <f>COUNTIFS('Recommendations'!C:C,"CAT I (High)",'Recommendations'!L:L,"=Resolved")</f>
        <v>0</v>
      </c>
      <c r="D52" s="42">
        <f>COUNTIFS('Recommendations'!C:C,"=CAT I (High)",'Recommendations'!L:L,"=Testing")</f>
        <v>0</v>
      </c>
      <c r="E52" s="42">
        <f>COUNTIFS('Recommendations'!C:C,"=CAT I (High)",'Recommendations'!L:L,"=Outstanding")</f>
        <v>6</v>
      </c>
      <c r="F52" s="42">
        <f>SUM(C52:E52)</f>
        <v>6</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28</v>
      </c>
      <c r="F53" s="42">
        <f>SUM(C53:E53)</f>
        <v>28</v>
      </c>
    </row>
    <row r="55" spans="2:6" x14ac:dyDescent="0.35">
      <c r="B55" s="51" t="s">
        <v>267</v>
      </c>
    </row>
    <row r="56" spans="2:6" x14ac:dyDescent="0.35">
      <c r="B56" s="52" t="s">
        <v>2</v>
      </c>
      <c r="C56" s="52" t="s">
        <v>262</v>
      </c>
      <c r="D56" s="52" t="s">
        <v>263</v>
      </c>
      <c r="E56" s="52" t="s">
        <v>264</v>
      </c>
      <c r="F56" s="52" t="s">
        <v>19</v>
      </c>
    </row>
    <row r="57" spans="2:6" x14ac:dyDescent="0.35">
      <c r="B57" s="41" t="s">
        <v>85</v>
      </c>
      <c r="C57" s="43">
        <f>IF(F52&gt;0, C52/F52, 0)</f>
        <v>0</v>
      </c>
      <c r="D57" s="43">
        <f>IF(F52&gt;0, D52/F52, 0)</f>
        <v>0</v>
      </c>
      <c r="E57" s="43">
        <f>IF(F52&gt;0, E52/F52, 0)</f>
        <v>1</v>
      </c>
      <c r="F57" s="44" t="s">
        <v>19</v>
      </c>
    </row>
    <row r="58" spans="2:6" x14ac:dyDescent="0.35">
      <c r="B58" s="41" t="s">
        <v>15</v>
      </c>
      <c r="C58" s="43">
        <f>IF(F53&gt;0, C53/F53, 0)</f>
        <v>0</v>
      </c>
      <c r="D58" s="43">
        <f>IF(F53&gt;0, D53/F53, 0)</f>
        <v>0</v>
      </c>
      <c r="E58" s="43">
        <f>IF(F53&gt;0, E53/F53, 0)</f>
        <v>1</v>
      </c>
      <c r="F58" s="44" t="s">
        <v>19</v>
      </c>
    </row>
    <row r="63" spans="2:6" ht="18.5" x14ac:dyDescent="0.45">
      <c r="B63" s="37" t="s">
        <v>275</v>
      </c>
    </row>
    <row r="65" spans="2:6" x14ac:dyDescent="0.35">
      <c r="B65" s="51" t="s">
        <v>261</v>
      </c>
    </row>
    <row r="66" spans="2:6" x14ac:dyDescent="0.35">
      <c r="B66" s="39" t="s">
        <v>3</v>
      </c>
      <c r="C66" s="39" t="s">
        <v>262</v>
      </c>
      <c r="D66" s="39" t="s">
        <v>263</v>
      </c>
      <c r="E66" s="39" t="s">
        <v>264</v>
      </c>
      <c r="F66" s="39" t="s">
        <v>265</v>
      </c>
    </row>
    <row r="67" spans="2:6" x14ac:dyDescent="0.35">
      <c r="B67" s="41" t="s">
        <v>276</v>
      </c>
      <c r="C67" s="42">
        <f>COUNTIFS('Recommendations'!D:D,"Must",'Recommendations'!L:L,"=Resolved")</f>
        <v>0</v>
      </c>
      <c r="D67" s="42">
        <f>COUNTIFS('Recommendations'!D:D,"=Must",'Recommendations'!L:L,"=Testing")</f>
        <v>0</v>
      </c>
      <c r="E67" s="42">
        <f>COUNTIFS('Recommendations'!D:D,"=Must",'Recommendations'!L:L,"=Outstanding")</f>
        <v>0</v>
      </c>
      <c r="F67" s="42">
        <f>SUM(C67:E67)</f>
        <v>0</v>
      </c>
    </row>
    <row r="68" spans="2:6" x14ac:dyDescent="0.35">
      <c r="B68" s="41" t="s">
        <v>277</v>
      </c>
      <c r="C68" s="42">
        <f>COUNTIFS('Recommendations'!D:D,"Should",'Recommendations'!L:L,"=Resolved")</f>
        <v>0</v>
      </c>
      <c r="D68" s="42">
        <f>COUNTIFS('Recommendations'!D:D,"=Should",'Recommendations'!L:L,"=Testing")</f>
        <v>0</v>
      </c>
      <c r="E68" s="42">
        <f>COUNTIFS('Recommendations'!D:D,"=Should",'Recommendations'!L:L,"=Outstanding")</f>
        <v>0</v>
      </c>
      <c r="F68" s="42">
        <f>SUM(C68:E68)</f>
        <v>0</v>
      </c>
    </row>
    <row r="69" spans="2:6" x14ac:dyDescent="0.35">
      <c r="B69" s="41" t="s">
        <v>278</v>
      </c>
      <c r="C69" s="42">
        <f>COUNTIFS('Recommendations'!D:D,"Could",'Recommendations'!L:L,"=Resolved")</f>
        <v>0</v>
      </c>
      <c r="D69" s="42">
        <f>COUNTIFS('Recommendations'!D:D,"=Could",'Recommendations'!L:L,"=Testing")</f>
        <v>0</v>
      </c>
      <c r="E69" s="42">
        <f>COUNTIFS('Recommendations'!D:D,"=Could",'Recommendations'!L:L,"=Outstanding")</f>
        <v>0</v>
      </c>
      <c r="F69" s="42">
        <f>SUM(C69:E69)</f>
        <v>0</v>
      </c>
    </row>
    <row r="70" spans="2:6" x14ac:dyDescent="0.35">
      <c r="B70" s="41" t="s">
        <v>279</v>
      </c>
      <c r="C70" s="42">
        <f>COUNTIFS('Recommendations'!D:D,"Won't",'Recommendations'!L:L,"=Resolved")</f>
        <v>0</v>
      </c>
      <c r="D70" s="42">
        <f>COUNTIFS('Recommendations'!D:D,"=Won't",'Recommendations'!L:L,"=Testing")</f>
        <v>0</v>
      </c>
      <c r="E70" s="42">
        <f>COUNTIFS('Recommendations'!D:D,"=Won't",'Recommendations'!L:L,"=Outstanding")</f>
        <v>0</v>
      </c>
      <c r="F70" s="42">
        <f>SUM(C70:E70)</f>
        <v>0</v>
      </c>
    </row>
    <row r="71" spans="2:6" x14ac:dyDescent="0.35">
      <c r="B71" s="41" t="s">
        <v>16</v>
      </c>
      <c r="C71" s="42">
        <f>COUNTIFS('Recommendations'!D:D,"Unassigned",'Recommendations'!L:L,"=Resolved")</f>
        <v>0</v>
      </c>
      <c r="D71" s="42">
        <f>COUNTIFS('Recommendations'!D:D,"=Unassigned",'Recommendations'!L:L,"=Testing")</f>
        <v>0</v>
      </c>
      <c r="E71" s="42">
        <f>COUNTIFS('Recommendations'!D:D,"=Unassigned",'Recommendations'!L:L,"=Outstanding")</f>
        <v>34</v>
      </c>
      <c r="F71" s="42">
        <f>SUM(C71:E71)</f>
        <v>34</v>
      </c>
    </row>
    <row r="73" spans="2:6" x14ac:dyDescent="0.35">
      <c r="B73" s="51" t="s">
        <v>267</v>
      </c>
    </row>
    <row r="74" spans="2:6" x14ac:dyDescent="0.35">
      <c r="B74" s="52" t="s">
        <v>3</v>
      </c>
      <c r="C74" s="52" t="s">
        <v>262</v>
      </c>
      <c r="D74" s="52" t="s">
        <v>263</v>
      </c>
      <c r="E74" s="52" t="s">
        <v>264</v>
      </c>
      <c r="F74" s="52" t="s">
        <v>19</v>
      </c>
    </row>
    <row r="75" spans="2:6" x14ac:dyDescent="0.35">
      <c r="B75" s="41" t="s">
        <v>276</v>
      </c>
      <c r="C75" s="43">
        <f>IF(F67&gt;0, C67/F67, 0)</f>
        <v>0</v>
      </c>
      <c r="D75" s="43">
        <f>IF(F67&gt;0, D67/F67, 0)</f>
        <v>0</v>
      </c>
      <c r="E75" s="43">
        <f>IF(F67&gt;0, E67/F67, 0)</f>
        <v>0</v>
      </c>
      <c r="F75" s="44" t="s">
        <v>19</v>
      </c>
    </row>
    <row r="76" spans="2:6" x14ac:dyDescent="0.35">
      <c r="B76" s="41" t="s">
        <v>277</v>
      </c>
      <c r="C76" s="43">
        <f>IF(F68&gt;0, C68/F68, 0)</f>
        <v>0</v>
      </c>
      <c r="D76" s="43">
        <f>IF(F68&gt;0, D68/F68, 0)</f>
        <v>0</v>
      </c>
      <c r="E76" s="43">
        <f>IF(F68&gt;0, E68/F68, 0)</f>
        <v>0</v>
      </c>
      <c r="F76" s="44" t="s">
        <v>19</v>
      </c>
    </row>
    <row r="77" spans="2:6" x14ac:dyDescent="0.35">
      <c r="B77" s="41" t="s">
        <v>278</v>
      </c>
      <c r="C77" s="43">
        <f>IF(F69&gt;0, C69/F69, 0)</f>
        <v>0</v>
      </c>
      <c r="D77" s="43">
        <f>IF(F69&gt;0, D69/F69, 0)</f>
        <v>0</v>
      </c>
      <c r="E77" s="43">
        <f>IF(F69&gt;0, E69/F69, 0)</f>
        <v>0</v>
      </c>
      <c r="F77" s="44" t="s">
        <v>19</v>
      </c>
    </row>
    <row r="78" spans="2:6" x14ac:dyDescent="0.35">
      <c r="B78" s="41" t="s">
        <v>279</v>
      </c>
      <c r="C78" s="43">
        <f>IF(F70&gt;0, C70/F70, 0)</f>
        <v>0</v>
      </c>
      <c r="D78" s="43">
        <f>IF(F70&gt;0, D70/F70, 0)</f>
        <v>0</v>
      </c>
      <c r="E78" s="43">
        <f>IF(F70&gt;0, E70/F70, 0)</f>
        <v>0</v>
      </c>
      <c r="F78" s="44" t="s">
        <v>19</v>
      </c>
    </row>
    <row r="79" spans="2:6" x14ac:dyDescent="0.35">
      <c r="B79" s="41" t="s">
        <v>16</v>
      </c>
      <c r="C79" s="43">
        <f>IF(F71&gt;0, C71/F71, 0)</f>
        <v>0</v>
      </c>
      <c r="D79" s="43">
        <f>IF(F71&gt;0, D71/F71, 0)</f>
        <v>0</v>
      </c>
      <c r="E79" s="43">
        <f>IF(F71&gt;0, E71/F71, 0)</f>
        <v>1</v>
      </c>
      <c r="F79" s="44" t="s">
        <v>19</v>
      </c>
    </row>
    <row r="84" spans="2:6" ht="18.5" x14ac:dyDescent="0.45">
      <c r="B84" s="37" t="s">
        <v>280</v>
      </c>
    </row>
    <row r="86" spans="2:6" x14ac:dyDescent="0.35">
      <c r="B86" s="51" t="s">
        <v>261</v>
      </c>
    </row>
    <row r="87" spans="2:6" x14ac:dyDescent="0.35">
      <c r="B87" s="39" t="s">
        <v>281</v>
      </c>
      <c r="C87" s="39" t="s">
        <v>262</v>
      </c>
      <c r="D87" s="39" t="s">
        <v>263</v>
      </c>
      <c r="E87" s="39" t="s">
        <v>264</v>
      </c>
      <c r="F87" s="39" t="s">
        <v>265</v>
      </c>
    </row>
    <row r="88" spans="2:6" x14ac:dyDescent="0.35">
      <c r="B88" s="41" t="s">
        <v>282</v>
      </c>
      <c r="C88" s="42">
        <f>COUNTIFS('Recommendations'!E:E,"Low",'Recommendations'!L:L,"=Resolved")</f>
        <v>0</v>
      </c>
      <c r="D88" s="42">
        <f>COUNTIFS('Recommendations'!E:E,"=Low",'Recommendations'!L:L,"=Testing")</f>
        <v>0</v>
      </c>
      <c r="E88" s="42">
        <f>COUNTIFS('Recommendations'!E:E,"=Low",'Recommendations'!L:L,"=Outstanding")</f>
        <v>0</v>
      </c>
      <c r="F88" s="42">
        <f>SUM(C88:E88)</f>
        <v>0</v>
      </c>
    </row>
    <row r="89" spans="2:6" x14ac:dyDescent="0.35">
      <c r="B89" s="41" t="s">
        <v>283</v>
      </c>
      <c r="C89" s="42">
        <f>COUNTIFS('Recommendations'!E:E,"Medium",'Recommendations'!L:L,"=Resolved")</f>
        <v>0</v>
      </c>
      <c r="D89" s="42">
        <f>COUNTIFS('Recommendations'!E:E,"=Medium",'Recommendations'!L:L,"=Testing")</f>
        <v>0</v>
      </c>
      <c r="E89" s="42">
        <f>COUNTIFS('Recommendations'!E:E,"=Medium",'Recommendations'!L:L,"=Outstanding")</f>
        <v>0</v>
      </c>
      <c r="F89" s="42">
        <f>SUM(C89:E89)</f>
        <v>0</v>
      </c>
    </row>
    <row r="90" spans="2:6" x14ac:dyDescent="0.35">
      <c r="B90" s="41" t="s">
        <v>284</v>
      </c>
      <c r="C90" s="42">
        <f>COUNTIFS('Recommendations'!E:E,"High",'Recommendations'!L:L,"=Resolved")</f>
        <v>0</v>
      </c>
      <c r="D90" s="42">
        <f>COUNTIFS('Recommendations'!E:E,"=High",'Recommendations'!L:L,"=Testing")</f>
        <v>0</v>
      </c>
      <c r="E90" s="42">
        <f>COUNTIFS('Recommendations'!E:E,"=High",'Recommendations'!L:L,"=Outstanding")</f>
        <v>0</v>
      </c>
      <c r="F90" s="42">
        <f>SUM(C90:E90)</f>
        <v>0</v>
      </c>
    </row>
    <row r="91" spans="2:6" x14ac:dyDescent="0.35">
      <c r="B91" s="41" t="s">
        <v>17</v>
      </c>
      <c r="C91" s="42">
        <f>COUNTIFS('Recommendations'!E:E,"Unassessed",'Recommendations'!L:L,"=Resolved")</f>
        <v>0</v>
      </c>
      <c r="D91" s="42">
        <f>COUNTIFS('Recommendations'!E:E,"=Unassessed",'Recommendations'!L:L,"=Testing")</f>
        <v>0</v>
      </c>
      <c r="E91" s="42">
        <f>COUNTIFS('Recommendations'!E:E,"=Unassessed",'Recommendations'!L:L,"=Outstanding")</f>
        <v>34</v>
      </c>
      <c r="F91" s="42">
        <f>SUM(C91:E91)</f>
        <v>34</v>
      </c>
    </row>
    <row r="93" spans="2:6" x14ac:dyDescent="0.35">
      <c r="B93" s="51" t="s">
        <v>267</v>
      </c>
    </row>
    <row r="94" spans="2:6" x14ac:dyDescent="0.35">
      <c r="B94" s="52" t="s">
        <v>281</v>
      </c>
      <c r="C94" s="52" t="s">
        <v>262</v>
      </c>
      <c r="D94" s="52" t="s">
        <v>263</v>
      </c>
      <c r="E94" s="52" t="s">
        <v>264</v>
      </c>
      <c r="F94" s="52" t="s">
        <v>19</v>
      </c>
    </row>
    <row r="95" spans="2:6" x14ac:dyDescent="0.35">
      <c r="B95" s="41" t="s">
        <v>282</v>
      </c>
      <c r="C95" s="43">
        <f>IF(F88&gt;0, C88/F88, 0)</f>
        <v>0</v>
      </c>
      <c r="D95" s="43">
        <f>IF(F88&gt;0, D88/F88, 0)</f>
        <v>0</v>
      </c>
      <c r="E95" s="43">
        <f>IF(F88&gt;0, E88/F88, 0)</f>
        <v>0</v>
      </c>
      <c r="F95" s="44" t="s">
        <v>19</v>
      </c>
    </row>
    <row r="96" spans="2:6" x14ac:dyDescent="0.35">
      <c r="B96" s="41" t="s">
        <v>283</v>
      </c>
      <c r="C96" s="43">
        <f>IF(F89&gt;0, C89/F89, 0)</f>
        <v>0</v>
      </c>
      <c r="D96" s="43">
        <f>IF(F89&gt;0, D89/F89, 0)</f>
        <v>0</v>
      </c>
      <c r="E96" s="43">
        <f>IF(F89&gt;0, E89/F89, 0)</f>
        <v>0</v>
      </c>
      <c r="F96" s="44" t="s">
        <v>19</v>
      </c>
    </row>
    <row r="97" spans="2:15" x14ac:dyDescent="0.35">
      <c r="B97" s="41" t="s">
        <v>284</v>
      </c>
      <c r="C97" s="43">
        <f>IF(F90&gt;0, C90/F90, 0)</f>
        <v>0</v>
      </c>
      <c r="D97" s="43">
        <f>IF(F90&gt;0, D90/F90, 0)</f>
        <v>0</v>
      </c>
      <c r="E97" s="43">
        <f>IF(F90&gt;0, E90/F90, 0)</f>
        <v>0</v>
      </c>
      <c r="F97" s="44" t="s">
        <v>19</v>
      </c>
    </row>
    <row r="98" spans="2:15" x14ac:dyDescent="0.35">
      <c r="B98" s="41" t="s">
        <v>17</v>
      </c>
      <c r="C98" s="43">
        <f>IF(F91&gt;0, C91/F91, 0)</f>
        <v>0</v>
      </c>
      <c r="D98" s="43">
        <f>IF(F91&gt;0, D91/F91, 0)</f>
        <v>0</v>
      </c>
      <c r="E98" s="43">
        <f>IF(F91&gt;0, E91/F91, 0)</f>
        <v>1</v>
      </c>
      <c r="F98" s="44" t="s">
        <v>19</v>
      </c>
    </row>
    <row r="103" spans="2:15" ht="18.5" x14ac:dyDescent="0.45">
      <c r="B103" s="37" t="s">
        <v>285</v>
      </c>
      <c r="J103" s="37" t="s">
        <v>286</v>
      </c>
    </row>
    <row r="104" spans="2:15" x14ac:dyDescent="0.35">
      <c r="B104" s="39" t="s">
        <v>5</v>
      </c>
      <c r="C104" s="84" t="s">
        <v>287</v>
      </c>
      <c r="D104" s="84"/>
      <c r="E104" s="39" t="s">
        <v>254</v>
      </c>
      <c r="F104" s="39" t="s">
        <v>262</v>
      </c>
      <c r="G104" s="84" t="s">
        <v>288</v>
      </c>
      <c r="H104" s="84"/>
      <c r="J104" s="39" t="s">
        <v>5</v>
      </c>
      <c r="K104" s="39" t="s">
        <v>276</v>
      </c>
      <c r="L104" s="39" t="s">
        <v>277</v>
      </c>
      <c r="M104" s="39" t="s">
        <v>278</v>
      </c>
      <c r="N104" s="39" t="s">
        <v>279</v>
      </c>
      <c r="O104" s="39" t="s">
        <v>16</v>
      </c>
    </row>
    <row r="105" spans="2:15" x14ac:dyDescent="0.35">
      <c r="B105" s="45" t="s">
        <v>269</v>
      </c>
      <c r="C105" s="85" t="s">
        <v>19</v>
      </c>
      <c r="D105" s="85"/>
      <c r="E105" s="42">
        <f>COUNTIF('Recommendations'!F:F,"Phase1")-COUNTIFS('Recommendations'!F:F,"Phase1",'Recommendations'!G:G,"Risk Accepted")-COUNTIFS('Recommendations'!F:F,"Phase1",'Recommendations'!G:G,"N/A")</f>
        <v>0</v>
      </c>
      <c r="F105" s="42">
        <f>COUNTIFS('Recommendations'!F:F,"Phase1",'Recommendations'!L:L,"Resolved")</f>
        <v>0</v>
      </c>
      <c r="G105" s="86">
        <f t="shared" ref="G105:G110" si="4">IF(E105&gt;0,F105/E105,0)</f>
        <v>0</v>
      </c>
      <c r="H105" s="86"/>
      <c r="J105" s="45" t="s">
        <v>269</v>
      </c>
      <c r="K105" s="42">
        <f>COUNTIFS('Recommendations'!F:F,"Phase1",'Recommendations'!D:D,"Must")</f>
        <v>0</v>
      </c>
      <c r="L105" s="42">
        <f>COUNTIFS('Recommendations'!F:F,"Phase1",'Recommendations'!D:D,"Should")</f>
        <v>0</v>
      </c>
      <c r="M105" s="42">
        <f>COUNTIFS('Recommendations'!F:F,"Phase1",'Recommendations'!D:D,"Could")</f>
        <v>0</v>
      </c>
      <c r="N105" s="42">
        <f>COUNTIFS('Recommendations'!F:F,"Phase1",'Recommendations'!D:D,"Won't")</f>
        <v>0</v>
      </c>
      <c r="O105" s="42">
        <f>COUNTIFS('Recommendations'!F:F,"Phase1",'Recommendations'!D:D,"Unassigned")</f>
        <v>0</v>
      </c>
    </row>
    <row r="106" spans="2:15" x14ac:dyDescent="0.35">
      <c r="B106" s="45" t="s">
        <v>270</v>
      </c>
      <c r="C106" s="85" t="s">
        <v>19</v>
      </c>
      <c r="D106" s="85"/>
      <c r="E106" s="42">
        <f>COUNTIF('Recommendations'!F:F,"Phase2")-COUNTIFS('Recommendations'!F:F,"Phase2",'Recommendations'!G:G,"Risk Accepted")-COUNTIFS('Recommendations'!F:F,"Phase2",'Recommendations'!G:G,"N/A")</f>
        <v>0</v>
      </c>
      <c r="F106" s="42">
        <f>COUNTIFS('Recommendations'!F:F,"Phase2",'Recommendations'!L:L,"Resolved")</f>
        <v>0</v>
      </c>
      <c r="G106" s="86">
        <f t="shared" si="4"/>
        <v>0</v>
      </c>
      <c r="H106" s="86"/>
      <c r="J106" s="45" t="s">
        <v>270</v>
      </c>
      <c r="K106" s="42">
        <f>COUNTIFS('Recommendations'!F:F,"Phase2",'Recommendations'!D:D,"Must")</f>
        <v>0</v>
      </c>
      <c r="L106" s="42">
        <f>COUNTIFS('Recommendations'!F:F,"Phase2",'Recommendations'!D:D,"Should")</f>
        <v>0</v>
      </c>
      <c r="M106" s="42">
        <f>COUNTIFS('Recommendations'!F:F,"Phase2",'Recommendations'!D:D,"Could")</f>
        <v>0</v>
      </c>
      <c r="N106" s="42">
        <f>COUNTIFS('Recommendations'!F:F,"Phase2",'Recommendations'!D:D,"Won't")</f>
        <v>0</v>
      </c>
      <c r="O106" s="42">
        <f>COUNTIFS('Recommendations'!F:F,"Phase2",'Recommendations'!D:D,"Unassigned")</f>
        <v>0</v>
      </c>
    </row>
    <row r="107" spans="2:15" x14ac:dyDescent="0.35">
      <c r="B107" s="45" t="s">
        <v>271</v>
      </c>
      <c r="C107" s="85" t="s">
        <v>19</v>
      </c>
      <c r="D107" s="85"/>
      <c r="E107" s="42">
        <f>COUNTIF('Recommendations'!F:F,"Phase3")-COUNTIFS('Recommendations'!F:F,"Phase3",'Recommendations'!G:G,"Risk Accepted")-COUNTIFS('Recommendations'!F:F,"Phase3",'Recommendations'!G:G,"N/A")</f>
        <v>0</v>
      </c>
      <c r="F107" s="42">
        <f>COUNTIFS('Recommendations'!F:F,"Phase3",'Recommendations'!L:L,"Resolved")</f>
        <v>0</v>
      </c>
      <c r="G107" s="86">
        <f t="shared" si="4"/>
        <v>0</v>
      </c>
      <c r="H107" s="86"/>
      <c r="J107" s="45" t="s">
        <v>271</v>
      </c>
      <c r="K107" s="42">
        <f>COUNTIFS('Recommendations'!F:F,"Phase3",'Recommendations'!D:D,"Must")</f>
        <v>0</v>
      </c>
      <c r="L107" s="42">
        <f>COUNTIFS('Recommendations'!F:F,"Phase3",'Recommendations'!D:D,"Should")</f>
        <v>0</v>
      </c>
      <c r="M107" s="42">
        <f>COUNTIFS('Recommendations'!F:F,"Phase3",'Recommendations'!D:D,"Could")</f>
        <v>0</v>
      </c>
      <c r="N107" s="42">
        <f>COUNTIFS('Recommendations'!F:F,"Phase3",'Recommendations'!D:D,"Won't")</f>
        <v>0</v>
      </c>
      <c r="O107" s="42">
        <f>COUNTIFS('Recommendations'!F:F,"Phase3",'Recommendations'!D:D,"Unassigned")</f>
        <v>0</v>
      </c>
    </row>
    <row r="108" spans="2:15" x14ac:dyDescent="0.35">
      <c r="B108" s="45" t="s">
        <v>272</v>
      </c>
      <c r="C108" s="85" t="s">
        <v>19</v>
      </c>
      <c r="D108" s="85"/>
      <c r="E108" s="42">
        <f>COUNTIF('Recommendations'!F:F,"Phase4")-COUNTIFS('Recommendations'!F:F,"Phase4",'Recommendations'!G:G,"Risk Accepted")-COUNTIFS('Recommendations'!F:F,"Phase4",'Recommendations'!G:G,"N/A")</f>
        <v>0</v>
      </c>
      <c r="F108" s="42">
        <f>COUNTIFS('Recommendations'!F:F,"Phase4",'Recommendations'!L:L,"Resolved")</f>
        <v>0</v>
      </c>
      <c r="G108" s="86">
        <f t="shared" si="4"/>
        <v>0</v>
      </c>
      <c r="H108" s="86"/>
      <c r="J108" s="45" t="s">
        <v>272</v>
      </c>
      <c r="K108" s="42">
        <f>COUNTIFS('Recommendations'!F:F,"Phase4",'Recommendations'!D:D,"Must")</f>
        <v>0</v>
      </c>
      <c r="L108" s="42">
        <f>COUNTIFS('Recommendations'!F:F,"Phase4",'Recommendations'!D:D,"Should")</f>
        <v>0</v>
      </c>
      <c r="M108" s="42">
        <f>COUNTIFS('Recommendations'!F:F,"Phase4",'Recommendations'!D:D,"Could")</f>
        <v>0</v>
      </c>
      <c r="N108" s="42">
        <f>COUNTIFS('Recommendations'!F:F,"Phase4",'Recommendations'!D:D,"Won't")</f>
        <v>0</v>
      </c>
      <c r="O108" s="42">
        <f>COUNTIFS('Recommendations'!F:F,"Phase4",'Recommendations'!D:D,"Unassigned")</f>
        <v>0</v>
      </c>
    </row>
    <row r="109" spans="2:15" x14ac:dyDescent="0.35">
      <c r="B109" s="45" t="s">
        <v>273</v>
      </c>
      <c r="C109" s="85" t="s">
        <v>19</v>
      </c>
      <c r="D109" s="85"/>
      <c r="E109" s="42">
        <f>COUNTIF('Recommendations'!F:F,"Phase5")-COUNTIFS('Recommendations'!F:F,"Phase5",'Recommendations'!G:G,"Risk Accepted")-COUNTIFS('Recommendations'!F:F,"Phase5",'Recommendations'!G:G,"N/A")</f>
        <v>0</v>
      </c>
      <c r="F109" s="42">
        <f>COUNTIFS('Recommendations'!F:F,"Phase5",'Recommendations'!L:L,"Resolved")</f>
        <v>0</v>
      </c>
      <c r="G109" s="86">
        <f t="shared" si="4"/>
        <v>0</v>
      </c>
      <c r="H109" s="86"/>
      <c r="J109" s="45" t="s">
        <v>273</v>
      </c>
      <c r="K109" s="42">
        <f>COUNTIFS('Recommendations'!F:F,"Phase5",'Recommendations'!D:D,"Must")</f>
        <v>0</v>
      </c>
      <c r="L109" s="42">
        <f>COUNTIFS('Recommendations'!F:F,"Phase5",'Recommendations'!D:D,"Should")</f>
        <v>0</v>
      </c>
      <c r="M109" s="42">
        <f>COUNTIFS('Recommendations'!F:F,"Phase5",'Recommendations'!D:D,"Could")</f>
        <v>0</v>
      </c>
      <c r="N109" s="42">
        <f>COUNTIFS('Recommendations'!F:F,"Phase5",'Recommendations'!D:D,"Won't")</f>
        <v>0</v>
      </c>
      <c r="O109" s="42">
        <f>COUNTIFS('Recommendations'!F:F,"Phase5",'Recommendations'!D:D,"Unassigned")</f>
        <v>0</v>
      </c>
    </row>
    <row r="110" spans="2:15" x14ac:dyDescent="0.35">
      <c r="B110" s="45" t="s">
        <v>18</v>
      </c>
      <c r="C110" s="85" t="s">
        <v>19</v>
      </c>
      <c r="D110" s="85"/>
      <c r="E110" s="42">
        <f>COUNTIF('Recommendations'!F:F,"Pending")-COUNTIFS('Recommendations'!F:F,"Pending",'Recommendations'!G:G,"Risk Accepted")-COUNTIFS('Recommendations'!F:F,"Pending",'Recommendations'!G:G,"N/A")</f>
        <v>34</v>
      </c>
      <c r="F110" s="42">
        <f>COUNTIFS('Recommendations'!F:F,"Pending",'Recommendations'!L:L,"Resolved")</f>
        <v>0</v>
      </c>
      <c r="G110" s="86">
        <f t="shared" si="4"/>
        <v>0</v>
      </c>
      <c r="H110" s="86"/>
      <c r="J110" s="45" t="s">
        <v>18</v>
      </c>
      <c r="K110" s="42">
        <f>COUNTIFS('Recommendations'!F:F,"Pending",'Recommendations'!D:D,"Must")</f>
        <v>0</v>
      </c>
      <c r="L110" s="42">
        <f>COUNTIFS('Recommendations'!F:F,"Pending",'Recommendations'!D:D,"Should")</f>
        <v>0</v>
      </c>
      <c r="M110" s="42">
        <f>COUNTIFS('Recommendations'!F:F,"Pending",'Recommendations'!D:D,"Could")</f>
        <v>0</v>
      </c>
      <c r="N110" s="42">
        <f>COUNTIFS('Recommendations'!F:F,"Pending",'Recommendations'!D:D,"Won't")</f>
        <v>0</v>
      </c>
      <c r="O110" s="42">
        <f>COUNTIFS('Recommendations'!F:F,"Pending",'Recommendations'!D:D,"Unassigned")</f>
        <v>34</v>
      </c>
    </row>
    <row r="117" spans="2:24" ht="21" x14ac:dyDescent="0.5">
      <c r="B117" s="37" t="s">
        <v>289</v>
      </c>
      <c r="P117" s="54" t="s">
        <v>290</v>
      </c>
    </row>
    <row r="119" spans="2:24" ht="60" customHeight="1" x14ac:dyDescent="0.35">
      <c r="B119" s="87" t="s">
        <v>291</v>
      </c>
      <c r="C119" s="80"/>
      <c r="D119" s="80"/>
      <c r="E119" s="80"/>
      <c r="F119" s="80"/>
      <c r="P119" s="87" t="s">
        <v>292</v>
      </c>
      <c r="Q119" s="80"/>
      <c r="R119" s="80"/>
      <c r="S119" s="80"/>
      <c r="T119" s="80"/>
      <c r="U119" s="80"/>
      <c r="V119" s="80"/>
      <c r="W119" s="80"/>
    </row>
    <row r="121" spans="2:24" ht="30" customHeight="1" x14ac:dyDescent="0.35">
      <c r="P121" s="55" t="s">
        <v>293</v>
      </c>
      <c r="Q121" s="56">
        <f>C16</f>
        <v>0</v>
      </c>
      <c r="R121" s="57"/>
      <c r="S121" s="56">
        <f>C67</f>
        <v>0</v>
      </c>
      <c r="T121" s="57"/>
      <c r="U121" s="56">
        <f>C68</f>
        <v>0</v>
      </c>
      <c r="V121" s="57"/>
      <c r="W121" s="56">
        <f>C69</f>
        <v>0</v>
      </c>
      <c r="X121" s="57"/>
    </row>
    <row r="122" spans="2:24" ht="35" customHeight="1" x14ac:dyDescent="0.35">
      <c r="P122" s="58" t="s">
        <v>294</v>
      </c>
      <c r="Q122" s="58" t="s">
        <v>295</v>
      </c>
      <c r="R122" s="58" t="s">
        <v>296</v>
      </c>
      <c r="S122" s="58" t="s">
        <v>297</v>
      </c>
      <c r="T122" s="58" t="s">
        <v>298</v>
      </c>
      <c r="U122" s="58" t="s">
        <v>299</v>
      </c>
      <c r="V122" s="58" t="s">
        <v>300</v>
      </c>
      <c r="W122" s="58" t="s">
        <v>301</v>
      </c>
      <c r="X122" s="58" t="s">
        <v>302</v>
      </c>
    </row>
    <row r="123" spans="2:24" x14ac:dyDescent="0.35">
      <c r="O123" s="59" t="s">
        <v>303</v>
      </c>
      <c r="P123" s="60" t="s">
        <v>304</v>
      </c>
      <c r="Q123" s="61">
        <v>0</v>
      </c>
      <c r="R123" s="62">
        <f>IF(Dashboard!F16&gt;0, Q123/Dashboard!F16, "")</f>
        <v>0</v>
      </c>
      <c r="S123" s="61">
        <v>0</v>
      </c>
      <c r="T123" s="62" t="str">
        <f>IF(AND(NOT(ISBLANK(S123)),Dashboard!F67&gt;0), S123/Dashboard!F67, "")</f>
        <v/>
      </c>
      <c r="U123" s="61">
        <v>0</v>
      </c>
      <c r="V123" s="62" t="str">
        <f>IF(AND(NOT(ISBLANK(U123)),Dashboard!F68&gt;0), U123/Dashboard!F68, "")</f>
        <v/>
      </c>
      <c r="W123" s="61">
        <v>0</v>
      </c>
      <c r="X123" s="62" t="str">
        <f>IF(AND(NOT(ISBLANK(W123)),Dashboard!F69&gt;0), W123/Dashboard!F69, "")</f>
        <v/>
      </c>
    </row>
    <row r="124" spans="2:24" x14ac:dyDescent="0.35">
      <c r="P124" s="53"/>
      <c r="Q124" s="40"/>
      <c r="R124" s="43" t="str">
        <f>IF(AND(NOT(ISBLANK(Q124)),Dashboard!F16&gt;0), Q124/Dashboard!F16, "")</f>
        <v/>
      </c>
      <c r="S124" s="40"/>
      <c r="T124" s="43" t="str">
        <f>IF(AND(NOT(ISBLANK(S124)),Dashboard!F67&gt;0), S124/Dashboard!F67, "")</f>
        <v/>
      </c>
      <c r="U124" s="40"/>
      <c r="V124" s="43" t="str">
        <f>IF(AND(NOT(ISBLANK(U124)),Dashboard!F68&gt;0), U124/Dashboard!F68, "")</f>
        <v/>
      </c>
      <c r="W124" s="40"/>
      <c r="X124" s="43" t="str">
        <f>IF(AND(NOT(ISBLANK(W124)),Dashboard!F69&gt;0), W124/Dashboard!F69, "")</f>
        <v/>
      </c>
    </row>
    <row r="125" spans="2:24" x14ac:dyDescent="0.35">
      <c r="P125" s="53"/>
      <c r="Q125" s="40"/>
      <c r="R125" s="43" t="str">
        <f>IF(AND(NOT(ISBLANK(Q125)),Dashboard!F16&gt;0), Q125/Dashboard!F16, "")</f>
        <v/>
      </c>
      <c r="S125" s="40"/>
      <c r="T125" s="43" t="str">
        <f>IF(AND(NOT(ISBLANK(S125)),Dashboard!F67&gt;0), S125/Dashboard!F67, "")</f>
        <v/>
      </c>
      <c r="U125" s="40"/>
      <c r="V125" s="43" t="str">
        <f>IF(AND(NOT(ISBLANK(U125)),Dashboard!F68&gt;0), U125/Dashboard!F68, "")</f>
        <v/>
      </c>
      <c r="W125" s="40"/>
      <c r="X125" s="43" t="str">
        <f>IF(AND(NOT(ISBLANK(W125)),Dashboard!F69&gt;0), W125/Dashboard!F69, "")</f>
        <v/>
      </c>
    </row>
    <row r="126" spans="2:24" x14ac:dyDescent="0.35">
      <c r="P126" s="53"/>
      <c r="Q126" s="40"/>
      <c r="R126" s="43" t="str">
        <f>IF(AND(NOT(ISBLANK(Q126)),Dashboard!F16&gt;0), Q126/Dashboard!F16, "")</f>
        <v/>
      </c>
      <c r="S126" s="40"/>
      <c r="T126" s="43" t="str">
        <f>IF(AND(NOT(ISBLANK(S126)),Dashboard!F67&gt;0), S126/Dashboard!F67, "")</f>
        <v/>
      </c>
      <c r="U126" s="40"/>
      <c r="V126" s="43" t="str">
        <f>IF(AND(NOT(ISBLANK(U126)),Dashboard!F68&gt;0), U126/Dashboard!F68, "")</f>
        <v/>
      </c>
      <c r="W126" s="40"/>
      <c r="X126" s="43" t="str">
        <f>IF(AND(NOT(ISBLANK(W126)),Dashboard!F69&gt;0), W126/Dashboard!F69, "")</f>
        <v/>
      </c>
    </row>
    <row r="127" spans="2:24" x14ac:dyDescent="0.35">
      <c r="P127" s="53"/>
      <c r="Q127" s="40"/>
      <c r="R127" s="43" t="str">
        <f>IF(AND(NOT(ISBLANK(Q127)),Dashboard!F16&gt;0), Q127/Dashboard!F16, "")</f>
        <v/>
      </c>
      <c r="S127" s="40"/>
      <c r="T127" s="43" t="str">
        <f>IF(AND(NOT(ISBLANK(S127)),Dashboard!F67&gt;0), S127/Dashboard!F67, "")</f>
        <v/>
      </c>
      <c r="U127" s="40"/>
      <c r="V127" s="43" t="str">
        <f>IF(AND(NOT(ISBLANK(U127)),Dashboard!F68&gt;0), U127/Dashboard!F68, "")</f>
        <v/>
      </c>
      <c r="W127" s="40"/>
      <c r="X127" s="43" t="str">
        <f>IF(AND(NOT(ISBLANK(W127)),Dashboard!F69&gt;0), W127/Dashboard!F69, "")</f>
        <v/>
      </c>
    </row>
    <row r="128" spans="2:24" x14ac:dyDescent="0.35">
      <c r="P128" s="53"/>
      <c r="Q128" s="40"/>
      <c r="R128" s="43" t="str">
        <f>IF(AND(NOT(ISBLANK(Q128)),Dashboard!F16&gt;0), Q128/Dashboard!F16, "")</f>
        <v/>
      </c>
      <c r="S128" s="40"/>
      <c r="T128" s="43" t="str">
        <f>IF(AND(NOT(ISBLANK(S128)),Dashboard!F67&gt;0), S128/Dashboard!F67, "")</f>
        <v/>
      </c>
      <c r="U128" s="40"/>
      <c r="V128" s="43" t="str">
        <f>IF(AND(NOT(ISBLANK(U128)),Dashboard!F68&gt;0), U128/Dashboard!F68, "")</f>
        <v/>
      </c>
      <c r="W128" s="40"/>
      <c r="X128" s="43" t="str">
        <f>IF(AND(NOT(ISBLANK(W128)),Dashboard!F69&gt;0), W128/Dashboard!F69, "")</f>
        <v/>
      </c>
    </row>
    <row r="129" spans="16:24" x14ac:dyDescent="0.35">
      <c r="P129" s="53"/>
      <c r="Q129" s="40"/>
      <c r="R129" s="43" t="str">
        <f>IF(AND(NOT(ISBLANK(Q129)),Dashboard!F16&gt;0), Q129/Dashboard!F16, "")</f>
        <v/>
      </c>
      <c r="S129" s="40"/>
      <c r="T129" s="43" t="str">
        <f>IF(AND(NOT(ISBLANK(S129)),Dashboard!F67&gt;0), S129/Dashboard!F67, "")</f>
        <v/>
      </c>
      <c r="U129" s="40"/>
      <c r="V129" s="43" t="str">
        <f>IF(AND(NOT(ISBLANK(U129)),Dashboard!F68&gt;0), U129/Dashboard!F68, "")</f>
        <v/>
      </c>
      <c r="W129" s="40"/>
      <c r="X129" s="43" t="str">
        <f>IF(AND(NOT(ISBLANK(W129)),Dashboard!F69&gt;0), W129/Dashboard!F69, "")</f>
        <v/>
      </c>
    </row>
    <row r="130" spans="16:24" x14ac:dyDescent="0.35">
      <c r="P130" s="53"/>
      <c r="Q130" s="40"/>
      <c r="R130" s="43" t="str">
        <f>IF(AND(NOT(ISBLANK(Q130)),Dashboard!F16&gt;0), Q130/Dashboard!F16, "")</f>
        <v/>
      </c>
      <c r="S130" s="40"/>
      <c r="T130" s="43" t="str">
        <f>IF(AND(NOT(ISBLANK(S130)),Dashboard!F67&gt;0), S130/Dashboard!F67, "")</f>
        <v/>
      </c>
      <c r="U130" s="40"/>
      <c r="V130" s="43" t="str">
        <f>IF(AND(NOT(ISBLANK(U130)),Dashboard!F68&gt;0), U130/Dashboard!F68, "")</f>
        <v/>
      </c>
      <c r="W130" s="40"/>
      <c r="X130" s="43" t="str">
        <f>IF(AND(NOT(ISBLANK(W130)),Dashboard!F69&gt;0), W130/Dashboard!F69, "")</f>
        <v/>
      </c>
    </row>
    <row r="131" spans="16:24" x14ac:dyDescent="0.35">
      <c r="P131" s="53"/>
      <c r="Q131" s="40"/>
      <c r="R131" s="43" t="str">
        <f>IF(AND(NOT(ISBLANK(Q131)),Dashboard!F16&gt;0), Q131/Dashboard!F16, "")</f>
        <v/>
      </c>
      <c r="S131" s="40"/>
      <c r="T131" s="43" t="str">
        <f>IF(AND(NOT(ISBLANK(S131)),Dashboard!F67&gt;0), S131/Dashboard!F67, "")</f>
        <v/>
      </c>
      <c r="U131" s="40"/>
      <c r="V131" s="43" t="str">
        <f>IF(AND(NOT(ISBLANK(U131)),Dashboard!F68&gt;0), U131/Dashboard!F68, "")</f>
        <v/>
      </c>
      <c r="W131" s="40"/>
      <c r="X131" s="43" t="str">
        <f>IF(AND(NOT(ISBLANK(W131)),Dashboard!F69&gt;0), W131/Dashboard!F69, "")</f>
        <v/>
      </c>
    </row>
    <row r="132" spans="16:24" x14ac:dyDescent="0.35">
      <c r="P132" s="53"/>
      <c r="Q132" s="40"/>
      <c r="R132" s="43" t="str">
        <f>IF(AND(NOT(ISBLANK(Q132)),Dashboard!F16&gt;0), Q132/Dashboard!F16, "")</f>
        <v/>
      </c>
      <c r="S132" s="40"/>
      <c r="T132" s="43" t="str">
        <f>IF(AND(NOT(ISBLANK(S132)),Dashboard!F67&gt;0), S132/Dashboard!F67, "")</f>
        <v/>
      </c>
      <c r="U132" s="40"/>
      <c r="V132" s="43" t="str">
        <f>IF(AND(NOT(ISBLANK(U132)),Dashboard!F68&gt;0), U132/Dashboard!F68, "")</f>
        <v/>
      </c>
      <c r="W132" s="40"/>
      <c r="X132" s="43" t="str">
        <f>IF(AND(NOT(ISBLANK(W132)),Dashboard!F69&gt;0), W132/Dashboard!F69, "")</f>
        <v/>
      </c>
    </row>
    <row r="133" spans="16:24" x14ac:dyDescent="0.35">
      <c r="P133" s="53"/>
      <c r="Q133" s="40"/>
      <c r="R133" s="43" t="str">
        <f>IF(AND(NOT(ISBLANK(Q133)),Dashboard!F16&gt;0), Q133/Dashboard!F16, "")</f>
        <v/>
      </c>
      <c r="S133" s="40"/>
      <c r="T133" s="43" t="str">
        <f>IF(AND(NOT(ISBLANK(S133)),Dashboard!F67&gt;0), S133/Dashboard!F67, "")</f>
        <v/>
      </c>
      <c r="U133" s="40"/>
      <c r="V133" s="43" t="str">
        <f>IF(AND(NOT(ISBLANK(U133)),Dashboard!F68&gt;0), U133/Dashboard!F68, "")</f>
        <v/>
      </c>
      <c r="W133" s="40"/>
      <c r="X133" s="43" t="str">
        <f>IF(AND(NOT(ISBLANK(W133)),Dashboard!F69&gt;0), W133/Dashboard!F69, "")</f>
        <v/>
      </c>
    </row>
    <row r="134" spans="16:24" x14ac:dyDescent="0.35">
      <c r="P134" s="53"/>
      <c r="Q134" s="40"/>
      <c r="R134" s="43" t="str">
        <f>IF(AND(NOT(ISBLANK(Q134)),Dashboard!F16&gt;0), Q134/Dashboard!F16, "")</f>
        <v/>
      </c>
      <c r="S134" s="40"/>
      <c r="T134" s="43" t="str">
        <f>IF(AND(NOT(ISBLANK(S134)),Dashboard!F67&gt;0), S134/Dashboard!F67, "")</f>
        <v/>
      </c>
      <c r="U134" s="40"/>
      <c r="V134" s="43" t="str">
        <f>IF(AND(NOT(ISBLANK(U134)),Dashboard!F68&gt;0), U134/Dashboard!F68, "")</f>
        <v/>
      </c>
      <c r="W134" s="40"/>
      <c r="X134" s="43" t="str">
        <f>IF(AND(NOT(ISBLANK(W134)),Dashboard!F69&gt;0), W134/Dashboard!F69, "")</f>
        <v/>
      </c>
    </row>
    <row r="135" spans="16:24" x14ac:dyDescent="0.35">
      <c r="P135" s="53"/>
      <c r="Q135" s="40"/>
      <c r="R135" s="43" t="str">
        <f>IF(AND(NOT(ISBLANK(Q135)),Dashboard!F16&gt;0), Q135/Dashboard!F16, "")</f>
        <v/>
      </c>
      <c r="S135" s="40"/>
      <c r="T135" s="43" t="str">
        <f>IF(AND(NOT(ISBLANK(S135)),Dashboard!F67&gt;0), S135/Dashboard!F67, "")</f>
        <v/>
      </c>
      <c r="U135" s="40"/>
      <c r="V135" s="43" t="str">
        <f>IF(AND(NOT(ISBLANK(U135)),Dashboard!F68&gt;0), U135/Dashboard!F68, "")</f>
        <v/>
      </c>
      <c r="W135" s="40"/>
      <c r="X135" s="43" t="str">
        <f>IF(AND(NOT(ISBLANK(W135)),Dashboard!F69&gt;0), W135/Dashboard!F69, "")</f>
        <v/>
      </c>
    </row>
    <row r="136" spans="16:24" x14ac:dyDescent="0.35">
      <c r="P136" s="53"/>
      <c r="Q136" s="40"/>
      <c r="R136" s="43" t="str">
        <f>IF(AND(NOT(ISBLANK(Q136)),Dashboard!F16&gt;0), Q136/Dashboard!F16, "")</f>
        <v/>
      </c>
      <c r="S136" s="40"/>
      <c r="T136" s="43" t="str">
        <f>IF(AND(NOT(ISBLANK(S136)),Dashboard!F67&gt;0), S136/Dashboard!F67, "")</f>
        <v/>
      </c>
      <c r="U136" s="40"/>
      <c r="V136" s="43" t="str">
        <f>IF(AND(NOT(ISBLANK(U136)),Dashboard!F68&gt;0), U136/Dashboard!F68, "")</f>
        <v/>
      </c>
      <c r="W136" s="40"/>
      <c r="X136" s="43" t="str">
        <f>IF(AND(NOT(ISBLANK(W136)),Dashboard!F69&gt;0), W136/Dashboard!F69, "")</f>
        <v/>
      </c>
    </row>
    <row r="137" spans="16:24" x14ac:dyDescent="0.35">
      <c r="P137" s="53"/>
      <c r="Q137" s="40"/>
      <c r="R137" s="43" t="str">
        <f>IF(AND(NOT(ISBLANK(Q137)),Dashboard!F16&gt;0), Q137/Dashboard!F16, "")</f>
        <v/>
      </c>
      <c r="S137" s="40"/>
      <c r="T137" s="43" t="str">
        <f>IF(AND(NOT(ISBLANK(S137)),Dashboard!F67&gt;0), S137/Dashboard!F67, "")</f>
        <v/>
      </c>
      <c r="U137" s="40"/>
      <c r="V137" s="43" t="str">
        <f>IF(AND(NOT(ISBLANK(U137)),Dashboard!F68&gt;0), U137/Dashboard!F68, "")</f>
        <v/>
      </c>
      <c r="W137" s="40"/>
      <c r="X137" s="43" t="str">
        <f>IF(AND(NOT(ISBLANK(W137)),Dashboard!F69&gt;0), W137/Dashboard!F69, "")</f>
        <v/>
      </c>
    </row>
    <row r="138" spans="16:24" x14ac:dyDescent="0.35">
      <c r="P138" s="53"/>
      <c r="Q138" s="40"/>
      <c r="R138" s="43" t="str">
        <f>IF(AND(NOT(ISBLANK(Q138)),Dashboard!F16&gt;0), Q138/Dashboard!F16, "")</f>
        <v/>
      </c>
      <c r="S138" s="40"/>
      <c r="T138" s="43" t="str">
        <f>IF(AND(NOT(ISBLANK(S138)),Dashboard!F67&gt;0), S138/Dashboard!F67, "")</f>
        <v/>
      </c>
      <c r="U138" s="40"/>
      <c r="V138" s="43" t="str">
        <f>IF(AND(NOT(ISBLANK(U138)),Dashboard!F68&gt;0), U138/Dashboard!F68, "")</f>
        <v/>
      </c>
      <c r="W138" s="40"/>
      <c r="X138" s="43" t="str">
        <f>IF(AND(NOT(ISBLANK(W138)),Dashboard!F69&gt;0), W138/Dashboard!F69, "")</f>
        <v/>
      </c>
    </row>
    <row r="139" spans="16:24" x14ac:dyDescent="0.35">
      <c r="P139" s="53"/>
      <c r="Q139" s="40"/>
      <c r="R139" s="43" t="str">
        <f>IF(AND(NOT(ISBLANK(Q139)),Dashboard!F16&gt;0), Q139/Dashboard!F16, "")</f>
        <v/>
      </c>
      <c r="S139" s="40"/>
      <c r="T139" s="43" t="str">
        <f>IF(AND(NOT(ISBLANK(S139)),Dashboard!F67&gt;0), S139/Dashboard!F67, "")</f>
        <v/>
      </c>
      <c r="U139" s="40"/>
      <c r="V139" s="43" t="str">
        <f>IF(AND(NOT(ISBLANK(U139)),Dashboard!F68&gt;0), U139/Dashboard!F68, "")</f>
        <v/>
      </c>
      <c r="W139" s="40"/>
      <c r="X139" s="43" t="str">
        <f>IF(AND(NOT(ISBLANK(W139)),Dashboard!F69&gt;0), W139/Dashboard!F69, "")</f>
        <v/>
      </c>
    </row>
    <row r="140" spans="16:24" x14ac:dyDescent="0.35">
      <c r="P140" s="53"/>
      <c r="Q140" s="40"/>
      <c r="R140" s="43" t="str">
        <f>IF(AND(NOT(ISBLANK(Q140)),Dashboard!F16&gt;0), Q140/Dashboard!F16, "")</f>
        <v/>
      </c>
      <c r="S140" s="40"/>
      <c r="T140" s="43" t="str">
        <f>IF(AND(NOT(ISBLANK(S140)),Dashboard!F67&gt;0), S140/Dashboard!F67, "")</f>
        <v/>
      </c>
      <c r="U140" s="40"/>
      <c r="V140" s="43" t="str">
        <f>IF(AND(NOT(ISBLANK(U140)),Dashboard!F68&gt;0), U140/Dashboard!F68, "")</f>
        <v/>
      </c>
      <c r="W140" s="40"/>
      <c r="X140" s="43" t="str">
        <f>IF(AND(NOT(ISBLANK(W140)),Dashboard!F69&gt;0), W140/Dashboard!F69, "")</f>
        <v/>
      </c>
    </row>
    <row r="141" spans="16:24" x14ac:dyDescent="0.35">
      <c r="P141" s="53"/>
      <c r="Q141" s="40"/>
      <c r="R141" s="43" t="str">
        <f>IF(AND(NOT(ISBLANK(Q141)),Dashboard!F16&gt;0), Q141/Dashboard!F16, "")</f>
        <v/>
      </c>
      <c r="S141" s="40"/>
      <c r="T141" s="43" t="str">
        <f>IF(AND(NOT(ISBLANK(S141)),Dashboard!F67&gt;0), S141/Dashboard!F67, "")</f>
        <v/>
      </c>
      <c r="U141" s="40"/>
      <c r="V141" s="43" t="str">
        <f>IF(AND(NOT(ISBLANK(U141)),Dashboard!F68&gt;0), U141/Dashboard!F68, "")</f>
        <v/>
      </c>
      <c r="W141" s="40"/>
      <c r="X141" s="43" t="str">
        <f>IF(AND(NOT(ISBLANK(W141)),Dashboard!F69&gt;0), W141/Dashboard!F69, "")</f>
        <v/>
      </c>
    </row>
    <row r="142" spans="16:24" x14ac:dyDescent="0.35">
      <c r="P142" s="53"/>
      <c r="Q142" s="40"/>
      <c r="R142" s="43" t="str">
        <f>IF(AND(NOT(ISBLANK(Q142)),Dashboard!F16&gt;0), Q142/Dashboard!F16, "")</f>
        <v/>
      </c>
      <c r="S142" s="40"/>
      <c r="T142" s="43" t="str">
        <f>IF(AND(NOT(ISBLANK(S142)),Dashboard!F67&gt;0), S142/Dashboard!F67, "")</f>
        <v/>
      </c>
      <c r="U142" s="40"/>
      <c r="V142" s="43" t="str">
        <f>IF(AND(NOT(ISBLANK(U142)),Dashboard!F68&gt;0), U142/Dashboard!F68, "")</f>
        <v/>
      </c>
      <c r="W142" s="40"/>
      <c r="X142" s="43" t="str">
        <f>IF(AND(NOT(ISBLANK(W142)),Dashboard!F69&gt;0), W142/Dashboard!F69, "")</f>
        <v/>
      </c>
    </row>
    <row r="143" spans="16:24" x14ac:dyDescent="0.35">
      <c r="P143" s="53"/>
      <c r="Q143" s="40"/>
      <c r="R143" s="43" t="str">
        <f>IF(AND(NOT(ISBLANK(Q143)),Dashboard!F16&gt;0), Q143/Dashboard!F16, "")</f>
        <v/>
      </c>
      <c r="S143" s="40"/>
      <c r="T143" s="43" t="str">
        <f>IF(AND(NOT(ISBLANK(S143)),Dashboard!F67&gt;0), S143/Dashboard!F67, "")</f>
        <v/>
      </c>
      <c r="U143" s="40"/>
      <c r="V143" s="43" t="str">
        <f>IF(AND(NOT(ISBLANK(U143)),Dashboard!F68&gt;0), U143/Dashboard!F68, "")</f>
        <v/>
      </c>
      <c r="W143" s="40"/>
      <c r="X143" s="43" t="str">
        <f>IF(AND(NOT(ISBLANK(W143)),Dashboard!F69&gt;0), W143/Dashboard!F69, "")</f>
        <v/>
      </c>
    </row>
    <row r="144" spans="16:24" x14ac:dyDescent="0.35">
      <c r="P144" s="53"/>
      <c r="Q144" s="40"/>
      <c r="R144" s="43" t="str">
        <f>IF(AND(NOT(ISBLANK(Q144)),Dashboard!F16&gt;0), Q144/Dashboard!F16, "")</f>
        <v/>
      </c>
      <c r="S144" s="40"/>
      <c r="T144" s="43" t="str">
        <f>IF(AND(NOT(ISBLANK(S144)),Dashboard!F67&gt;0), S144/Dashboard!F67, "")</f>
        <v/>
      </c>
      <c r="U144" s="40"/>
      <c r="V144" s="43" t="str">
        <f>IF(AND(NOT(ISBLANK(U144)),Dashboard!F68&gt;0), U144/Dashboard!F68, "")</f>
        <v/>
      </c>
      <c r="W144" s="40"/>
      <c r="X144" s="43" t="str">
        <f>IF(AND(NOT(ISBLANK(W144)),Dashboard!F69&gt;0), W144/Dashboard!F69, "")</f>
        <v/>
      </c>
    </row>
    <row r="145" spans="2:24" x14ac:dyDescent="0.35">
      <c r="P145" s="53"/>
      <c r="Q145" s="40"/>
      <c r="R145" s="43" t="str">
        <f>IF(AND(NOT(ISBLANK(Q145)),Dashboard!F16&gt;0), Q145/Dashboard!F16, "")</f>
        <v/>
      </c>
      <c r="S145" s="40"/>
      <c r="T145" s="43" t="str">
        <f>IF(AND(NOT(ISBLANK(S145)),Dashboard!F67&gt;0), S145/Dashboard!F67, "")</f>
        <v/>
      </c>
      <c r="U145" s="40"/>
      <c r="V145" s="43" t="str">
        <f>IF(AND(NOT(ISBLANK(U145)),Dashboard!F68&gt;0), U145/Dashboard!F68, "")</f>
        <v/>
      </c>
      <c r="W145" s="40"/>
      <c r="X145" s="43" t="str">
        <f>IF(AND(NOT(ISBLANK(W145)),Dashboard!F69&gt;0), W145/Dashboard!F69, "")</f>
        <v/>
      </c>
    </row>
    <row r="146" spans="2:24" x14ac:dyDescent="0.35">
      <c r="P146" s="53"/>
      <c r="Q146" s="40"/>
      <c r="R146" s="43" t="str">
        <f>IF(AND(NOT(ISBLANK(Q146)),Dashboard!F16&gt;0), Q146/Dashboard!F16, "")</f>
        <v/>
      </c>
      <c r="S146" s="40"/>
      <c r="T146" s="43" t="str">
        <f>IF(AND(NOT(ISBLANK(S146)),Dashboard!F67&gt;0), S146/Dashboard!F67, "")</f>
        <v/>
      </c>
      <c r="U146" s="40"/>
      <c r="V146" s="43" t="str">
        <f>IF(AND(NOT(ISBLANK(U146)),Dashboard!F68&gt;0), U146/Dashboard!F68, "")</f>
        <v/>
      </c>
      <c r="W146" s="40"/>
      <c r="X146" s="43" t="str">
        <f>IF(AND(NOT(ISBLANK(W146)),Dashboard!F69&gt;0), W146/Dashboard!F69, "")</f>
        <v/>
      </c>
    </row>
    <row r="147" spans="2:24" x14ac:dyDescent="0.35">
      <c r="P147" s="53"/>
      <c r="Q147" s="40"/>
      <c r="R147" s="43" t="str">
        <f>IF(AND(NOT(ISBLANK(Q147)),Dashboard!F16&gt;0), Q147/Dashboard!F16, "")</f>
        <v/>
      </c>
      <c r="S147" s="40"/>
      <c r="T147" s="43" t="str">
        <f>IF(AND(NOT(ISBLANK(S147)),Dashboard!F67&gt;0), S147/Dashboard!F67, "")</f>
        <v/>
      </c>
      <c r="U147" s="40"/>
      <c r="V147" s="43" t="str">
        <f>IF(AND(NOT(ISBLANK(U147)),Dashboard!F68&gt;0), U147/Dashboard!F68, "")</f>
        <v/>
      </c>
      <c r="W147" s="40"/>
      <c r="X147" s="43" t="str">
        <f>IF(AND(NOT(ISBLANK(W147)),Dashboard!F69&gt;0), W147/Dashboard!F69, "")</f>
        <v/>
      </c>
    </row>
    <row r="148" spans="2:24" x14ac:dyDescent="0.35">
      <c r="P148" s="53"/>
      <c r="Q148" s="40"/>
      <c r="R148" s="43" t="str">
        <f>IF(AND(NOT(ISBLANK(Q148)),Dashboard!F16&gt;0), Q148/Dashboard!F16, "")</f>
        <v/>
      </c>
      <c r="S148" s="40"/>
      <c r="T148" s="43" t="str">
        <f>IF(AND(NOT(ISBLANK(S148)),Dashboard!F67&gt;0), S148/Dashboard!F67, "")</f>
        <v/>
      </c>
      <c r="U148" s="40"/>
      <c r="V148" s="43" t="str">
        <f>IF(AND(NOT(ISBLANK(U148)),Dashboard!F68&gt;0), U148/Dashboard!F68, "")</f>
        <v/>
      </c>
      <c r="W148" s="40"/>
      <c r="X148" s="43" t="str">
        <f>IF(AND(NOT(ISBLANK(W148)),Dashboard!F69&gt;0), W148/Dashboard!F69, "")</f>
        <v/>
      </c>
    </row>
    <row r="149" spans="2:24" x14ac:dyDescent="0.35">
      <c r="P149" s="53"/>
      <c r="Q149" s="40"/>
      <c r="R149" s="43" t="str">
        <f>IF(AND(NOT(ISBLANK(Q149)),Dashboard!F16&gt;0), Q149/Dashboard!F16, "")</f>
        <v/>
      </c>
      <c r="S149" s="40"/>
      <c r="T149" s="43" t="str">
        <f>IF(AND(NOT(ISBLANK(S149)),Dashboard!F67&gt;0), S149/Dashboard!F67, "")</f>
        <v/>
      </c>
      <c r="U149" s="40"/>
      <c r="V149" s="43" t="str">
        <f>IF(AND(NOT(ISBLANK(U149)),Dashboard!F68&gt;0), U149/Dashboard!F68, "")</f>
        <v/>
      </c>
      <c r="W149" s="40"/>
      <c r="X149" s="43" t="str">
        <f>IF(AND(NOT(ISBLANK(W149)),Dashboard!F69&gt;0), W149/Dashboard!F69, "")</f>
        <v/>
      </c>
    </row>
    <row r="150" spans="2:24" x14ac:dyDescent="0.35">
      <c r="P150" s="53"/>
      <c r="Q150" s="40"/>
      <c r="R150" s="43" t="str">
        <f>IF(AND(NOT(ISBLANK(Q150)),Dashboard!F16&gt;0), Q150/Dashboard!F16, "")</f>
        <v/>
      </c>
      <c r="S150" s="40"/>
      <c r="T150" s="43" t="str">
        <f>IF(AND(NOT(ISBLANK(S150)),Dashboard!F67&gt;0), S150/Dashboard!F67, "")</f>
        <v/>
      </c>
      <c r="U150" s="40"/>
      <c r="V150" s="43" t="str">
        <f>IF(AND(NOT(ISBLANK(U150)),Dashboard!F68&gt;0), U150/Dashboard!F68, "")</f>
        <v/>
      </c>
      <c r="W150" s="40"/>
      <c r="X150" s="43" t="str">
        <f>IF(AND(NOT(ISBLANK(W150)),Dashboard!F69&gt;0), W150/Dashboard!F69, "")</f>
        <v/>
      </c>
    </row>
    <row r="151" spans="2:24" x14ac:dyDescent="0.35">
      <c r="P151" s="53"/>
      <c r="Q151" s="40"/>
      <c r="R151" s="43" t="str">
        <f>IF(AND(NOT(ISBLANK(Q151)),Dashboard!F16&gt;0), Q151/Dashboard!F16, "")</f>
        <v/>
      </c>
      <c r="S151" s="40"/>
      <c r="T151" s="43" t="str">
        <f>IF(AND(NOT(ISBLANK(S151)),Dashboard!F67&gt;0), S151/Dashboard!F67, "")</f>
        <v/>
      </c>
      <c r="U151" s="40"/>
      <c r="V151" s="43" t="str">
        <f>IF(AND(NOT(ISBLANK(U151)),Dashboard!F68&gt;0), U151/Dashboard!F68, "")</f>
        <v/>
      </c>
      <c r="W151" s="40"/>
      <c r="X151" s="43" t="str">
        <f>IF(AND(NOT(ISBLANK(W151)),Dashboard!F69&gt;0), W151/Dashboard!F69, "")</f>
        <v/>
      </c>
    </row>
    <row r="152" spans="2:24" x14ac:dyDescent="0.35">
      <c r="P152" s="53"/>
      <c r="Q152" s="40"/>
      <c r="R152" s="43" t="str">
        <f>IF(AND(NOT(ISBLANK(Q152)),Dashboard!F16&gt;0), Q152/Dashboard!F16, "")</f>
        <v/>
      </c>
      <c r="S152" s="40"/>
      <c r="T152" s="43" t="str">
        <f>IF(AND(NOT(ISBLANK(S152)),Dashboard!F67&gt;0), S152/Dashboard!F67, "")</f>
        <v/>
      </c>
      <c r="U152" s="40"/>
      <c r="V152" s="43" t="str">
        <f>IF(AND(NOT(ISBLANK(U152)),Dashboard!F68&gt;0), U152/Dashboard!F68, "")</f>
        <v/>
      </c>
      <c r="W152" s="40"/>
      <c r="X152" s="43" t="str">
        <f>IF(AND(NOT(ISBLANK(W152)),Dashboard!F69&gt;0), W152/Dashboard!F69, "")</f>
        <v/>
      </c>
    </row>
    <row r="153" spans="2:24" x14ac:dyDescent="0.35">
      <c r="P153" s="53"/>
      <c r="Q153" s="40"/>
      <c r="R153" s="43" t="str">
        <f>IF(AND(NOT(ISBLANK(Q153)),Dashboard!F16&gt;0), Q153/Dashboard!F16, "")</f>
        <v/>
      </c>
      <c r="S153" s="40"/>
      <c r="T153" s="43" t="str">
        <f>IF(AND(NOT(ISBLANK(S153)),Dashboard!F67&gt;0), S153/Dashboard!F67, "")</f>
        <v/>
      </c>
      <c r="U153" s="40"/>
      <c r="V153" s="43" t="str">
        <f>IF(AND(NOT(ISBLANK(U153)),Dashboard!F68&gt;0), U153/Dashboard!F68, "")</f>
        <v/>
      </c>
      <c r="W153" s="40"/>
      <c r="X153" s="43" t="str">
        <f>IF(AND(NOT(ISBLANK(W153)),Dashboard!F69&gt;0), W153/Dashboard!F69, "")</f>
        <v/>
      </c>
    </row>
    <row r="158" spans="2:24" ht="21" x14ac:dyDescent="0.5">
      <c r="B158" s="37" t="s">
        <v>305</v>
      </c>
      <c r="P158" s="54" t="s">
        <v>306</v>
      </c>
    </row>
    <row r="160" spans="2:24" ht="45" customHeight="1" x14ac:dyDescent="0.35">
      <c r="B160" s="87" t="s">
        <v>307</v>
      </c>
      <c r="C160" s="80"/>
      <c r="D160" s="80"/>
      <c r="E160" s="80"/>
      <c r="F160" s="80"/>
      <c r="P160" s="87" t="s">
        <v>308</v>
      </c>
      <c r="Q160" s="80"/>
      <c r="R160" s="80"/>
      <c r="S160" s="80"/>
      <c r="T160" s="80"/>
      <c r="U160" s="80"/>
    </row>
    <row r="161" spans="16:22" ht="35" customHeight="1" x14ac:dyDescent="0.35">
      <c r="P161" s="84" t="s">
        <v>309</v>
      </c>
      <c r="Q161" s="84"/>
      <c r="R161" s="84" t="s">
        <v>310</v>
      </c>
      <c r="S161" s="84"/>
      <c r="T161" s="84"/>
    </row>
    <row r="162" spans="16:22" ht="30" customHeight="1" x14ac:dyDescent="0.35">
      <c r="P162" s="88">
        <v>0</v>
      </c>
      <c r="Q162" s="89"/>
      <c r="R162" s="90" t="s">
        <v>311</v>
      </c>
      <c r="S162" s="91"/>
      <c r="T162" s="91"/>
    </row>
    <row r="165" spans="16:22" ht="25" customHeight="1" x14ac:dyDescent="0.35">
      <c r="P165" s="63" t="s">
        <v>294</v>
      </c>
      <c r="Q165" s="63" t="s">
        <v>312</v>
      </c>
      <c r="R165" s="63" t="s">
        <v>313</v>
      </c>
      <c r="S165" s="92" t="s">
        <v>7</v>
      </c>
      <c r="T165" s="92"/>
      <c r="U165" s="92"/>
      <c r="V165" s="80"/>
    </row>
    <row r="166" spans="16:22" ht="20" customHeight="1" x14ac:dyDescent="0.35">
      <c r="P166" s="65"/>
      <c r="Q166" s="66"/>
      <c r="R166" s="67" t="str">
        <f>IF(AND(NOT(ISBLANK(Q166)), Dashboard!$P162&gt;0), Q166/Dashboard!$P162, "")</f>
        <v/>
      </c>
      <c r="S166" s="93"/>
      <c r="T166" s="94"/>
      <c r="U166" s="94"/>
      <c r="V166" s="94"/>
    </row>
    <row r="167" spans="16:22" ht="20" customHeight="1" x14ac:dyDescent="0.35">
      <c r="P167" s="65"/>
      <c r="Q167" s="66"/>
      <c r="R167" s="67" t="str">
        <f>IF(AND(NOT(ISBLANK(Q167)), Dashboard!$P162&gt;0), Q167/Dashboard!$P162, "")</f>
        <v/>
      </c>
      <c r="S167" s="93"/>
      <c r="T167" s="94"/>
      <c r="U167" s="94"/>
      <c r="V167" s="94"/>
    </row>
    <row r="168" spans="16:22" ht="20" customHeight="1" x14ac:dyDescent="0.35">
      <c r="P168" s="65"/>
      <c r="Q168" s="66"/>
      <c r="R168" s="67" t="str">
        <f>IF(AND(NOT(ISBLANK(Q168)), Dashboard!$P162&gt;0), Q168/Dashboard!$P162, "")</f>
        <v/>
      </c>
      <c r="S168" s="93"/>
      <c r="T168" s="94"/>
      <c r="U168" s="94"/>
      <c r="V168" s="94"/>
    </row>
    <row r="169" spans="16:22" ht="20" customHeight="1" x14ac:dyDescent="0.35">
      <c r="P169" s="65"/>
      <c r="Q169" s="66"/>
      <c r="R169" s="67" t="str">
        <f>IF(AND(NOT(ISBLANK(Q169)), Dashboard!$P162&gt;0), Q169/Dashboard!$P162, "")</f>
        <v/>
      </c>
      <c r="S169" s="93"/>
      <c r="T169" s="94"/>
      <c r="U169" s="94"/>
      <c r="V169" s="94"/>
    </row>
    <row r="170" spans="16:22" ht="20" customHeight="1" x14ac:dyDescent="0.35">
      <c r="P170" s="65"/>
      <c r="Q170" s="66"/>
      <c r="R170" s="67" t="str">
        <f>IF(AND(NOT(ISBLANK(Q170)), Dashboard!$P162&gt;0), Q170/Dashboard!$P162, "")</f>
        <v/>
      </c>
      <c r="S170" s="93"/>
      <c r="T170" s="94"/>
      <c r="U170" s="94"/>
      <c r="V170" s="94"/>
    </row>
    <row r="171" spans="16:22" ht="20" customHeight="1" x14ac:dyDescent="0.35">
      <c r="P171" s="65"/>
      <c r="Q171" s="66"/>
      <c r="R171" s="67" t="str">
        <f>IF(AND(NOT(ISBLANK(Q171)), Dashboard!$P162&gt;0), Q171/Dashboard!$P162, "")</f>
        <v/>
      </c>
      <c r="S171" s="93"/>
      <c r="T171" s="94"/>
      <c r="U171" s="94"/>
      <c r="V171" s="94"/>
    </row>
    <row r="172" spans="16:22" ht="20" customHeight="1" x14ac:dyDescent="0.35">
      <c r="P172" s="65"/>
      <c r="Q172" s="66"/>
      <c r="R172" s="67" t="str">
        <f>IF(AND(NOT(ISBLANK(Q172)), Dashboard!$P162&gt;0), Q172/Dashboard!$P162, "")</f>
        <v/>
      </c>
      <c r="S172" s="93"/>
      <c r="T172" s="94"/>
      <c r="U172" s="94"/>
      <c r="V172" s="94"/>
    </row>
    <row r="173" spans="16:22" ht="20" customHeight="1" x14ac:dyDescent="0.35">
      <c r="P173" s="65"/>
      <c r="Q173" s="66"/>
      <c r="R173" s="67" t="str">
        <f>IF(AND(NOT(ISBLANK(Q173)), Dashboard!$P162&gt;0), Q173/Dashboard!$P162, "")</f>
        <v/>
      </c>
      <c r="S173" s="93"/>
      <c r="T173" s="94"/>
      <c r="U173" s="94"/>
      <c r="V173" s="94"/>
    </row>
    <row r="174" spans="16:22" ht="20" customHeight="1" x14ac:dyDescent="0.35">
      <c r="P174" s="65"/>
      <c r="Q174" s="66"/>
      <c r="R174" s="67" t="str">
        <f>IF(AND(NOT(ISBLANK(Q174)), Dashboard!$P162&gt;0), Q174/Dashboard!$P162, "")</f>
        <v/>
      </c>
      <c r="S174" s="93"/>
      <c r="T174" s="94"/>
      <c r="U174" s="94"/>
      <c r="V174" s="94"/>
    </row>
    <row r="175" spans="16:22" ht="20" customHeight="1" x14ac:dyDescent="0.35">
      <c r="P175" s="65"/>
      <c r="Q175" s="66"/>
      <c r="R175" s="67" t="str">
        <f>IF(AND(NOT(ISBLANK(Q175)), Dashboard!$P162&gt;0), Q175/Dashboard!$P162, "")</f>
        <v/>
      </c>
      <c r="S175" s="93"/>
      <c r="T175" s="94"/>
      <c r="U175" s="94"/>
      <c r="V175" s="94"/>
    </row>
    <row r="176" spans="16:22" ht="20" customHeight="1" x14ac:dyDescent="0.35">
      <c r="P176" s="65"/>
      <c r="Q176" s="66"/>
      <c r="R176" s="67" t="str">
        <f>IF(AND(NOT(ISBLANK(Q176)), Dashboard!$P162&gt;0), Q176/Dashboard!$P162, "")</f>
        <v/>
      </c>
      <c r="S176" s="93"/>
      <c r="T176" s="94"/>
      <c r="U176" s="94"/>
      <c r="V176" s="94"/>
    </row>
    <row r="177" spans="2:22" ht="20" customHeight="1" x14ac:dyDescent="0.35">
      <c r="P177" s="65"/>
      <c r="Q177" s="66"/>
      <c r="R177" s="67" t="str">
        <f>IF(AND(NOT(ISBLANK(Q177)), Dashboard!$P162&gt;0), Q177/Dashboard!$P162, "")</f>
        <v/>
      </c>
      <c r="S177" s="93"/>
      <c r="T177" s="94"/>
      <c r="U177" s="94"/>
      <c r="V177" s="94"/>
    </row>
    <row r="178" spans="2:22" ht="20" customHeight="1" x14ac:dyDescent="0.35">
      <c r="P178" s="65"/>
      <c r="Q178" s="66"/>
      <c r="R178" s="67" t="str">
        <f>IF(AND(NOT(ISBLANK(Q178)), Dashboard!$P162&gt;0), Q178/Dashboard!$P162, "")</f>
        <v/>
      </c>
      <c r="S178" s="93"/>
      <c r="T178" s="94"/>
      <c r="U178" s="94"/>
      <c r="V178" s="94"/>
    </row>
    <row r="179" spans="2:22" ht="20" customHeight="1" x14ac:dyDescent="0.35">
      <c r="P179" s="65"/>
      <c r="Q179" s="66"/>
      <c r="R179" s="67" t="str">
        <f>IF(AND(NOT(ISBLANK(Q179)), Dashboard!$P162&gt;0), Q179/Dashboard!$P162, "")</f>
        <v/>
      </c>
      <c r="S179" s="93"/>
      <c r="T179" s="94"/>
      <c r="U179" s="94"/>
      <c r="V179" s="94"/>
    </row>
    <row r="180" spans="2:22" ht="20" customHeight="1" x14ac:dyDescent="0.35">
      <c r="P180" s="65"/>
      <c r="Q180" s="66"/>
      <c r="R180" s="67" t="str">
        <f>IF(AND(NOT(ISBLANK(Q180)), Dashboard!$P162&gt;0), Q180/Dashboard!$P162, "")</f>
        <v/>
      </c>
      <c r="S180" s="93"/>
      <c r="T180" s="94"/>
      <c r="U180" s="94"/>
      <c r="V180" s="94"/>
    </row>
    <row r="181" spans="2:22" ht="20" customHeight="1" x14ac:dyDescent="0.35">
      <c r="P181" s="65"/>
      <c r="Q181" s="66"/>
      <c r="R181" s="67" t="str">
        <f>IF(AND(NOT(ISBLANK(Q181)), Dashboard!$P162&gt;0), Q181/Dashboard!$P162, "")</f>
        <v/>
      </c>
      <c r="S181" s="93"/>
      <c r="T181" s="94"/>
      <c r="U181" s="94"/>
      <c r="V181" s="94"/>
    </row>
    <row r="182" spans="2:22" ht="20" customHeight="1" x14ac:dyDescent="0.35">
      <c r="P182" s="65"/>
      <c r="Q182" s="66"/>
      <c r="R182" s="67" t="str">
        <f>IF(AND(NOT(ISBLANK(Q182)), Dashboard!$P162&gt;0), Q182/Dashboard!$P162, "")</f>
        <v/>
      </c>
      <c r="S182" s="93"/>
      <c r="T182" s="94"/>
      <c r="U182" s="94"/>
      <c r="V182" s="94"/>
    </row>
    <row r="183" spans="2:22" ht="20" customHeight="1" x14ac:dyDescent="0.35">
      <c r="P183" s="65"/>
      <c r="Q183" s="66"/>
      <c r="R183" s="67" t="str">
        <f>IF(AND(NOT(ISBLANK(Q183)), Dashboard!$P162&gt;0), Q183/Dashboard!$P162, "")</f>
        <v/>
      </c>
      <c r="S183" s="93"/>
      <c r="T183" s="94"/>
      <c r="U183" s="94"/>
      <c r="V183" s="94"/>
    </row>
    <row r="184" spans="2:22" ht="20" customHeight="1" x14ac:dyDescent="0.35">
      <c r="P184" s="65"/>
      <c r="Q184" s="66"/>
      <c r="R184" s="67" t="str">
        <f>IF(AND(NOT(ISBLANK(Q184)), Dashboard!$P162&gt;0), Q184/Dashboard!$P162, "")</f>
        <v/>
      </c>
      <c r="S184" s="93"/>
      <c r="T184" s="94"/>
      <c r="U184" s="94"/>
      <c r="V184" s="94"/>
    </row>
    <row r="185" spans="2:22" ht="20" customHeight="1" x14ac:dyDescent="0.35">
      <c r="P185" s="65"/>
      <c r="Q185" s="66"/>
      <c r="R185" s="67" t="str">
        <f>IF(AND(NOT(ISBLANK(Q185)), Dashboard!$P162&gt;0), Q185/Dashboard!$P162, "")</f>
        <v/>
      </c>
      <c r="S185" s="93"/>
      <c r="T185" s="94"/>
      <c r="U185" s="94"/>
      <c r="V185" s="94"/>
    </row>
    <row r="189" spans="2:22" ht="32" customHeight="1" x14ac:dyDescent="0.35">
      <c r="B189" s="78" t="s">
        <v>189</v>
      </c>
      <c r="C189" s="78"/>
      <c r="D189" s="78"/>
      <c r="E189" s="78"/>
      <c r="F189" s="78"/>
      <c r="G189" s="78"/>
      <c r="H189" s="78"/>
      <c r="I189" s="78"/>
    </row>
  </sheetData>
  <mergeCells count="55">
    <mergeCell ref="B189:I189"/>
    <mergeCell ref="S181:V181"/>
    <mergeCell ref="S182:V182"/>
    <mergeCell ref="S183:V183"/>
    <mergeCell ref="S184:V184"/>
    <mergeCell ref="S185:V185"/>
    <mergeCell ref="S176:V176"/>
    <mergeCell ref="S177:V177"/>
    <mergeCell ref="S178:V178"/>
    <mergeCell ref="S179:V179"/>
    <mergeCell ref="S180:V180"/>
    <mergeCell ref="S171:V171"/>
    <mergeCell ref="S172:V172"/>
    <mergeCell ref="S173:V173"/>
    <mergeCell ref="S174:V174"/>
    <mergeCell ref="S175:V175"/>
    <mergeCell ref="S166:V166"/>
    <mergeCell ref="S167:V167"/>
    <mergeCell ref="S168:V168"/>
    <mergeCell ref="S169:V169"/>
    <mergeCell ref="S170:V170"/>
    <mergeCell ref="P161:Q161"/>
    <mergeCell ref="R161:T161"/>
    <mergeCell ref="P162:Q162"/>
    <mergeCell ref="R162:T162"/>
    <mergeCell ref="S165:V165"/>
    <mergeCell ref="C110:D110"/>
    <mergeCell ref="G110:H110"/>
    <mergeCell ref="B119:F119"/>
    <mergeCell ref="P119:W119"/>
    <mergeCell ref="B160:F160"/>
    <mergeCell ref="P160:U160"/>
    <mergeCell ref="C107:D107"/>
    <mergeCell ref="G107:H107"/>
    <mergeCell ref="C108:D108"/>
    <mergeCell ref="G108:H108"/>
    <mergeCell ref="C109:D109"/>
    <mergeCell ref="G109:H109"/>
    <mergeCell ref="C104:D104"/>
    <mergeCell ref="G104:H104"/>
    <mergeCell ref="C105:D105"/>
    <mergeCell ref="G105:H105"/>
    <mergeCell ref="C106:D106"/>
    <mergeCell ref="G106:H106"/>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5:H110">
    <cfRule type="expression" dxfId="32" priority="4">
      <formula>$G105&gt;=0.8</formula>
    </cfRule>
    <cfRule type="expression" dxfId="31" priority="5">
      <formula>AND($G105&gt;=0.5,$G105&lt;0.8)</formula>
    </cfRule>
    <cfRule type="expression" dxfId="30" priority="6">
      <formula>$G105&lt;0.5</formula>
    </cfRule>
  </conditionalFormatting>
  <conditionalFormatting sqref="K105:K110">
    <cfRule type="cellIs" dxfId="29" priority="7" operator="greaterThan">
      <formula>0</formula>
    </cfRule>
  </conditionalFormatting>
  <conditionalFormatting sqref="L105:L110">
    <cfRule type="cellIs" dxfId="28" priority="8" operator="greaterThan">
      <formula>0</formula>
    </cfRule>
  </conditionalFormatting>
  <conditionalFormatting sqref="M105:M110">
    <cfRule type="cellIs" dxfId="27" priority="9" operator="greaterThan">
      <formula>0</formula>
    </cfRule>
  </conditionalFormatting>
  <conditionalFormatting sqref="N105:N110">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4" xr:uid="{00000000-0002-0000-0100-000000000000}">
      <formula1>0</formula1>
      <formula2>C16</formula2>
    </dataValidation>
    <dataValidation type="whole" allowBlank="1" showErrorMessage="1" errorTitle="Invalid count" error="Value must be between 0 and the current implemented total." sqref="S124" xr:uid="{00000000-0002-0000-0100-000001000000}">
      <formula1>0</formula1>
      <formula2>C67</formula2>
    </dataValidation>
    <dataValidation type="whole" allowBlank="1" showErrorMessage="1" errorTitle="Invalid count" error="Value must be between 0 and the current implemented total." sqref="U124" xr:uid="{00000000-0002-0000-0100-000002000000}">
      <formula1>0</formula1>
      <formula2>C68</formula2>
    </dataValidation>
    <dataValidation type="whole" allowBlank="1" showErrorMessage="1" errorTitle="Invalid count" error="Value must be between 0 and the current implemented total." sqref="W124" xr:uid="{00000000-0002-0000-0100-000003000000}">
      <formula1>0</formula1>
      <formula2>C69</formula2>
    </dataValidation>
    <dataValidation type="whole" allowBlank="1" showErrorMessage="1" errorTitle="Invalid overall count" error="Overall count must be between 0 and the current implemented total." sqref="Q125" xr:uid="{00000000-0002-0000-0100-000004000000}">
      <formula1>0</formula1>
      <formula2>C16</formula2>
    </dataValidation>
    <dataValidation type="whole" allowBlank="1" showErrorMessage="1" errorTitle="Invalid count" error="Value must be between 0 and the current implemented total." sqref="S125" xr:uid="{00000000-0002-0000-0100-000005000000}">
      <formula1>0</formula1>
      <formula2>C67</formula2>
    </dataValidation>
    <dataValidation type="whole" allowBlank="1" showErrorMessage="1" errorTitle="Invalid count" error="Value must be between 0 and the current implemented total." sqref="U125" xr:uid="{00000000-0002-0000-0100-000006000000}">
      <formula1>0</formula1>
      <formula2>C68</formula2>
    </dataValidation>
    <dataValidation type="whole" allowBlank="1" showErrorMessage="1" errorTitle="Invalid count" error="Value must be between 0 and the current implemented total." sqref="W125" xr:uid="{00000000-0002-0000-0100-000007000000}">
      <formula1>0</formula1>
      <formula2>C69</formula2>
    </dataValidation>
    <dataValidation type="whole" allowBlank="1" showErrorMessage="1" errorTitle="Invalid overall count" error="Overall count must be between 0 and the current implemented total." sqref="Q126" xr:uid="{00000000-0002-0000-0100-000008000000}">
      <formula1>0</formula1>
      <formula2>C16</formula2>
    </dataValidation>
    <dataValidation type="whole" allowBlank="1" showErrorMessage="1" errorTitle="Invalid count" error="Value must be between 0 and the current implemented total." sqref="S126" xr:uid="{00000000-0002-0000-0100-000009000000}">
      <formula1>0</formula1>
      <formula2>C67</formula2>
    </dataValidation>
    <dataValidation type="whole" allowBlank="1" showErrorMessage="1" errorTitle="Invalid count" error="Value must be between 0 and the current implemented total." sqref="U126" xr:uid="{00000000-0002-0000-0100-00000A000000}">
      <formula1>0</formula1>
      <formula2>C68</formula2>
    </dataValidation>
    <dataValidation type="whole" allowBlank="1" showErrorMessage="1" errorTitle="Invalid count" error="Value must be between 0 and the current implemented total." sqref="W126" xr:uid="{00000000-0002-0000-0100-00000B000000}">
      <formula1>0</formula1>
      <formula2>C69</formula2>
    </dataValidation>
    <dataValidation type="whole" allowBlank="1" showErrorMessage="1" errorTitle="Invalid overall count" error="Overall count must be between 0 and the current implemented total." sqref="Q127" xr:uid="{00000000-0002-0000-0100-00000C000000}">
      <formula1>0</formula1>
      <formula2>C16</formula2>
    </dataValidation>
    <dataValidation type="whole" allowBlank="1" showErrorMessage="1" errorTitle="Invalid count" error="Value must be between 0 and the current implemented total." sqref="S127" xr:uid="{00000000-0002-0000-0100-00000D000000}">
      <formula1>0</formula1>
      <formula2>C67</formula2>
    </dataValidation>
    <dataValidation type="whole" allowBlank="1" showErrorMessage="1" errorTitle="Invalid count" error="Value must be between 0 and the current implemented total." sqref="U127" xr:uid="{00000000-0002-0000-0100-00000E000000}">
      <formula1>0</formula1>
      <formula2>C68</formula2>
    </dataValidation>
    <dataValidation type="whole" allowBlank="1" showErrorMessage="1" errorTitle="Invalid count" error="Value must be between 0 and the current implemented total." sqref="W127" xr:uid="{00000000-0002-0000-0100-00000F000000}">
      <formula1>0</formula1>
      <formula2>C69</formula2>
    </dataValidation>
    <dataValidation type="whole" allowBlank="1" showErrorMessage="1" errorTitle="Invalid overall count" error="Overall count must be between 0 and the current implemented total." sqref="Q128" xr:uid="{00000000-0002-0000-0100-000010000000}">
      <formula1>0</formula1>
      <formula2>C16</formula2>
    </dataValidation>
    <dataValidation type="whole" allowBlank="1" showErrorMessage="1" errorTitle="Invalid count" error="Value must be between 0 and the current implemented total." sqref="S128" xr:uid="{00000000-0002-0000-0100-000011000000}">
      <formula1>0</formula1>
      <formula2>C67</formula2>
    </dataValidation>
    <dataValidation type="whole" allowBlank="1" showErrorMessage="1" errorTitle="Invalid count" error="Value must be between 0 and the current implemented total." sqref="U128" xr:uid="{00000000-0002-0000-0100-000012000000}">
      <formula1>0</formula1>
      <formula2>C68</formula2>
    </dataValidation>
    <dataValidation type="whole" allowBlank="1" showErrorMessage="1" errorTitle="Invalid count" error="Value must be between 0 and the current implemented total." sqref="W128" xr:uid="{00000000-0002-0000-0100-000013000000}">
      <formula1>0</formula1>
      <formula2>C69</formula2>
    </dataValidation>
    <dataValidation type="whole" allowBlank="1" showErrorMessage="1" errorTitle="Invalid overall count" error="Overall count must be between 0 and the current implemented total." sqref="Q129" xr:uid="{00000000-0002-0000-0100-000014000000}">
      <formula1>0</formula1>
      <formula2>C16</formula2>
    </dataValidation>
    <dataValidation type="whole" allowBlank="1" showErrorMessage="1" errorTitle="Invalid count" error="Value must be between 0 and the current implemented total." sqref="S129" xr:uid="{00000000-0002-0000-0100-000015000000}">
      <formula1>0</formula1>
      <formula2>C67</formula2>
    </dataValidation>
    <dataValidation type="whole" allowBlank="1" showErrorMessage="1" errorTitle="Invalid count" error="Value must be between 0 and the current implemented total." sqref="U129" xr:uid="{00000000-0002-0000-0100-000016000000}">
      <formula1>0</formula1>
      <formula2>C68</formula2>
    </dataValidation>
    <dataValidation type="whole" allowBlank="1" showErrorMessage="1" errorTitle="Invalid count" error="Value must be between 0 and the current implemented total." sqref="W129" xr:uid="{00000000-0002-0000-0100-000017000000}">
      <formula1>0</formula1>
      <formula2>C69</formula2>
    </dataValidation>
    <dataValidation type="whole" allowBlank="1" showErrorMessage="1" errorTitle="Invalid overall count" error="Overall count must be between 0 and the current implemented total." sqref="Q130" xr:uid="{00000000-0002-0000-0100-000018000000}">
      <formula1>0</formula1>
      <formula2>C16</formula2>
    </dataValidation>
    <dataValidation type="whole" allowBlank="1" showErrorMessage="1" errorTitle="Invalid count" error="Value must be between 0 and the current implemented total." sqref="S130" xr:uid="{00000000-0002-0000-0100-000019000000}">
      <formula1>0</formula1>
      <formula2>C67</formula2>
    </dataValidation>
    <dataValidation type="whole" allowBlank="1" showErrorMessage="1" errorTitle="Invalid count" error="Value must be between 0 and the current implemented total." sqref="U130" xr:uid="{00000000-0002-0000-0100-00001A000000}">
      <formula1>0</formula1>
      <formula2>C68</formula2>
    </dataValidation>
    <dataValidation type="whole" allowBlank="1" showErrorMessage="1" errorTitle="Invalid count" error="Value must be between 0 and the current implemented total." sqref="W130" xr:uid="{00000000-0002-0000-0100-00001B000000}">
      <formula1>0</formula1>
      <formula2>C69</formula2>
    </dataValidation>
    <dataValidation type="whole" allowBlank="1" showErrorMessage="1" errorTitle="Invalid overall count" error="Overall count must be between 0 and the current implemented total." sqref="Q131" xr:uid="{00000000-0002-0000-0100-00001C000000}">
      <formula1>0</formula1>
      <formula2>C16</formula2>
    </dataValidation>
    <dataValidation type="whole" allowBlank="1" showErrorMessage="1" errorTitle="Invalid count" error="Value must be between 0 and the current implemented total." sqref="S131" xr:uid="{00000000-0002-0000-0100-00001D000000}">
      <formula1>0</formula1>
      <formula2>C67</formula2>
    </dataValidation>
    <dataValidation type="whole" allowBlank="1" showErrorMessage="1" errorTitle="Invalid count" error="Value must be between 0 and the current implemented total." sqref="U131" xr:uid="{00000000-0002-0000-0100-00001E000000}">
      <formula1>0</formula1>
      <formula2>C68</formula2>
    </dataValidation>
    <dataValidation type="whole" allowBlank="1" showErrorMessage="1" errorTitle="Invalid count" error="Value must be between 0 and the current implemented total." sqref="W131" xr:uid="{00000000-0002-0000-0100-00001F000000}">
      <formula1>0</formula1>
      <formula2>C69</formula2>
    </dataValidation>
    <dataValidation type="whole" allowBlank="1" showErrorMessage="1" errorTitle="Invalid overall count" error="Overall count must be between 0 and the current implemented total." sqref="Q132" xr:uid="{00000000-0002-0000-0100-000020000000}">
      <formula1>0</formula1>
      <formula2>C16</formula2>
    </dataValidation>
    <dataValidation type="whole" allowBlank="1" showErrorMessage="1" errorTitle="Invalid count" error="Value must be between 0 and the current implemented total." sqref="S132" xr:uid="{00000000-0002-0000-0100-000021000000}">
      <formula1>0</formula1>
      <formula2>C67</formula2>
    </dataValidation>
    <dataValidation type="whole" allowBlank="1" showErrorMessage="1" errorTitle="Invalid count" error="Value must be between 0 and the current implemented total." sqref="U132" xr:uid="{00000000-0002-0000-0100-000022000000}">
      <formula1>0</formula1>
      <formula2>C68</formula2>
    </dataValidation>
    <dataValidation type="whole" allowBlank="1" showErrorMessage="1" errorTitle="Invalid count" error="Value must be between 0 and the current implemented total." sqref="W132" xr:uid="{00000000-0002-0000-0100-000023000000}">
      <formula1>0</formula1>
      <formula2>C69</formula2>
    </dataValidation>
    <dataValidation type="whole" allowBlank="1" showErrorMessage="1" errorTitle="Invalid overall count" error="Overall count must be between 0 and the current implemented total." sqref="Q133" xr:uid="{00000000-0002-0000-0100-000024000000}">
      <formula1>0</formula1>
      <formula2>C16</formula2>
    </dataValidation>
    <dataValidation type="whole" allowBlank="1" showErrorMessage="1" errorTitle="Invalid count" error="Value must be between 0 and the current implemented total." sqref="S133" xr:uid="{00000000-0002-0000-0100-000025000000}">
      <formula1>0</formula1>
      <formula2>C67</formula2>
    </dataValidation>
    <dataValidation type="whole" allowBlank="1" showErrorMessage="1" errorTitle="Invalid count" error="Value must be between 0 and the current implemented total." sqref="U133" xr:uid="{00000000-0002-0000-0100-000026000000}">
      <formula1>0</formula1>
      <formula2>C68</formula2>
    </dataValidation>
    <dataValidation type="whole" allowBlank="1" showErrorMessage="1" errorTitle="Invalid count" error="Value must be between 0 and the current implemented total." sqref="W133" xr:uid="{00000000-0002-0000-0100-000027000000}">
      <formula1>0</formula1>
      <formula2>C69</formula2>
    </dataValidation>
    <dataValidation type="whole" allowBlank="1" showErrorMessage="1" errorTitle="Invalid overall count" error="Overall count must be between 0 and the current implemented total." sqref="Q134" xr:uid="{00000000-0002-0000-0100-000028000000}">
      <formula1>0</formula1>
      <formula2>C16</formula2>
    </dataValidation>
    <dataValidation type="whole" allowBlank="1" showErrorMessage="1" errorTitle="Invalid count" error="Value must be between 0 and the current implemented total." sqref="S134" xr:uid="{00000000-0002-0000-0100-000029000000}">
      <formula1>0</formula1>
      <formula2>C67</formula2>
    </dataValidation>
    <dataValidation type="whole" allowBlank="1" showErrorMessage="1" errorTitle="Invalid count" error="Value must be between 0 and the current implemented total." sqref="U134" xr:uid="{00000000-0002-0000-0100-00002A000000}">
      <formula1>0</formula1>
      <formula2>C68</formula2>
    </dataValidation>
    <dataValidation type="whole" allowBlank="1" showErrorMessage="1" errorTitle="Invalid count" error="Value must be between 0 and the current implemented total." sqref="W134" xr:uid="{00000000-0002-0000-0100-00002B000000}">
      <formula1>0</formula1>
      <formula2>C69</formula2>
    </dataValidation>
    <dataValidation type="whole" allowBlank="1" showErrorMessage="1" errorTitle="Invalid overall count" error="Overall count must be between 0 and the current implemented total." sqref="Q135" xr:uid="{00000000-0002-0000-0100-00002C000000}">
      <formula1>0</formula1>
      <formula2>C16</formula2>
    </dataValidation>
    <dataValidation type="whole" allowBlank="1" showErrorMessage="1" errorTitle="Invalid count" error="Value must be between 0 and the current implemented total." sqref="S135" xr:uid="{00000000-0002-0000-0100-00002D000000}">
      <formula1>0</formula1>
      <formula2>C67</formula2>
    </dataValidation>
    <dataValidation type="whole" allowBlank="1" showErrorMessage="1" errorTitle="Invalid count" error="Value must be between 0 and the current implemented total." sqref="U135" xr:uid="{00000000-0002-0000-0100-00002E000000}">
      <formula1>0</formula1>
      <formula2>C68</formula2>
    </dataValidation>
    <dataValidation type="whole" allowBlank="1" showErrorMessage="1" errorTitle="Invalid count" error="Value must be between 0 and the current implemented total." sqref="W135" xr:uid="{00000000-0002-0000-0100-00002F000000}">
      <formula1>0</formula1>
      <formula2>C69</formula2>
    </dataValidation>
    <dataValidation type="whole" allowBlank="1" showErrorMessage="1" errorTitle="Invalid overall count" error="Overall count must be between 0 and the current implemented total." sqref="Q136" xr:uid="{00000000-0002-0000-0100-000030000000}">
      <formula1>0</formula1>
      <formula2>C16</formula2>
    </dataValidation>
    <dataValidation type="whole" allowBlank="1" showErrorMessage="1" errorTitle="Invalid count" error="Value must be between 0 and the current implemented total." sqref="S136" xr:uid="{00000000-0002-0000-0100-000031000000}">
      <formula1>0</formula1>
      <formula2>C67</formula2>
    </dataValidation>
    <dataValidation type="whole" allowBlank="1" showErrorMessage="1" errorTitle="Invalid count" error="Value must be between 0 and the current implemented total." sqref="U136" xr:uid="{00000000-0002-0000-0100-000032000000}">
      <formula1>0</formula1>
      <formula2>C68</formula2>
    </dataValidation>
    <dataValidation type="whole" allowBlank="1" showErrorMessage="1" errorTitle="Invalid count" error="Value must be between 0 and the current implemented total." sqref="W136" xr:uid="{00000000-0002-0000-0100-000033000000}">
      <formula1>0</formula1>
      <formula2>C69</formula2>
    </dataValidation>
    <dataValidation type="whole" allowBlank="1" showErrorMessage="1" errorTitle="Invalid overall count" error="Overall count must be between 0 and the current implemented total." sqref="Q137" xr:uid="{00000000-0002-0000-0100-000034000000}">
      <formula1>0</formula1>
      <formula2>C16</formula2>
    </dataValidation>
    <dataValidation type="whole" allowBlank="1" showErrorMessage="1" errorTitle="Invalid count" error="Value must be between 0 and the current implemented total." sqref="S137" xr:uid="{00000000-0002-0000-0100-000035000000}">
      <formula1>0</formula1>
      <formula2>C67</formula2>
    </dataValidation>
    <dataValidation type="whole" allowBlank="1" showErrorMessage="1" errorTitle="Invalid count" error="Value must be between 0 and the current implemented total." sqref="U137" xr:uid="{00000000-0002-0000-0100-000036000000}">
      <formula1>0</formula1>
      <formula2>C68</formula2>
    </dataValidation>
    <dataValidation type="whole" allowBlank="1" showErrorMessage="1" errorTitle="Invalid count" error="Value must be between 0 and the current implemented total." sqref="W137" xr:uid="{00000000-0002-0000-0100-000037000000}">
      <formula1>0</formula1>
      <formula2>C69</formula2>
    </dataValidation>
    <dataValidation type="whole" allowBlank="1" showErrorMessage="1" errorTitle="Invalid overall count" error="Overall count must be between 0 and the current implemented total." sqref="Q138" xr:uid="{00000000-0002-0000-0100-000038000000}">
      <formula1>0</formula1>
      <formula2>C16</formula2>
    </dataValidation>
    <dataValidation type="whole" allowBlank="1" showErrorMessage="1" errorTitle="Invalid count" error="Value must be between 0 and the current implemented total." sqref="S138" xr:uid="{00000000-0002-0000-0100-000039000000}">
      <formula1>0</formula1>
      <formula2>C67</formula2>
    </dataValidation>
    <dataValidation type="whole" allowBlank="1" showErrorMessage="1" errorTitle="Invalid count" error="Value must be between 0 and the current implemented total." sqref="U138" xr:uid="{00000000-0002-0000-0100-00003A000000}">
      <formula1>0</formula1>
      <formula2>C68</formula2>
    </dataValidation>
    <dataValidation type="whole" allowBlank="1" showErrorMessage="1" errorTitle="Invalid count" error="Value must be between 0 and the current implemented total." sqref="W138" xr:uid="{00000000-0002-0000-0100-00003B000000}">
      <formula1>0</formula1>
      <formula2>C69</formula2>
    </dataValidation>
    <dataValidation type="whole" allowBlank="1" showErrorMessage="1" errorTitle="Invalid overall count" error="Overall count must be between 0 and the current implemented total." sqref="Q139" xr:uid="{00000000-0002-0000-0100-00003C000000}">
      <formula1>0</formula1>
      <formula2>C16</formula2>
    </dataValidation>
    <dataValidation type="whole" allowBlank="1" showErrorMessage="1" errorTitle="Invalid count" error="Value must be between 0 and the current implemented total." sqref="S139" xr:uid="{00000000-0002-0000-0100-00003D000000}">
      <formula1>0</formula1>
      <formula2>C67</formula2>
    </dataValidation>
    <dataValidation type="whole" allowBlank="1" showErrorMessage="1" errorTitle="Invalid count" error="Value must be between 0 and the current implemented total." sqref="U139" xr:uid="{00000000-0002-0000-0100-00003E000000}">
      <formula1>0</formula1>
      <formula2>C68</formula2>
    </dataValidation>
    <dataValidation type="whole" allowBlank="1" showErrorMessage="1" errorTitle="Invalid count" error="Value must be between 0 and the current implemented total." sqref="W139" xr:uid="{00000000-0002-0000-0100-00003F000000}">
      <formula1>0</formula1>
      <formula2>C69</formula2>
    </dataValidation>
    <dataValidation type="whole" allowBlank="1" showErrorMessage="1" errorTitle="Invalid overall count" error="Overall count must be between 0 and the current implemented total." sqref="Q140" xr:uid="{00000000-0002-0000-0100-000040000000}">
      <formula1>0</formula1>
      <formula2>C16</formula2>
    </dataValidation>
    <dataValidation type="whole" allowBlank="1" showErrorMessage="1" errorTitle="Invalid count" error="Value must be between 0 and the current implemented total." sqref="S140" xr:uid="{00000000-0002-0000-0100-000041000000}">
      <formula1>0</formula1>
      <formula2>C67</formula2>
    </dataValidation>
    <dataValidation type="whole" allowBlank="1" showErrorMessage="1" errorTitle="Invalid count" error="Value must be between 0 and the current implemented total." sqref="U140" xr:uid="{00000000-0002-0000-0100-000042000000}">
      <formula1>0</formula1>
      <formula2>C68</formula2>
    </dataValidation>
    <dataValidation type="whole" allowBlank="1" showErrorMessage="1" errorTitle="Invalid count" error="Value must be between 0 and the current implemented total." sqref="W140" xr:uid="{00000000-0002-0000-0100-000043000000}">
      <formula1>0</formula1>
      <formula2>C69</formula2>
    </dataValidation>
    <dataValidation type="whole" allowBlank="1" showErrorMessage="1" errorTitle="Invalid overall count" error="Overall count must be between 0 and the current implemented total." sqref="Q141" xr:uid="{00000000-0002-0000-0100-000044000000}">
      <formula1>0</formula1>
      <formula2>C16</formula2>
    </dataValidation>
    <dataValidation type="whole" allowBlank="1" showErrorMessage="1" errorTitle="Invalid count" error="Value must be between 0 and the current implemented total." sqref="S141" xr:uid="{00000000-0002-0000-0100-000045000000}">
      <formula1>0</formula1>
      <formula2>C67</formula2>
    </dataValidation>
    <dataValidation type="whole" allowBlank="1" showErrorMessage="1" errorTitle="Invalid count" error="Value must be between 0 and the current implemented total." sqref="U141" xr:uid="{00000000-0002-0000-0100-000046000000}">
      <formula1>0</formula1>
      <formula2>C68</formula2>
    </dataValidation>
    <dataValidation type="whole" allowBlank="1" showErrorMessage="1" errorTitle="Invalid count" error="Value must be between 0 and the current implemented total." sqref="W141" xr:uid="{00000000-0002-0000-0100-000047000000}">
      <formula1>0</formula1>
      <formula2>C69</formula2>
    </dataValidation>
    <dataValidation type="whole" allowBlank="1" showErrorMessage="1" errorTitle="Invalid overall count" error="Overall count must be between 0 and the current implemented total." sqref="Q142" xr:uid="{00000000-0002-0000-0100-000048000000}">
      <formula1>0</formula1>
      <formula2>C16</formula2>
    </dataValidation>
    <dataValidation type="whole" allowBlank="1" showErrorMessage="1" errorTitle="Invalid count" error="Value must be between 0 and the current implemented total." sqref="S142" xr:uid="{00000000-0002-0000-0100-000049000000}">
      <formula1>0</formula1>
      <formula2>C67</formula2>
    </dataValidation>
    <dataValidation type="whole" allowBlank="1" showErrorMessage="1" errorTitle="Invalid count" error="Value must be between 0 and the current implemented total." sqref="U142" xr:uid="{00000000-0002-0000-0100-00004A000000}">
      <formula1>0</formula1>
      <formula2>C68</formula2>
    </dataValidation>
    <dataValidation type="whole" allowBlank="1" showErrorMessage="1" errorTitle="Invalid count" error="Value must be between 0 and the current implemented total." sqref="W142" xr:uid="{00000000-0002-0000-0100-00004B000000}">
      <formula1>0</formula1>
      <formula2>C69</formula2>
    </dataValidation>
    <dataValidation type="whole" allowBlank="1" showErrorMessage="1" errorTitle="Invalid overall count" error="Overall count must be between 0 and the current implemented total." sqref="Q143" xr:uid="{00000000-0002-0000-0100-00004C000000}">
      <formula1>0</formula1>
      <formula2>C16</formula2>
    </dataValidation>
    <dataValidation type="whole" allowBlank="1" showErrorMessage="1" errorTitle="Invalid count" error="Value must be between 0 and the current implemented total." sqref="S143" xr:uid="{00000000-0002-0000-0100-00004D000000}">
      <formula1>0</formula1>
      <formula2>C67</formula2>
    </dataValidation>
    <dataValidation type="whole" allowBlank="1" showErrorMessage="1" errorTitle="Invalid count" error="Value must be between 0 and the current implemented total." sqref="U143" xr:uid="{00000000-0002-0000-0100-00004E000000}">
      <formula1>0</formula1>
      <formula2>C68</formula2>
    </dataValidation>
    <dataValidation type="whole" allowBlank="1" showErrorMessage="1" errorTitle="Invalid count" error="Value must be between 0 and the current implemented total." sqref="W143" xr:uid="{00000000-0002-0000-0100-00004F000000}">
      <formula1>0</formula1>
      <formula2>C69</formula2>
    </dataValidation>
    <dataValidation type="whole" allowBlank="1" showErrorMessage="1" errorTitle="Invalid overall count" error="Overall count must be between 0 and the current implemented total." sqref="Q144" xr:uid="{00000000-0002-0000-0100-000050000000}">
      <formula1>0</formula1>
      <formula2>C16</formula2>
    </dataValidation>
    <dataValidation type="whole" allowBlank="1" showErrorMessage="1" errorTitle="Invalid count" error="Value must be between 0 and the current implemented total." sqref="S144" xr:uid="{00000000-0002-0000-0100-000051000000}">
      <formula1>0</formula1>
      <formula2>C67</formula2>
    </dataValidation>
    <dataValidation type="whole" allowBlank="1" showErrorMessage="1" errorTitle="Invalid count" error="Value must be between 0 and the current implemented total." sqref="U144" xr:uid="{00000000-0002-0000-0100-000052000000}">
      <formula1>0</formula1>
      <formula2>C68</formula2>
    </dataValidation>
    <dataValidation type="whole" allowBlank="1" showErrorMessage="1" errorTitle="Invalid count" error="Value must be between 0 and the current implemented total." sqref="W144" xr:uid="{00000000-0002-0000-0100-000053000000}">
      <formula1>0</formula1>
      <formula2>C69</formula2>
    </dataValidation>
    <dataValidation type="whole" allowBlank="1" showErrorMessage="1" errorTitle="Invalid overall count" error="Overall count must be between 0 and the current implemented total." sqref="Q145" xr:uid="{00000000-0002-0000-0100-000054000000}">
      <formula1>0</formula1>
      <formula2>C16</formula2>
    </dataValidation>
    <dataValidation type="whole" allowBlank="1" showErrorMessage="1" errorTitle="Invalid count" error="Value must be between 0 and the current implemented total." sqref="S145" xr:uid="{00000000-0002-0000-0100-000055000000}">
      <formula1>0</formula1>
      <formula2>C67</formula2>
    </dataValidation>
    <dataValidation type="whole" allowBlank="1" showErrorMessage="1" errorTitle="Invalid count" error="Value must be between 0 and the current implemented total." sqref="U145" xr:uid="{00000000-0002-0000-0100-000056000000}">
      <formula1>0</formula1>
      <formula2>C68</formula2>
    </dataValidation>
    <dataValidation type="whole" allowBlank="1" showErrorMessage="1" errorTitle="Invalid count" error="Value must be between 0 and the current implemented total." sqref="W145" xr:uid="{00000000-0002-0000-0100-000057000000}">
      <formula1>0</formula1>
      <formula2>C69</formula2>
    </dataValidation>
    <dataValidation type="whole" allowBlank="1" showErrorMessage="1" errorTitle="Invalid overall count" error="Overall count must be between 0 and the current implemented total." sqref="Q146" xr:uid="{00000000-0002-0000-0100-000058000000}">
      <formula1>0</formula1>
      <formula2>C16</formula2>
    </dataValidation>
    <dataValidation type="whole" allowBlank="1" showErrorMessage="1" errorTitle="Invalid count" error="Value must be between 0 and the current implemented total." sqref="S146" xr:uid="{00000000-0002-0000-0100-000059000000}">
      <formula1>0</formula1>
      <formula2>C67</formula2>
    </dataValidation>
    <dataValidation type="whole" allowBlank="1" showErrorMessage="1" errorTitle="Invalid count" error="Value must be between 0 and the current implemented total." sqref="U146" xr:uid="{00000000-0002-0000-0100-00005A000000}">
      <formula1>0</formula1>
      <formula2>C68</formula2>
    </dataValidation>
    <dataValidation type="whole" allowBlank="1" showErrorMessage="1" errorTitle="Invalid count" error="Value must be between 0 and the current implemented total." sqref="W146" xr:uid="{00000000-0002-0000-0100-00005B000000}">
      <formula1>0</formula1>
      <formula2>C69</formula2>
    </dataValidation>
    <dataValidation type="whole" allowBlank="1" showErrorMessage="1" errorTitle="Invalid overall count" error="Overall count must be between 0 and the current implemented total." sqref="Q147" xr:uid="{00000000-0002-0000-0100-00005C000000}">
      <formula1>0</formula1>
      <formula2>C16</formula2>
    </dataValidation>
    <dataValidation type="whole" allowBlank="1" showErrorMessage="1" errorTitle="Invalid count" error="Value must be between 0 and the current implemented total." sqref="S147" xr:uid="{00000000-0002-0000-0100-00005D000000}">
      <formula1>0</formula1>
      <formula2>C67</formula2>
    </dataValidation>
    <dataValidation type="whole" allowBlank="1" showErrorMessage="1" errorTitle="Invalid count" error="Value must be between 0 and the current implemented total." sqref="U147" xr:uid="{00000000-0002-0000-0100-00005E000000}">
      <formula1>0</formula1>
      <formula2>C68</formula2>
    </dataValidation>
    <dataValidation type="whole" allowBlank="1" showErrorMessage="1" errorTitle="Invalid count" error="Value must be between 0 and the current implemented total." sqref="W147" xr:uid="{00000000-0002-0000-0100-00005F000000}">
      <formula1>0</formula1>
      <formula2>C69</formula2>
    </dataValidation>
    <dataValidation type="whole" allowBlank="1" showErrorMessage="1" errorTitle="Invalid overall count" error="Overall count must be between 0 and the current implemented total." sqref="Q148" xr:uid="{00000000-0002-0000-0100-000060000000}">
      <formula1>0</formula1>
      <formula2>C16</formula2>
    </dataValidation>
    <dataValidation type="whole" allowBlank="1" showErrorMessage="1" errorTitle="Invalid count" error="Value must be between 0 and the current implemented total." sqref="S148" xr:uid="{00000000-0002-0000-0100-000061000000}">
      <formula1>0</formula1>
      <formula2>C67</formula2>
    </dataValidation>
    <dataValidation type="whole" allowBlank="1" showErrorMessage="1" errorTitle="Invalid count" error="Value must be between 0 and the current implemented total." sqref="U148" xr:uid="{00000000-0002-0000-0100-000062000000}">
      <formula1>0</formula1>
      <formula2>C68</formula2>
    </dataValidation>
    <dataValidation type="whole" allowBlank="1" showErrorMessage="1" errorTitle="Invalid count" error="Value must be between 0 and the current implemented total." sqref="W148" xr:uid="{00000000-0002-0000-0100-000063000000}">
      <formula1>0</formula1>
      <formula2>C69</formula2>
    </dataValidation>
    <dataValidation type="whole" allowBlank="1" showErrorMessage="1" errorTitle="Invalid overall count" error="Overall count must be between 0 and the current implemented total." sqref="Q149" xr:uid="{00000000-0002-0000-0100-000064000000}">
      <formula1>0</formula1>
      <formula2>C16</formula2>
    </dataValidation>
    <dataValidation type="whole" allowBlank="1" showErrorMessage="1" errorTitle="Invalid count" error="Value must be between 0 and the current implemented total." sqref="S149" xr:uid="{00000000-0002-0000-0100-000065000000}">
      <formula1>0</formula1>
      <formula2>C67</formula2>
    </dataValidation>
    <dataValidation type="whole" allowBlank="1" showErrorMessage="1" errorTitle="Invalid count" error="Value must be between 0 and the current implemented total." sqref="U149" xr:uid="{00000000-0002-0000-0100-000066000000}">
      <formula1>0</formula1>
      <formula2>C68</formula2>
    </dataValidation>
    <dataValidation type="whole" allowBlank="1" showErrorMessage="1" errorTitle="Invalid count" error="Value must be between 0 and the current implemented total." sqref="W149" xr:uid="{00000000-0002-0000-0100-000067000000}">
      <formula1>0</formula1>
      <formula2>C69</formula2>
    </dataValidation>
    <dataValidation type="whole" allowBlank="1" showErrorMessage="1" errorTitle="Invalid overall count" error="Overall count must be between 0 and the current implemented total." sqref="Q150" xr:uid="{00000000-0002-0000-0100-000068000000}">
      <formula1>0</formula1>
      <formula2>C16</formula2>
    </dataValidation>
    <dataValidation type="whole" allowBlank="1" showErrorMessage="1" errorTitle="Invalid count" error="Value must be between 0 and the current implemented total." sqref="S150" xr:uid="{00000000-0002-0000-0100-000069000000}">
      <formula1>0</formula1>
      <formula2>C67</formula2>
    </dataValidation>
    <dataValidation type="whole" allowBlank="1" showErrorMessage="1" errorTitle="Invalid count" error="Value must be between 0 and the current implemented total." sqref="U150" xr:uid="{00000000-0002-0000-0100-00006A000000}">
      <formula1>0</formula1>
      <formula2>C68</formula2>
    </dataValidation>
    <dataValidation type="whole" allowBlank="1" showErrorMessage="1" errorTitle="Invalid count" error="Value must be between 0 and the current implemented total." sqref="W150" xr:uid="{00000000-0002-0000-0100-00006B000000}">
      <formula1>0</formula1>
      <formula2>C69</formula2>
    </dataValidation>
    <dataValidation type="whole" allowBlank="1" showErrorMessage="1" errorTitle="Invalid overall count" error="Overall count must be between 0 and the current implemented total." sqref="Q151" xr:uid="{00000000-0002-0000-0100-00006C000000}">
      <formula1>0</formula1>
      <formula2>C16</formula2>
    </dataValidation>
    <dataValidation type="whole" allowBlank="1" showErrorMessage="1" errorTitle="Invalid count" error="Value must be between 0 and the current implemented total." sqref="S151" xr:uid="{00000000-0002-0000-0100-00006D000000}">
      <formula1>0</formula1>
      <formula2>C67</formula2>
    </dataValidation>
    <dataValidation type="whole" allowBlank="1" showErrorMessage="1" errorTitle="Invalid count" error="Value must be between 0 and the current implemented total." sqref="U151" xr:uid="{00000000-0002-0000-0100-00006E000000}">
      <formula1>0</formula1>
      <formula2>C68</formula2>
    </dataValidation>
    <dataValidation type="whole" allowBlank="1" showErrorMessage="1" errorTitle="Invalid count" error="Value must be between 0 and the current implemented total." sqref="W151" xr:uid="{00000000-0002-0000-0100-00006F000000}">
      <formula1>0</formula1>
      <formula2>C69</formula2>
    </dataValidation>
    <dataValidation type="whole" allowBlank="1" showErrorMessage="1" errorTitle="Invalid overall count" error="Overall count must be between 0 and the current implemented total." sqref="Q152" xr:uid="{00000000-0002-0000-0100-000070000000}">
      <formula1>0</formula1>
      <formula2>C16</formula2>
    </dataValidation>
    <dataValidation type="whole" allowBlank="1" showErrorMessage="1" errorTitle="Invalid count" error="Value must be between 0 and the current implemented total." sqref="S152" xr:uid="{00000000-0002-0000-0100-000071000000}">
      <formula1>0</formula1>
      <formula2>C67</formula2>
    </dataValidation>
    <dataValidation type="whole" allowBlank="1" showErrorMessage="1" errorTitle="Invalid count" error="Value must be between 0 and the current implemented total." sqref="U152" xr:uid="{00000000-0002-0000-0100-000072000000}">
      <formula1>0</formula1>
      <formula2>C68</formula2>
    </dataValidation>
    <dataValidation type="whole" allowBlank="1" showErrorMessage="1" errorTitle="Invalid count" error="Value must be between 0 and the current implemented total." sqref="W152" xr:uid="{00000000-0002-0000-0100-000073000000}">
      <formula1>0</formula1>
      <formula2>C69</formula2>
    </dataValidation>
    <dataValidation type="whole" allowBlank="1" showErrorMessage="1" errorTitle="Invalid overall count" error="Overall count must be between 0 and the current implemented total." sqref="Q153" xr:uid="{00000000-0002-0000-0100-000074000000}">
      <formula1>0</formula1>
      <formula2>C16</formula2>
    </dataValidation>
    <dataValidation type="whole" allowBlank="1" showErrorMessage="1" errorTitle="Invalid count" error="Value must be between 0 and the current implemented total." sqref="S153" xr:uid="{00000000-0002-0000-0100-000075000000}">
      <formula1>0</formula1>
      <formula2>C67</formula2>
    </dataValidation>
    <dataValidation type="whole" allowBlank="1" showErrorMessage="1" errorTitle="Invalid count" error="Value must be between 0 and the current implemented total." sqref="U153" xr:uid="{00000000-0002-0000-0100-000076000000}">
      <formula1>0</formula1>
      <formula2>C68</formula2>
    </dataValidation>
    <dataValidation type="whole" allowBlank="1" showErrorMessage="1" errorTitle="Invalid count" error="Value must be between 0 and the current implemented total." sqref="W153" xr:uid="{00000000-0002-0000-0100-000077000000}">
      <formula1>0</formula1>
      <formula2>C69</formula2>
    </dataValidation>
    <dataValidation type="whole" allowBlank="1" showErrorMessage="1" errorTitle="Invalid Asset Count" error="Value must be between 0 and the Total Asset Numbers above." sqref="Q166" xr:uid="{00000000-0002-0000-0100-000078000000}">
      <formula1>0</formula1>
      <formula2>$P162</formula2>
    </dataValidation>
    <dataValidation type="whole" allowBlank="1" showErrorMessage="1" errorTitle="Invalid Asset Count" error="Value must be between 0 and the Total Asset Numbers above." sqref="Q167" xr:uid="{00000000-0002-0000-0100-000079000000}">
      <formula1>0</formula1>
      <formula2>$P162</formula2>
    </dataValidation>
    <dataValidation type="whole" allowBlank="1" showErrorMessage="1" errorTitle="Invalid Asset Count" error="Value must be between 0 and the Total Asset Numbers above." sqref="Q168" xr:uid="{00000000-0002-0000-0100-00007A000000}">
      <formula1>0</formula1>
      <formula2>$P162</formula2>
    </dataValidation>
    <dataValidation type="whole" allowBlank="1" showErrorMessage="1" errorTitle="Invalid Asset Count" error="Value must be between 0 and the Total Asset Numbers above." sqref="Q169" xr:uid="{00000000-0002-0000-0100-00007B000000}">
      <formula1>0</formula1>
      <formula2>$P162</formula2>
    </dataValidation>
    <dataValidation type="whole" allowBlank="1" showErrorMessage="1" errorTitle="Invalid Asset Count" error="Value must be between 0 and the Total Asset Numbers above." sqref="Q170" xr:uid="{00000000-0002-0000-0100-00007C000000}">
      <formula1>0</formula1>
      <formula2>$P162</formula2>
    </dataValidation>
    <dataValidation type="whole" allowBlank="1" showErrorMessage="1" errorTitle="Invalid Asset Count" error="Value must be between 0 and the Total Asset Numbers above." sqref="Q171" xr:uid="{00000000-0002-0000-0100-00007D000000}">
      <formula1>0</formula1>
      <formula2>$P162</formula2>
    </dataValidation>
    <dataValidation type="whole" allowBlank="1" showErrorMessage="1" errorTitle="Invalid Asset Count" error="Value must be between 0 and the Total Asset Numbers above." sqref="Q172" xr:uid="{00000000-0002-0000-0100-00007E000000}">
      <formula1>0</formula1>
      <formula2>$P162</formula2>
    </dataValidation>
    <dataValidation type="whole" allowBlank="1" showErrorMessage="1" errorTitle="Invalid Asset Count" error="Value must be between 0 and the Total Asset Numbers above." sqref="Q173" xr:uid="{00000000-0002-0000-0100-00007F000000}">
      <formula1>0</formula1>
      <formula2>$P162</formula2>
    </dataValidation>
    <dataValidation type="whole" allowBlank="1" showErrorMessage="1" errorTitle="Invalid Asset Count" error="Value must be between 0 and the Total Asset Numbers above." sqref="Q174" xr:uid="{00000000-0002-0000-0100-000080000000}">
      <formula1>0</formula1>
      <formula2>$P162</formula2>
    </dataValidation>
    <dataValidation type="whole" allowBlank="1" showErrorMessage="1" errorTitle="Invalid Asset Count" error="Value must be between 0 and the Total Asset Numbers above." sqref="Q175" xr:uid="{00000000-0002-0000-0100-000081000000}">
      <formula1>0</formula1>
      <formula2>$P162</formula2>
    </dataValidation>
    <dataValidation type="whole" allowBlank="1" showErrorMessage="1" errorTitle="Invalid Asset Count" error="Value must be between 0 and the Total Asset Numbers above." sqref="Q176" xr:uid="{00000000-0002-0000-0100-000082000000}">
      <formula1>0</formula1>
      <formula2>$P162</formula2>
    </dataValidation>
    <dataValidation type="whole" allowBlank="1" showErrorMessage="1" errorTitle="Invalid Asset Count" error="Value must be between 0 and the Total Asset Numbers above." sqref="Q177" xr:uid="{00000000-0002-0000-0100-000083000000}">
      <formula1>0</formula1>
      <formula2>$P162</formula2>
    </dataValidation>
    <dataValidation type="whole" allowBlank="1" showErrorMessage="1" errorTitle="Invalid Asset Count" error="Value must be between 0 and the Total Asset Numbers above." sqref="Q178" xr:uid="{00000000-0002-0000-0100-000084000000}">
      <formula1>0</formula1>
      <formula2>$P162</formula2>
    </dataValidation>
    <dataValidation type="whole" allowBlank="1" showErrorMessage="1" errorTitle="Invalid Asset Count" error="Value must be between 0 and the Total Asset Numbers above." sqref="Q179" xr:uid="{00000000-0002-0000-0100-000085000000}">
      <formula1>0</formula1>
      <formula2>$P162</formula2>
    </dataValidation>
    <dataValidation type="whole" allowBlank="1" showErrorMessage="1" errorTitle="Invalid Asset Count" error="Value must be between 0 and the Total Asset Numbers above." sqref="Q180" xr:uid="{00000000-0002-0000-0100-000086000000}">
      <formula1>0</formula1>
      <formula2>$P162</formula2>
    </dataValidation>
    <dataValidation type="whole" allowBlank="1" showErrorMessage="1" errorTitle="Invalid Asset Count" error="Value must be between 0 and the Total Asset Numbers above." sqref="Q181" xr:uid="{00000000-0002-0000-0100-000087000000}">
      <formula1>0</formula1>
      <formula2>$P162</formula2>
    </dataValidation>
    <dataValidation type="whole" allowBlank="1" showErrorMessage="1" errorTitle="Invalid Asset Count" error="Value must be between 0 and the Total Asset Numbers above." sqref="Q182" xr:uid="{00000000-0002-0000-0100-000088000000}">
      <formula1>0</formula1>
      <formula2>$P162</formula2>
    </dataValidation>
    <dataValidation type="whole" allowBlank="1" showErrorMessage="1" errorTitle="Invalid Asset Count" error="Value must be between 0 and the Total Asset Numbers above." sqref="Q183" xr:uid="{00000000-0002-0000-0100-000089000000}">
      <formula1>0</formula1>
      <formula2>$P162</formula2>
    </dataValidation>
    <dataValidation type="whole" allowBlank="1" showErrorMessage="1" errorTitle="Invalid Asset Count" error="Value must be between 0 and the Total Asset Numbers above." sqref="Q184" xr:uid="{00000000-0002-0000-0100-00008A000000}">
      <formula1>0</formula1>
      <formula2>$P162</formula2>
    </dataValidation>
    <dataValidation type="whole" allowBlank="1" showErrorMessage="1" errorTitle="Invalid Asset Count" error="Value must be between 0 and the Total Asset Numbers above." sqref="Q185" xr:uid="{00000000-0002-0000-0100-00008B000000}">
      <formula1>0</formula1>
      <formula2>$P162</formula2>
    </dataValidation>
  </dataValidations>
  <hyperlinks>
    <hyperlink ref="B189"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9"/>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35"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15</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15</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15</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15</v>
      </c>
      <c r="D11" s="3" t="s">
        <v>16</v>
      </c>
      <c r="E11" s="3" t="s">
        <v>17</v>
      </c>
      <c r="F11" s="3" t="s">
        <v>18</v>
      </c>
      <c r="G11" s="3" t="s">
        <v>19</v>
      </c>
      <c r="H11" s="4" t="s">
        <v>19</v>
      </c>
      <c r="I11" s="1" t="s">
        <v>65</v>
      </c>
      <c r="J11" s="1" t="s">
        <v>66</v>
      </c>
      <c r="K11" s="1" t="s">
        <v>67</v>
      </c>
      <c r="L11" s="3" t="str">
        <f t="shared" si="0"/>
        <v>Outstanding</v>
      </c>
      <c r="M11" s="11" t="s">
        <v>19</v>
      </c>
    </row>
    <row r="12" spans="1:13" ht="60" customHeight="1" x14ac:dyDescent="0.35">
      <c r="A12" s="9" t="s">
        <v>68</v>
      </c>
      <c r="B12" s="1" t="s">
        <v>69</v>
      </c>
      <c r="C12" s="2" t="s">
        <v>15</v>
      </c>
      <c r="D12" s="3" t="s">
        <v>16</v>
      </c>
      <c r="E12" s="3" t="s">
        <v>17</v>
      </c>
      <c r="F12" s="3" t="s">
        <v>18</v>
      </c>
      <c r="G12" s="3" t="s">
        <v>19</v>
      </c>
      <c r="H12" s="4" t="s">
        <v>19</v>
      </c>
      <c r="I12" s="1" t="s">
        <v>70</v>
      </c>
      <c r="J12" s="1" t="s">
        <v>71</v>
      </c>
      <c r="K12" s="1" t="s">
        <v>72</v>
      </c>
      <c r="L12" s="3" t="str">
        <f t="shared" si="0"/>
        <v>Outstanding</v>
      </c>
      <c r="M12" s="11" t="s">
        <v>19</v>
      </c>
    </row>
    <row r="13" spans="1:13" ht="60" customHeight="1" x14ac:dyDescent="0.35">
      <c r="A13" s="9" t="s">
        <v>73</v>
      </c>
      <c r="B13" s="1" t="s">
        <v>74</v>
      </c>
      <c r="C13" s="2" t="s">
        <v>15</v>
      </c>
      <c r="D13" s="3" t="s">
        <v>16</v>
      </c>
      <c r="E13" s="3" t="s">
        <v>17</v>
      </c>
      <c r="F13" s="3" t="s">
        <v>18</v>
      </c>
      <c r="G13" s="3" t="s">
        <v>19</v>
      </c>
      <c r="H13" s="4" t="s">
        <v>19</v>
      </c>
      <c r="I13" s="1" t="s">
        <v>75</v>
      </c>
      <c r="J13" s="1" t="s">
        <v>76</v>
      </c>
      <c r="K13" s="1" t="s">
        <v>77</v>
      </c>
      <c r="L13" s="3" t="str">
        <f t="shared" si="0"/>
        <v>Outstanding</v>
      </c>
      <c r="M13" s="11" t="s">
        <v>19</v>
      </c>
    </row>
    <row r="14" spans="1:13" ht="60" customHeight="1" x14ac:dyDescent="0.35">
      <c r="A14" s="9" t="s">
        <v>78</v>
      </c>
      <c r="B14" s="1" t="s">
        <v>79</v>
      </c>
      <c r="C14" s="2" t="s">
        <v>15</v>
      </c>
      <c r="D14" s="3" t="s">
        <v>16</v>
      </c>
      <c r="E14" s="3" t="s">
        <v>17</v>
      </c>
      <c r="F14" s="3" t="s">
        <v>18</v>
      </c>
      <c r="G14" s="3" t="s">
        <v>19</v>
      </c>
      <c r="H14" s="4" t="s">
        <v>19</v>
      </c>
      <c r="I14" s="1" t="s">
        <v>80</v>
      </c>
      <c r="J14" s="1" t="s">
        <v>81</v>
      </c>
      <c r="K14" s="1" t="s">
        <v>82</v>
      </c>
      <c r="L14" s="3" t="str">
        <f t="shared" si="0"/>
        <v>Outstanding</v>
      </c>
      <c r="M14" s="11" t="s">
        <v>19</v>
      </c>
    </row>
    <row r="15" spans="1:13" ht="60" customHeight="1" x14ac:dyDescent="0.35">
      <c r="A15" s="9" t="s">
        <v>83</v>
      </c>
      <c r="B15" s="1" t="s">
        <v>84</v>
      </c>
      <c r="C15" s="2" t="s">
        <v>85</v>
      </c>
      <c r="D15" s="3" t="s">
        <v>16</v>
      </c>
      <c r="E15" s="3" t="s">
        <v>17</v>
      </c>
      <c r="F15" s="3" t="s">
        <v>18</v>
      </c>
      <c r="G15" s="3" t="s">
        <v>19</v>
      </c>
      <c r="H15" s="4" t="s">
        <v>19</v>
      </c>
      <c r="I15" s="1" t="s">
        <v>86</v>
      </c>
      <c r="J15" s="1" t="s">
        <v>87</v>
      </c>
      <c r="K15" s="1" t="s">
        <v>88</v>
      </c>
      <c r="L15" s="3" t="str">
        <f t="shared" si="0"/>
        <v>Outstanding</v>
      </c>
      <c r="M15" s="11" t="s">
        <v>19</v>
      </c>
    </row>
    <row r="16" spans="1:13" ht="60" customHeight="1" x14ac:dyDescent="0.35">
      <c r="A16" s="9" t="s">
        <v>89</v>
      </c>
      <c r="B16" s="1" t="s">
        <v>90</v>
      </c>
      <c r="C16" s="2" t="s">
        <v>85</v>
      </c>
      <c r="D16" s="3" t="s">
        <v>16</v>
      </c>
      <c r="E16" s="3" t="s">
        <v>17</v>
      </c>
      <c r="F16" s="3" t="s">
        <v>18</v>
      </c>
      <c r="G16" s="3" t="s">
        <v>19</v>
      </c>
      <c r="H16" s="4" t="s">
        <v>19</v>
      </c>
      <c r="I16" s="1" t="s">
        <v>91</v>
      </c>
      <c r="J16" s="1" t="s">
        <v>92</v>
      </c>
      <c r="K16" s="1" t="s">
        <v>93</v>
      </c>
      <c r="L16" s="3" t="str">
        <f t="shared" si="0"/>
        <v>Outstanding</v>
      </c>
      <c r="M16" s="11" t="s">
        <v>19</v>
      </c>
    </row>
    <row r="17" spans="1:13" ht="60" customHeight="1" x14ac:dyDescent="0.35">
      <c r="A17" s="9" t="s">
        <v>94</v>
      </c>
      <c r="B17" s="1" t="s">
        <v>95</v>
      </c>
      <c r="C17" s="2" t="s">
        <v>85</v>
      </c>
      <c r="D17" s="3" t="s">
        <v>16</v>
      </c>
      <c r="E17" s="3" t="s">
        <v>17</v>
      </c>
      <c r="F17" s="3" t="s">
        <v>18</v>
      </c>
      <c r="G17" s="3" t="s">
        <v>19</v>
      </c>
      <c r="H17" s="4" t="s">
        <v>19</v>
      </c>
      <c r="I17" s="1" t="s">
        <v>96</v>
      </c>
      <c r="J17" s="1" t="s">
        <v>97</v>
      </c>
      <c r="K17" s="1" t="s">
        <v>98</v>
      </c>
      <c r="L17" s="3" t="str">
        <f t="shared" si="0"/>
        <v>Outstanding</v>
      </c>
      <c r="M17" s="11" t="s">
        <v>19</v>
      </c>
    </row>
    <row r="18" spans="1:13" ht="60" customHeight="1" x14ac:dyDescent="0.35">
      <c r="A18" s="9" t="s">
        <v>99</v>
      </c>
      <c r="B18" s="1" t="s">
        <v>100</v>
      </c>
      <c r="C18" s="2" t="s">
        <v>85</v>
      </c>
      <c r="D18" s="3" t="s">
        <v>16</v>
      </c>
      <c r="E18" s="3" t="s">
        <v>17</v>
      </c>
      <c r="F18" s="3" t="s">
        <v>18</v>
      </c>
      <c r="G18" s="3" t="s">
        <v>19</v>
      </c>
      <c r="H18" s="4" t="s">
        <v>19</v>
      </c>
      <c r="I18" s="1" t="s">
        <v>101</v>
      </c>
      <c r="J18" s="1" t="s">
        <v>102</v>
      </c>
      <c r="K18" s="1" t="s">
        <v>103</v>
      </c>
      <c r="L18" s="3" t="str">
        <f t="shared" si="0"/>
        <v>Outstanding</v>
      </c>
      <c r="M18" s="11" t="s">
        <v>19</v>
      </c>
    </row>
    <row r="19" spans="1:13" ht="60" customHeight="1" x14ac:dyDescent="0.35">
      <c r="A19" s="9" t="s">
        <v>104</v>
      </c>
      <c r="B19" s="1" t="s">
        <v>105</v>
      </c>
      <c r="C19" s="2" t="s">
        <v>85</v>
      </c>
      <c r="D19" s="3" t="s">
        <v>16</v>
      </c>
      <c r="E19" s="3" t="s">
        <v>17</v>
      </c>
      <c r="F19" s="3" t="s">
        <v>18</v>
      </c>
      <c r="G19" s="3" t="s">
        <v>19</v>
      </c>
      <c r="H19" s="4" t="s">
        <v>19</v>
      </c>
      <c r="I19" s="1" t="s">
        <v>106</v>
      </c>
      <c r="J19" s="1" t="s">
        <v>107</v>
      </c>
      <c r="K19" s="1" t="s">
        <v>108</v>
      </c>
      <c r="L19" s="3" t="str">
        <f t="shared" si="0"/>
        <v>Outstanding</v>
      </c>
      <c r="M19" s="11" t="s">
        <v>19</v>
      </c>
    </row>
    <row r="20" spans="1:13" ht="60" customHeight="1" x14ac:dyDescent="0.35">
      <c r="A20" s="9" t="s">
        <v>109</v>
      </c>
      <c r="B20" s="1" t="s">
        <v>110</v>
      </c>
      <c r="C20" s="2" t="s">
        <v>85</v>
      </c>
      <c r="D20" s="3" t="s">
        <v>16</v>
      </c>
      <c r="E20" s="3" t="s">
        <v>17</v>
      </c>
      <c r="F20" s="3" t="s">
        <v>18</v>
      </c>
      <c r="G20" s="3" t="s">
        <v>19</v>
      </c>
      <c r="H20" s="4" t="s">
        <v>19</v>
      </c>
      <c r="I20" s="1" t="s">
        <v>111</v>
      </c>
      <c r="J20" s="1" t="s">
        <v>112</v>
      </c>
      <c r="K20" s="1" t="s">
        <v>113</v>
      </c>
      <c r="L20" s="3" t="str">
        <f t="shared" si="0"/>
        <v>Outstanding</v>
      </c>
      <c r="M20" s="11" t="s">
        <v>19</v>
      </c>
    </row>
    <row r="21" spans="1:13" ht="60" customHeight="1" x14ac:dyDescent="0.35">
      <c r="A21" s="9" t="s">
        <v>114</v>
      </c>
      <c r="B21" s="1" t="s">
        <v>115</v>
      </c>
      <c r="C21" s="2" t="s">
        <v>15</v>
      </c>
      <c r="D21" s="3" t="s">
        <v>16</v>
      </c>
      <c r="E21" s="3" t="s">
        <v>17</v>
      </c>
      <c r="F21" s="3" t="s">
        <v>18</v>
      </c>
      <c r="G21" s="3" t="s">
        <v>19</v>
      </c>
      <c r="H21" s="4" t="s">
        <v>19</v>
      </c>
      <c r="I21" s="1" t="s">
        <v>116</v>
      </c>
      <c r="J21" s="1" t="s">
        <v>117</v>
      </c>
      <c r="K21" s="1" t="s">
        <v>118</v>
      </c>
      <c r="L21" s="3" t="str">
        <f t="shared" si="0"/>
        <v>Outstanding</v>
      </c>
      <c r="M21" s="11" t="s">
        <v>19</v>
      </c>
    </row>
    <row r="22" spans="1:13" ht="60" customHeight="1" x14ac:dyDescent="0.35">
      <c r="A22" s="9" t="s">
        <v>119</v>
      </c>
      <c r="B22" s="1" t="s">
        <v>120</v>
      </c>
      <c r="C22" s="2" t="s">
        <v>15</v>
      </c>
      <c r="D22" s="3" t="s">
        <v>16</v>
      </c>
      <c r="E22" s="3" t="s">
        <v>17</v>
      </c>
      <c r="F22" s="3" t="s">
        <v>18</v>
      </c>
      <c r="G22" s="3" t="s">
        <v>19</v>
      </c>
      <c r="H22" s="4" t="s">
        <v>19</v>
      </c>
      <c r="I22" s="1" t="s">
        <v>121</v>
      </c>
      <c r="J22" s="1" t="s">
        <v>122</v>
      </c>
      <c r="K22" s="1" t="s">
        <v>123</v>
      </c>
      <c r="L22" s="3" t="str">
        <f t="shared" si="0"/>
        <v>Outstanding</v>
      </c>
      <c r="M22" s="11" t="s">
        <v>19</v>
      </c>
    </row>
    <row r="23" spans="1:13" ht="60" customHeight="1" x14ac:dyDescent="0.35">
      <c r="A23" s="9" t="s">
        <v>124</v>
      </c>
      <c r="B23" s="1" t="s">
        <v>125</v>
      </c>
      <c r="C23" s="2" t="s">
        <v>15</v>
      </c>
      <c r="D23" s="3" t="s">
        <v>16</v>
      </c>
      <c r="E23" s="3" t="s">
        <v>17</v>
      </c>
      <c r="F23" s="3" t="s">
        <v>18</v>
      </c>
      <c r="G23" s="3" t="s">
        <v>19</v>
      </c>
      <c r="H23" s="4" t="s">
        <v>19</v>
      </c>
      <c r="I23" s="1" t="s">
        <v>126</v>
      </c>
      <c r="J23" s="1" t="s">
        <v>127</v>
      </c>
      <c r="K23" s="1" t="s">
        <v>128</v>
      </c>
      <c r="L23" s="3" t="str">
        <f t="shared" si="0"/>
        <v>Outstanding</v>
      </c>
      <c r="M23" s="11" t="s">
        <v>19</v>
      </c>
    </row>
    <row r="24" spans="1:13" ht="60" customHeight="1" x14ac:dyDescent="0.35">
      <c r="A24" s="9" t="s">
        <v>129</v>
      </c>
      <c r="B24" s="1" t="s">
        <v>130</v>
      </c>
      <c r="C24" s="2" t="s">
        <v>15</v>
      </c>
      <c r="D24" s="3" t="s">
        <v>16</v>
      </c>
      <c r="E24" s="3" t="s">
        <v>17</v>
      </c>
      <c r="F24" s="3" t="s">
        <v>18</v>
      </c>
      <c r="G24" s="3" t="s">
        <v>19</v>
      </c>
      <c r="H24" s="4" t="s">
        <v>19</v>
      </c>
      <c r="I24" s="1" t="s">
        <v>131</v>
      </c>
      <c r="J24" s="1" t="s">
        <v>132</v>
      </c>
      <c r="K24" s="1" t="s">
        <v>133</v>
      </c>
      <c r="L24" s="3" t="str">
        <f t="shared" si="0"/>
        <v>Outstanding</v>
      </c>
      <c r="M24" s="11" t="s">
        <v>19</v>
      </c>
    </row>
    <row r="25" spans="1:13" ht="60" customHeight="1" x14ac:dyDescent="0.35">
      <c r="A25" s="9" t="s">
        <v>134</v>
      </c>
      <c r="B25" s="1" t="s">
        <v>135</v>
      </c>
      <c r="C25" s="2" t="s">
        <v>15</v>
      </c>
      <c r="D25" s="3" t="s">
        <v>16</v>
      </c>
      <c r="E25" s="3" t="s">
        <v>17</v>
      </c>
      <c r="F25" s="3" t="s">
        <v>18</v>
      </c>
      <c r="G25" s="3" t="s">
        <v>19</v>
      </c>
      <c r="H25" s="4" t="s">
        <v>19</v>
      </c>
      <c r="I25" s="1" t="s">
        <v>136</v>
      </c>
      <c r="J25" s="1" t="s">
        <v>137</v>
      </c>
      <c r="K25" s="1" t="s">
        <v>138</v>
      </c>
      <c r="L25" s="3" t="str">
        <f t="shared" si="0"/>
        <v>Outstanding</v>
      </c>
      <c r="M25" s="11" t="s">
        <v>19</v>
      </c>
    </row>
    <row r="26" spans="1:13" ht="60" customHeight="1" x14ac:dyDescent="0.35">
      <c r="A26" s="9" t="s">
        <v>139</v>
      </c>
      <c r="B26" s="1" t="s">
        <v>140</v>
      </c>
      <c r="C26" s="2" t="s">
        <v>15</v>
      </c>
      <c r="D26" s="3" t="s">
        <v>16</v>
      </c>
      <c r="E26" s="3" t="s">
        <v>17</v>
      </c>
      <c r="F26" s="3" t="s">
        <v>18</v>
      </c>
      <c r="G26" s="3" t="s">
        <v>19</v>
      </c>
      <c r="H26" s="4" t="s">
        <v>19</v>
      </c>
      <c r="I26" s="1" t="s">
        <v>141</v>
      </c>
      <c r="J26" s="1" t="s">
        <v>142</v>
      </c>
      <c r="K26" s="1" t="s">
        <v>143</v>
      </c>
      <c r="L26" s="3" t="str">
        <f t="shared" si="0"/>
        <v>Outstanding</v>
      </c>
      <c r="M26" s="11" t="s">
        <v>19</v>
      </c>
    </row>
    <row r="27" spans="1:13" ht="60" customHeight="1" x14ac:dyDescent="0.35">
      <c r="A27" s="9" t="s">
        <v>144</v>
      </c>
      <c r="B27" s="1" t="s">
        <v>145</v>
      </c>
      <c r="C27" s="2" t="s">
        <v>15</v>
      </c>
      <c r="D27" s="3" t="s">
        <v>16</v>
      </c>
      <c r="E27" s="3" t="s">
        <v>17</v>
      </c>
      <c r="F27" s="3" t="s">
        <v>18</v>
      </c>
      <c r="G27" s="3" t="s">
        <v>19</v>
      </c>
      <c r="H27" s="4" t="s">
        <v>19</v>
      </c>
      <c r="I27" s="1" t="s">
        <v>146</v>
      </c>
      <c r="J27" s="1" t="s">
        <v>147</v>
      </c>
      <c r="K27" s="1" t="s">
        <v>148</v>
      </c>
      <c r="L27" s="3" t="str">
        <f t="shared" si="0"/>
        <v>Outstanding</v>
      </c>
      <c r="M27" s="11" t="s">
        <v>19</v>
      </c>
    </row>
    <row r="28" spans="1:13" ht="60" customHeight="1" x14ac:dyDescent="0.35">
      <c r="A28" s="9" t="s">
        <v>149</v>
      </c>
      <c r="B28" s="1" t="s">
        <v>150</v>
      </c>
      <c r="C28" s="2" t="s">
        <v>15</v>
      </c>
      <c r="D28" s="3" t="s">
        <v>16</v>
      </c>
      <c r="E28" s="3" t="s">
        <v>17</v>
      </c>
      <c r="F28" s="3" t="s">
        <v>18</v>
      </c>
      <c r="G28" s="3" t="s">
        <v>19</v>
      </c>
      <c r="H28" s="4" t="s">
        <v>19</v>
      </c>
      <c r="I28" s="1" t="s">
        <v>151</v>
      </c>
      <c r="J28" s="1" t="s">
        <v>152</v>
      </c>
      <c r="K28" s="1" t="s">
        <v>153</v>
      </c>
      <c r="L28" s="3" t="str">
        <f t="shared" si="0"/>
        <v>Outstanding</v>
      </c>
      <c r="M28" s="11" t="s">
        <v>19</v>
      </c>
    </row>
    <row r="29" spans="1:13" ht="60" customHeight="1" x14ac:dyDescent="0.35">
      <c r="A29" s="9" t="s">
        <v>154</v>
      </c>
      <c r="B29" s="1" t="s">
        <v>155</v>
      </c>
      <c r="C29" s="2" t="s">
        <v>15</v>
      </c>
      <c r="D29" s="3" t="s">
        <v>16</v>
      </c>
      <c r="E29" s="3" t="s">
        <v>17</v>
      </c>
      <c r="F29" s="3" t="s">
        <v>18</v>
      </c>
      <c r="G29" s="3" t="s">
        <v>19</v>
      </c>
      <c r="H29" s="4" t="s">
        <v>19</v>
      </c>
      <c r="I29" s="1" t="s">
        <v>156</v>
      </c>
      <c r="J29" s="1" t="s">
        <v>157</v>
      </c>
      <c r="K29" s="1" t="s">
        <v>158</v>
      </c>
      <c r="L29" s="3" t="str">
        <f t="shared" si="0"/>
        <v>Outstanding</v>
      </c>
      <c r="M29" s="11" t="s">
        <v>19</v>
      </c>
    </row>
    <row r="30" spans="1:13" ht="60" customHeight="1" x14ac:dyDescent="0.35">
      <c r="A30" s="9" t="s">
        <v>159</v>
      </c>
      <c r="B30" s="1" t="s">
        <v>160</v>
      </c>
      <c r="C30" s="2" t="s">
        <v>15</v>
      </c>
      <c r="D30" s="3" t="s">
        <v>16</v>
      </c>
      <c r="E30" s="3" t="s">
        <v>17</v>
      </c>
      <c r="F30" s="3" t="s">
        <v>18</v>
      </c>
      <c r="G30" s="3" t="s">
        <v>19</v>
      </c>
      <c r="H30" s="4" t="s">
        <v>19</v>
      </c>
      <c r="I30" s="1" t="s">
        <v>161</v>
      </c>
      <c r="J30" s="1" t="s">
        <v>162</v>
      </c>
      <c r="K30" s="1" t="s">
        <v>163</v>
      </c>
      <c r="L30" s="3" t="str">
        <f t="shared" si="0"/>
        <v>Outstanding</v>
      </c>
      <c r="M30" s="11" t="s">
        <v>19</v>
      </c>
    </row>
    <row r="31" spans="1:13" ht="60" customHeight="1" x14ac:dyDescent="0.35">
      <c r="A31" s="9" t="s">
        <v>164</v>
      </c>
      <c r="B31" s="1" t="s">
        <v>165</v>
      </c>
      <c r="C31" s="2" t="s">
        <v>15</v>
      </c>
      <c r="D31" s="3" t="s">
        <v>16</v>
      </c>
      <c r="E31" s="3" t="s">
        <v>17</v>
      </c>
      <c r="F31" s="3" t="s">
        <v>18</v>
      </c>
      <c r="G31" s="3" t="s">
        <v>19</v>
      </c>
      <c r="H31" s="4" t="s">
        <v>19</v>
      </c>
      <c r="I31" s="1" t="s">
        <v>166</v>
      </c>
      <c r="J31" s="1" t="s">
        <v>167</v>
      </c>
      <c r="K31" s="1" t="s">
        <v>168</v>
      </c>
      <c r="L31" s="3" t="str">
        <f t="shared" si="0"/>
        <v>Outstanding</v>
      </c>
      <c r="M31" s="11" t="s">
        <v>19</v>
      </c>
    </row>
    <row r="32" spans="1:13" ht="60" customHeight="1" x14ac:dyDescent="0.35">
      <c r="A32" s="9" t="s">
        <v>169</v>
      </c>
      <c r="B32" s="1" t="s">
        <v>170</v>
      </c>
      <c r="C32" s="2" t="s">
        <v>15</v>
      </c>
      <c r="D32" s="3" t="s">
        <v>16</v>
      </c>
      <c r="E32" s="3" t="s">
        <v>17</v>
      </c>
      <c r="F32" s="3" t="s">
        <v>18</v>
      </c>
      <c r="G32" s="3" t="s">
        <v>19</v>
      </c>
      <c r="H32" s="4" t="s">
        <v>19</v>
      </c>
      <c r="I32" s="1" t="s">
        <v>171</v>
      </c>
      <c r="J32" s="1" t="s">
        <v>172</v>
      </c>
      <c r="K32" s="1" t="s">
        <v>173</v>
      </c>
      <c r="L32" s="3" t="str">
        <f t="shared" si="0"/>
        <v>Outstanding</v>
      </c>
      <c r="M32" s="11" t="s">
        <v>19</v>
      </c>
    </row>
    <row r="33" spans="1:13" ht="60" customHeight="1" x14ac:dyDescent="0.35">
      <c r="A33" s="9" t="s">
        <v>174</v>
      </c>
      <c r="B33" s="1" t="s">
        <v>175</v>
      </c>
      <c r="C33" s="2" t="s">
        <v>15</v>
      </c>
      <c r="D33" s="3" t="s">
        <v>16</v>
      </c>
      <c r="E33" s="3" t="s">
        <v>17</v>
      </c>
      <c r="F33" s="3" t="s">
        <v>18</v>
      </c>
      <c r="G33" s="3" t="s">
        <v>19</v>
      </c>
      <c r="H33" s="4" t="s">
        <v>19</v>
      </c>
      <c r="I33" s="1" t="s">
        <v>176</v>
      </c>
      <c r="J33" s="1" t="s">
        <v>177</v>
      </c>
      <c r="K33" s="1" t="s">
        <v>178</v>
      </c>
      <c r="L33" s="3" t="str">
        <f t="shared" si="0"/>
        <v>Outstanding</v>
      </c>
      <c r="M33" s="11" t="s">
        <v>19</v>
      </c>
    </row>
    <row r="34" spans="1:13" ht="60" customHeight="1" x14ac:dyDescent="0.35">
      <c r="A34" s="9" t="s">
        <v>179</v>
      </c>
      <c r="B34" s="1" t="s">
        <v>180</v>
      </c>
      <c r="C34" s="2" t="s">
        <v>15</v>
      </c>
      <c r="D34" s="3" t="s">
        <v>16</v>
      </c>
      <c r="E34" s="3" t="s">
        <v>17</v>
      </c>
      <c r="F34" s="3" t="s">
        <v>18</v>
      </c>
      <c r="G34" s="3" t="s">
        <v>19</v>
      </c>
      <c r="H34" s="4" t="s">
        <v>19</v>
      </c>
      <c r="I34" s="1" t="s">
        <v>181</v>
      </c>
      <c r="J34" s="1" t="s">
        <v>182</v>
      </c>
      <c r="K34" s="1" t="s">
        <v>183</v>
      </c>
      <c r="L34" s="3" t="str">
        <f t="shared" si="0"/>
        <v>Outstanding</v>
      </c>
      <c r="M34" s="11" t="s">
        <v>19</v>
      </c>
    </row>
    <row r="35" spans="1:13" ht="60" customHeight="1" x14ac:dyDescent="0.35">
      <c r="A35" s="10" t="s">
        <v>184</v>
      </c>
      <c r="B35" s="5" t="s">
        <v>185</v>
      </c>
      <c r="C35" s="6" t="s">
        <v>15</v>
      </c>
      <c r="D35" s="7" t="s">
        <v>16</v>
      </c>
      <c r="E35" s="7" t="s">
        <v>17</v>
      </c>
      <c r="F35" s="7" t="s">
        <v>18</v>
      </c>
      <c r="G35" s="7" t="s">
        <v>19</v>
      </c>
      <c r="H35" s="8" t="s">
        <v>19</v>
      </c>
      <c r="I35" s="5" t="s">
        <v>186</v>
      </c>
      <c r="J35" s="5" t="s">
        <v>187</v>
      </c>
      <c r="K35" s="5" t="s">
        <v>188</v>
      </c>
      <c r="L35" s="7" t="str">
        <f t="shared" si="0"/>
        <v>Outstanding</v>
      </c>
      <c r="M35" s="12" t="s">
        <v>19</v>
      </c>
    </row>
    <row r="39" spans="1:13" ht="32" customHeight="1" x14ac:dyDescent="0.35">
      <c r="A39" s="78" t="s">
        <v>189</v>
      </c>
      <c r="B39" s="78"/>
      <c r="C39" s="78"/>
      <c r="D39" s="78"/>
    </row>
  </sheetData>
  <mergeCells count="1">
    <mergeCell ref="A39:D39"/>
  </mergeCells>
  <conditionalFormatting sqref="C2:C35">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35">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35">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35">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35" xr:uid="{00000000-0002-0000-0200-000000000000}">
      <formula1>"Must,Should,Could,Won't,Unassigned"</formula1>
    </dataValidation>
    <dataValidation type="list" showErrorMessage="1" errorTitle="Invalid Value" error="Please select a value from the list: Low, Medium, High, Unassessed." sqref="E2:E35" xr:uid="{00000000-0002-0000-0200-000001000000}">
      <formula1>"Low,Medium,High,Unassessed"</formula1>
    </dataValidation>
    <dataValidation type="list" showErrorMessage="1" errorTitle="Invalid Value" error="Please select a value from the list: Phase1, Phase2, Phase3, Phase4, Phase5, Pending." sqref="F2:F35"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35" xr:uid="{00000000-0002-0000-0200-000003000000}">
      <formula1>"Implemented,Testing,Failed,Compensated,Risk Accepted,N/A"</formula1>
    </dataValidation>
  </dataValidations>
  <hyperlinks>
    <hyperlink ref="A39"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314</v>
      </c>
      <c r="C2" s="95" t="s">
        <v>314</v>
      </c>
      <c r="D2" s="95" t="s">
        <v>314</v>
      </c>
      <c r="E2" s="95" t="s">
        <v>314</v>
      </c>
      <c r="F2" s="95" t="s">
        <v>314</v>
      </c>
      <c r="G2" s="95" t="s">
        <v>314</v>
      </c>
      <c r="H2" s="99" t="s">
        <v>315</v>
      </c>
      <c r="I2" s="99" t="s">
        <v>315</v>
      </c>
      <c r="J2" s="99" t="s">
        <v>315</v>
      </c>
      <c r="K2" s="99" t="s">
        <v>315</v>
      </c>
      <c r="L2" s="99" t="s">
        <v>315</v>
      </c>
      <c r="M2" s="98" t="s">
        <v>316</v>
      </c>
      <c r="N2" s="98" t="s">
        <v>316</v>
      </c>
      <c r="O2" s="100" t="s">
        <v>317</v>
      </c>
      <c r="P2" s="100" t="s">
        <v>317</v>
      </c>
      <c r="Q2" s="96" t="s">
        <v>11</v>
      </c>
      <c r="R2" s="96" t="s">
        <v>11</v>
      </c>
      <c r="S2" s="96" t="s">
        <v>11</v>
      </c>
      <c r="T2" s="97" t="s">
        <v>318</v>
      </c>
    </row>
    <row r="3" spans="2:20" ht="35" customHeight="1" x14ac:dyDescent="0.35">
      <c r="B3" s="68" t="s">
        <v>319</v>
      </c>
      <c r="C3" s="68" t="s">
        <v>320</v>
      </c>
      <c r="D3" s="68" t="s">
        <v>321</v>
      </c>
      <c r="E3" s="68" t="s">
        <v>322</v>
      </c>
      <c r="F3" s="68" t="s">
        <v>323</v>
      </c>
      <c r="G3" s="68" t="s">
        <v>9</v>
      </c>
      <c r="H3" s="69" t="s">
        <v>324</v>
      </c>
      <c r="I3" s="69" t="s">
        <v>325</v>
      </c>
      <c r="J3" s="69" t="s">
        <v>326</v>
      </c>
      <c r="K3" s="69" t="s">
        <v>327</v>
      </c>
      <c r="L3" s="69" t="s">
        <v>259</v>
      </c>
      <c r="M3" s="70" t="s">
        <v>328</v>
      </c>
      <c r="N3" s="70" t="s">
        <v>329</v>
      </c>
      <c r="O3" s="71" t="s">
        <v>330</v>
      </c>
      <c r="P3" s="71" t="s">
        <v>331</v>
      </c>
      <c r="Q3" s="72" t="s">
        <v>11</v>
      </c>
      <c r="R3" s="72" t="s">
        <v>332</v>
      </c>
      <c r="S3" s="72" t="s">
        <v>333</v>
      </c>
      <c r="T3" s="73" t="s">
        <v>334</v>
      </c>
    </row>
    <row r="4" spans="2:20" ht="60" customHeight="1" x14ac:dyDescent="0.35">
      <c r="B4" s="74" t="s">
        <v>335</v>
      </c>
      <c r="C4" s="74" t="s">
        <v>336</v>
      </c>
      <c r="D4" s="74" t="s">
        <v>337</v>
      </c>
      <c r="E4" s="74" t="s">
        <v>338</v>
      </c>
      <c r="F4" s="74" t="s">
        <v>339</v>
      </c>
      <c r="G4" s="74" t="s">
        <v>340</v>
      </c>
      <c r="H4" s="74" t="s">
        <v>341</v>
      </c>
      <c r="I4" s="74" t="s">
        <v>342</v>
      </c>
      <c r="J4" s="74" t="s">
        <v>343</v>
      </c>
      <c r="K4" s="74" t="s">
        <v>344</v>
      </c>
      <c r="L4" s="74" t="s">
        <v>345</v>
      </c>
      <c r="M4" s="74" t="s">
        <v>346</v>
      </c>
      <c r="N4" s="74" t="s">
        <v>347</v>
      </c>
      <c r="O4" s="74" t="s">
        <v>348</v>
      </c>
      <c r="P4" s="74" t="s">
        <v>349</v>
      </c>
      <c r="Q4" s="74" t="s">
        <v>350</v>
      </c>
      <c r="R4" s="74" t="s">
        <v>351</v>
      </c>
      <c r="S4" s="74" t="s">
        <v>352</v>
      </c>
      <c r="T4" s="74" t="s">
        <v>353</v>
      </c>
    </row>
    <row r="5" spans="2:20" ht="60" customHeight="1" x14ac:dyDescent="0.35">
      <c r="B5" s="36" t="s">
        <v>354</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355</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356</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357</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358</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359</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360</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361</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362</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363</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364</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365</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366</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367</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368</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369</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370</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371</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372</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373</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374</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375</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376</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377</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378</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379</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380</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381</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382</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383</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384</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385</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386</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387</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388</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389</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390</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391</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392</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393</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394</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395</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396</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397</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398</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399</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400</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401</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402</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403</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189</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SDN Controller Security Requirements Guide - SHGIR</dc:title>
  <dc:subject>Generated on: 2026-06-08 12:47:54</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2026-06-08T11:47:59Z</dcterms:modified>
  <cp:category>DISA-STIG</cp:category>
  <cp:contentStatus>Draft</cp:contentStatus>
</cp:coreProperties>
</file>