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C9C330ABEABCAE62E5711BC8F0CBF8AB45083950" xr6:coauthVersionLast="47" xr6:coauthVersionMax="47" xr10:uidLastSave="{89C9BE0B-C3D2-4740-8F2D-AF3FB1CBECFF}"/>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E73" i="3" s="1"/>
  <c r="L6" i="1"/>
  <c r="L5" i="1"/>
  <c r="L4" i="1"/>
  <c r="L3" i="1"/>
  <c r="L2" i="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F112" i="3"/>
  <c r="E112" i="3"/>
  <c r="G112" i="3" s="1"/>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D93" i="3"/>
  <c r="C93" i="3"/>
  <c r="E92" i="3"/>
  <c r="D92" i="3"/>
  <c r="C92" i="3"/>
  <c r="F92" i="3" s="1"/>
  <c r="E91" i="3"/>
  <c r="D91" i="3"/>
  <c r="C91" i="3"/>
  <c r="F91" i="3" s="1"/>
  <c r="E90" i="3"/>
  <c r="D90" i="3"/>
  <c r="C90" i="3"/>
  <c r="F90" i="3" s="1"/>
  <c r="C73" i="3"/>
  <c r="E72" i="3"/>
  <c r="F72" i="3" s="1"/>
  <c r="D72" i="3"/>
  <c r="C72" i="3"/>
  <c r="E71" i="3"/>
  <c r="D71" i="3"/>
  <c r="C71" i="3"/>
  <c r="W123" i="3" s="1"/>
  <c r="E70" i="3"/>
  <c r="D70" i="3"/>
  <c r="C70" i="3"/>
  <c r="F70" i="3" s="1"/>
  <c r="F69" i="3"/>
  <c r="E77" i="3" s="1"/>
  <c r="E69" i="3"/>
  <c r="D69" i="3"/>
  <c r="C69" i="3"/>
  <c r="S123" i="3" s="1"/>
  <c r="E54" i="3"/>
  <c r="D54" i="3"/>
  <c r="C54" i="3"/>
  <c r="F54" i="3" s="1"/>
  <c r="E53" i="3"/>
  <c r="D53" i="3"/>
  <c r="C53" i="3"/>
  <c r="F53" i="3" s="1"/>
  <c r="E52" i="3"/>
  <c r="D52" i="3"/>
  <c r="C52" i="3"/>
  <c r="F52" i="3" s="1"/>
  <c r="E34" i="3"/>
  <c r="E33" i="3"/>
  <c r="D33" i="3"/>
  <c r="C33" i="3"/>
  <c r="F33" i="3" s="1"/>
  <c r="E32" i="3"/>
  <c r="D32" i="3"/>
  <c r="C32" i="3"/>
  <c r="F32" i="3" s="1"/>
  <c r="E31" i="3"/>
  <c r="D31" i="3"/>
  <c r="C31" i="3"/>
  <c r="F31" i="3" s="1"/>
  <c r="E30" i="3"/>
  <c r="D30" i="3"/>
  <c r="C30" i="3"/>
  <c r="F30" i="3" s="1"/>
  <c r="E29" i="3"/>
  <c r="F29" i="3" s="1"/>
  <c r="D29" i="3"/>
  <c r="C29" i="3"/>
  <c r="E16" i="3"/>
  <c r="D16" i="3"/>
  <c r="C16" i="3"/>
  <c r="F16" i="3" s="1"/>
  <c r="C9" i="3"/>
  <c r="D9" i="3" s="1"/>
  <c r="C8" i="3"/>
  <c r="D8" i="3" s="1"/>
  <c r="C7" i="3"/>
  <c r="D7" i="3" s="1"/>
  <c r="D59" i="3" l="1"/>
  <c r="E59" i="3"/>
  <c r="C59" i="3"/>
  <c r="D98" i="3"/>
  <c r="E98" i="3"/>
  <c r="C98" i="3"/>
  <c r="E99" i="3"/>
  <c r="D99" i="3"/>
  <c r="C99" i="3"/>
  <c r="E42" i="3"/>
  <c r="D42" i="3"/>
  <c r="C42" i="3"/>
  <c r="D38" i="3"/>
  <c r="C38" i="3"/>
  <c r="E38" i="3"/>
  <c r="D39" i="3"/>
  <c r="E39" i="3"/>
  <c r="C39" i="3"/>
  <c r="C40" i="3"/>
  <c r="E40" i="3"/>
  <c r="D40" i="3"/>
  <c r="R152" i="3"/>
  <c r="R147" i="3"/>
  <c r="R142" i="3"/>
  <c r="R137" i="3"/>
  <c r="R132" i="3"/>
  <c r="R127" i="3"/>
  <c r="R151" i="3"/>
  <c r="R146" i="3"/>
  <c r="R141" i="3"/>
  <c r="R136" i="3"/>
  <c r="R131" i="3"/>
  <c r="R126" i="3"/>
  <c r="E20" i="3"/>
  <c r="R155" i="3"/>
  <c r="R150" i="3"/>
  <c r="R145" i="3"/>
  <c r="R140" i="3"/>
  <c r="R135" i="3"/>
  <c r="R130" i="3"/>
  <c r="R125" i="3"/>
  <c r="D20" i="3"/>
  <c r="C20" i="3"/>
  <c r="R154" i="3"/>
  <c r="R149" i="3"/>
  <c r="R144" i="3"/>
  <c r="R139" i="3"/>
  <c r="R134" i="3"/>
  <c r="R129" i="3"/>
  <c r="R153" i="3"/>
  <c r="R148" i="3"/>
  <c r="R143" i="3"/>
  <c r="R138" i="3"/>
  <c r="R133" i="3"/>
  <c r="R128" i="3"/>
  <c r="E80" i="3"/>
  <c r="D80" i="3"/>
  <c r="C80" i="3"/>
  <c r="E41" i="3"/>
  <c r="C41" i="3"/>
  <c r="D41" i="3"/>
  <c r="E97" i="3"/>
  <c r="D97" i="3"/>
  <c r="C97" i="3"/>
  <c r="E60" i="3"/>
  <c r="D60" i="3"/>
  <c r="C60" i="3"/>
  <c r="V151" i="3"/>
  <c r="V146" i="3"/>
  <c r="V141" i="3"/>
  <c r="V136" i="3"/>
  <c r="V131" i="3"/>
  <c r="V126" i="3"/>
  <c r="V155" i="3"/>
  <c r="V150" i="3"/>
  <c r="V145" i="3"/>
  <c r="V140" i="3"/>
  <c r="V135" i="3"/>
  <c r="V130" i="3"/>
  <c r="V125" i="3"/>
  <c r="V154" i="3"/>
  <c r="V149" i="3"/>
  <c r="V144" i="3"/>
  <c r="V139" i="3"/>
  <c r="V134" i="3"/>
  <c r="V129" i="3"/>
  <c r="C78" i="3"/>
  <c r="V153" i="3"/>
  <c r="V148" i="3"/>
  <c r="V143" i="3"/>
  <c r="V138" i="3"/>
  <c r="V133" i="3"/>
  <c r="V128" i="3"/>
  <c r="D78" i="3"/>
  <c r="V152" i="3"/>
  <c r="V147" i="3"/>
  <c r="V142" i="3"/>
  <c r="V137" i="3"/>
  <c r="V132" i="3"/>
  <c r="V127" i="3"/>
  <c r="E78" i="3"/>
  <c r="E58" i="3"/>
  <c r="D58" i="3"/>
  <c r="C58" i="3"/>
  <c r="T127" i="3"/>
  <c r="T132" i="3"/>
  <c r="T137" i="3"/>
  <c r="T142" i="3"/>
  <c r="T147" i="3"/>
  <c r="T152" i="3"/>
  <c r="T128" i="3"/>
  <c r="T133" i="3"/>
  <c r="T138" i="3"/>
  <c r="T143" i="3"/>
  <c r="T148" i="3"/>
  <c r="T153" i="3"/>
  <c r="E93" i="3"/>
  <c r="F93" i="3" s="1"/>
  <c r="F71" i="3"/>
  <c r="Q123" i="3"/>
  <c r="T129" i="3"/>
  <c r="T134" i="3"/>
  <c r="T139" i="3"/>
  <c r="T144" i="3"/>
  <c r="T149" i="3"/>
  <c r="T154" i="3"/>
  <c r="U123" i="3"/>
  <c r="T125" i="3"/>
  <c r="T130" i="3"/>
  <c r="T135" i="3"/>
  <c r="T140" i="3"/>
  <c r="T145" i="3"/>
  <c r="T150" i="3"/>
  <c r="T155" i="3"/>
  <c r="C34" i="3"/>
  <c r="F34" i="3" s="1"/>
  <c r="D73" i="3"/>
  <c r="F73" i="3" s="1"/>
  <c r="D34" i="3"/>
  <c r="C77" i="3"/>
  <c r="T126" i="3"/>
  <c r="T131" i="3"/>
  <c r="T136" i="3"/>
  <c r="T141" i="3"/>
  <c r="T146" i="3"/>
  <c r="T151" i="3"/>
  <c r="D77" i="3"/>
  <c r="E100" i="3" l="1"/>
  <c r="D100" i="3"/>
  <c r="C100" i="3"/>
  <c r="E81" i="3"/>
  <c r="D81" i="3"/>
  <c r="C81" i="3"/>
  <c r="E43" i="3"/>
  <c r="D43" i="3"/>
  <c r="C43" i="3"/>
  <c r="X151" i="3"/>
  <c r="X146" i="3"/>
  <c r="X141" i="3"/>
  <c r="X136" i="3"/>
  <c r="X131" i="3"/>
  <c r="X126" i="3"/>
  <c r="X155" i="3"/>
  <c r="X150" i="3"/>
  <c r="X145" i="3"/>
  <c r="X140" i="3"/>
  <c r="X135" i="3"/>
  <c r="X130" i="3"/>
  <c r="X125" i="3"/>
  <c r="D79" i="3"/>
  <c r="X154" i="3"/>
  <c r="X149" i="3"/>
  <c r="X144" i="3"/>
  <c r="X139" i="3"/>
  <c r="X134" i="3"/>
  <c r="X129" i="3"/>
  <c r="E79" i="3"/>
  <c r="X153" i="3"/>
  <c r="X148" i="3"/>
  <c r="X143" i="3"/>
  <c r="X138" i="3"/>
  <c r="X133" i="3"/>
  <c r="X128" i="3"/>
  <c r="X152" i="3"/>
  <c r="X147" i="3"/>
  <c r="X142" i="3"/>
  <c r="X137" i="3"/>
  <c r="X132" i="3"/>
  <c r="X127" i="3"/>
  <c r="C79" i="3"/>
</calcChain>
</file>

<file path=xl/sharedStrings.xml><?xml version="1.0" encoding="utf-8"?>
<sst xmlns="http://schemas.openxmlformats.org/spreadsheetml/2006/main" count="915" uniqueCount="408">
  <si>
    <t>Id</t>
  </si>
  <si>
    <t>Title</t>
  </si>
  <si>
    <t>Severity</t>
  </si>
  <si>
    <t>MoSCoW</t>
  </si>
  <si>
    <t>OpsImpact</t>
  </si>
  <si>
    <t>Phase</t>
  </si>
  <si>
    <t>ImplStatus</t>
  </si>
  <si>
    <t>Notes</t>
  </si>
  <si>
    <t>Remediation</t>
  </si>
  <si>
    <t>Description</t>
  </si>
  <si>
    <t>Audit</t>
  </si>
  <si>
    <t>Status</t>
  </si>
  <si>
    <t>LogID</t>
  </si>
  <si>
    <t>V-206674</t>
  </si>
  <si>
    <r>
      <rPr>
        <sz val="11"/>
        <rFont val="Calibri"/>
      </rPr>
      <t>The firewall must be configured to use filters that use packet headers and packet attributes, including source and destination IP addresses and ports, to prevent the flow of unauthorized or suspicious traffic between interconnected networks with different security policies (including perimeter firewalls and server VLANs).</t>
    </r>
  </si>
  <si>
    <t>CAT I (High)</t>
  </si>
  <si>
    <t>Unassigned</t>
  </si>
  <si>
    <t>Unassessed</t>
  </si>
  <si>
    <t>Pending</t>
  </si>
  <si>
    <t/>
  </si>
  <si>
    <r>
      <rPr>
        <sz val="11"/>
        <color rgb="FF000000"/>
        <rFont val="Calibri"/>
      </rPr>
      <t>Configure filters in the firewall to examine characteristics of incoming and outgoing packets, including but not limited to the following:</t>
    </r>
    <r>
      <rPr>
        <sz val="11"/>
        <color rgb="FF000000"/>
        <rFont val="Calibri"/>
      </rPr>
      <t xml:space="preserve">
</t>
    </r>
    <r>
      <rPr>
        <sz val="11"/>
        <color rgb="FF000000"/>
        <rFont val="Calibri"/>
      </rPr>
      <t>- Bit fields in the packet header, including IP fragmentation flags, IP options, and TCP flags.</t>
    </r>
    <r>
      <rPr>
        <sz val="11"/>
        <color rgb="FF000000"/>
        <rFont val="Calibri"/>
      </rPr>
      <t xml:space="preserve">
</t>
    </r>
    <r>
      <rPr>
        <sz val="11"/>
        <color rgb="FF000000"/>
        <rFont val="Calibri"/>
      </rPr>
      <t>- IPv4 numeric range, including destination port, DiffServ code point (DSCP) value, fragment offset, Internet Control Message Protocol (ICMP) code, ICMP packet type, interface group, IP precedence, packet length, protocol, and TCP and UDP source and destination port.</t>
    </r>
    <r>
      <rPr>
        <sz val="11"/>
        <color rgb="FF000000"/>
        <rFont val="Calibri"/>
      </rPr>
      <t xml:space="preserve">
</t>
    </r>
    <r>
      <rPr>
        <sz val="11"/>
        <color rgb="FF000000"/>
        <rFont val="Calibri"/>
      </rPr>
      <t>- IPv6 numeric range, including class of service (CoS) priority, destination address, destination port, ICMP code, ICMP packet type, interface group, IP address, next header, packet length, source address, source port, and TCP and UDP source and destination port.</t>
    </r>
    <r>
      <rPr>
        <sz val="11"/>
        <color rgb="FF000000"/>
        <rFont val="Calibri"/>
      </rPr>
      <t xml:space="preserve">
</t>
    </r>
    <r>
      <rPr>
        <sz val="11"/>
        <color rgb="FF000000"/>
        <rFont val="Calibri"/>
      </rPr>
      <t>- Source and destination address and prefix list.</t>
    </r>
  </si>
  <si>
    <r>
      <rPr>
        <sz val="11"/>
        <color rgb="FF000000"/>
        <rFont val="Calibri"/>
      </rPr>
      <t>Information flow control regulates where information is allowed to travel within a network and between interconnected networks. Blocking or restricting detected harmful or suspicious communications between interconnected networks enforces approved authorizations for controlling the flow of traffic.</t>
    </r>
    <r>
      <rPr>
        <sz val="11"/>
        <color rgb="FF000000"/>
        <rFont val="Calibri"/>
      </rPr>
      <t xml:space="preserve">
</t>
    </r>
    <r>
      <rPr>
        <sz val="11"/>
        <color rgb="FF000000"/>
        <rFont val="Calibri"/>
      </rPr>
      <t>The firewall that filters traffic outbound to interconnected networks with different security policies must be configured with filters (i.e., rules, access control lists [ACLs], screens, and policies) that permit, restrict, or block traffic based on organization-defined traffic authorizations. Filtering must include packet header and packet attribute information, such as IP addresses and port numbers.</t>
    </r>
    <r>
      <rPr>
        <sz val="11"/>
        <color rgb="FF000000"/>
        <rFont val="Calibri"/>
      </rPr>
      <t xml:space="preserve">
</t>
    </r>
    <r>
      <rPr>
        <sz val="11"/>
        <color rgb="FF000000"/>
        <rFont val="Calibri"/>
      </rPr>
      <t>Configure filters to perform certain actions when packets match specified attributes, including the following actions:</t>
    </r>
    <r>
      <rPr>
        <sz val="11"/>
        <color rgb="FF000000"/>
        <rFont val="Calibri"/>
      </rPr>
      <t xml:space="preserve">
</t>
    </r>
    <r>
      <rPr>
        <sz val="11"/>
        <color rgb="FF000000"/>
        <rFont val="Calibri"/>
      </rPr>
      <t>- Apply a policy.</t>
    </r>
    <r>
      <rPr>
        <sz val="11"/>
        <color rgb="FF000000"/>
        <rFont val="Calibri"/>
      </rPr>
      <t xml:space="preserve">
</t>
    </r>
    <r>
      <rPr>
        <sz val="11"/>
        <color rgb="FF000000"/>
        <rFont val="Calibri"/>
      </rPr>
      <t>- Accept, reject, or discard the packets.</t>
    </r>
    <r>
      <rPr>
        <sz val="11"/>
        <color rgb="FF000000"/>
        <rFont val="Calibri"/>
      </rPr>
      <t xml:space="preserve">
</t>
    </r>
    <r>
      <rPr>
        <sz val="11"/>
        <color rgb="FF000000"/>
        <rFont val="Calibri"/>
      </rPr>
      <t>- Classify the packets based on their source address.</t>
    </r>
    <r>
      <rPr>
        <sz val="11"/>
        <color rgb="FF000000"/>
        <rFont val="Calibri"/>
      </rPr>
      <t xml:space="preserve">
</t>
    </r>
    <r>
      <rPr>
        <sz val="11"/>
        <color rgb="FF000000"/>
        <rFont val="Calibri"/>
      </rPr>
      <t>- Evaluate the next term in the filter.</t>
    </r>
    <r>
      <rPr>
        <sz val="11"/>
        <color rgb="FF000000"/>
        <rFont val="Calibri"/>
      </rPr>
      <t xml:space="preserve">
</t>
    </r>
    <r>
      <rPr>
        <sz val="11"/>
        <color rgb="FF000000"/>
        <rFont val="Calibri"/>
      </rPr>
      <t>- Increment a packet counter.</t>
    </r>
    <r>
      <rPr>
        <sz val="11"/>
        <color rgb="FF000000"/>
        <rFont val="Calibri"/>
      </rPr>
      <t xml:space="preserve">
</t>
    </r>
    <r>
      <rPr>
        <sz val="11"/>
        <color rgb="FF000000"/>
        <rFont val="Calibri"/>
      </rPr>
      <t>- Set the packets’ loss priority.</t>
    </r>
    <r>
      <rPr>
        <sz val="11"/>
        <color rgb="FF000000"/>
        <rFont val="Calibri"/>
      </rPr>
      <t xml:space="preserve">
</t>
    </r>
    <r>
      <rPr>
        <sz val="11"/>
        <color rgb="FF000000"/>
        <rFont val="Calibri"/>
      </rPr>
      <t>- Specify an IPsec SA (if IPsec is used in the implementation).</t>
    </r>
    <r>
      <rPr>
        <sz val="11"/>
        <color rgb="FF000000"/>
        <rFont val="Calibri"/>
      </rPr>
      <t xml:space="preserve">
</t>
    </r>
    <r>
      <rPr>
        <sz val="11"/>
        <color rgb="FF000000"/>
        <rFont val="Calibri"/>
      </rPr>
      <t>- Specify the forwarding path.</t>
    </r>
    <r>
      <rPr>
        <sz val="11"/>
        <color rgb="FF000000"/>
        <rFont val="Calibri"/>
      </rPr>
      <t xml:space="preserve">
</t>
    </r>
    <r>
      <rPr>
        <sz val="11"/>
        <color rgb="FF000000"/>
        <rFont val="Calibri"/>
      </rPr>
      <t>- Write an alert or message to the system log.</t>
    </r>
    <r>
      <rPr>
        <sz val="11"/>
        <color rgb="FF000000"/>
        <rFont val="Calibri"/>
      </rPr>
      <t xml:space="preserve">
</t>
    </r>
    <r>
      <rPr>
        <sz val="11"/>
        <color rgb="FF000000"/>
        <rFont val="Calibri"/>
      </rPr>
      <t>This requirement also applies to Zero Trust initiatives.</t>
    </r>
  </si>
  <si>
    <r>
      <rPr>
        <sz val="11"/>
        <color rgb="FF000000"/>
        <rFont val="Calibri"/>
      </rPr>
      <t>Verify the firewall is configured to use filters to restrict or block information system services based on best practices, known threats, and guidance in the Ports, Protocols, Services Management (PPSM) database regarding restrictions for boundary crossing for ports, protocols, and services.</t>
    </r>
    <r>
      <rPr>
        <sz val="11"/>
        <color rgb="FF000000"/>
        <rFont val="Calibri"/>
      </rPr>
      <t xml:space="preserve">
</t>
    </r>
    <r>
      <rPr>
        <sz val="11"/>
        <color rgb="FF000000"/>
        <rFont val="Calibri"/>
      </rPr>
      <t>If the firewall cannot be configured with filters that employ packet header and packet attributes, including source and destination IP addresses and ports, to prevent the flow of unauthorized or suspicious traffic between interconnected networks with different security policies, this is a finding.</t>
    </r>
  </si>
  <si>
    <t>V-206675</t>
  </si>
  <si>
    <r>
      <rPr>
        <sz val="11"/>
        <rFont val="Calibri"/>
      </rPr>
      <t>The firewall must immediately use updates made to policy enforcement mechanisms such as firewall rules, security policies, and security zones.</t>
    </r>
  </si>
  <si>
    <t>CAT II (Medium)</t>
  </si>
  <si>
    <r>
      <rPr>
        <sz val="11"/>
        <color rgb="FF000000"/>
        <rFont val="Calibri"/>
      </rPr>
      <t>Require system administrators to commit and test changes upon configuration of the firewall.</t>
    </r>
  </si>
  <si>
    <r>
      <rPr>
        <sz val="11"/>
        <color rgb="FF000000"/>
        <rFont val="Calibri"/>
      </rPr>
      <t>Information flow policies regarding dynamic information flow control include, for example, allowing or disallowing information flows based on changes to the Ports, Protocols, Services Management (PPSM) Category Assurance Levels (CAL) list, vulnerability assessments, or mission conditions. Changing conditions include changes in the threat environment and detection of potentially harmful or adverse events.</t>
    </r>
    <r>
      <rPr>
        <sz val="11"/>
        <color rgb="FF000000"/>
        <rFont val="Calibri"/>
      </rPr>
      <t xml:space="preserve">
</t>
    </r>
    <r>
      <rPr>
        <sz val="11"/>
        <color rgb="FF000000"/>
        <rFont val="Calibri"/>
      </rPr>
      <t>This requirement also applies to Zero Trust initiatives.</t>
    </r>
  </si>
  <si>
    <r>
      <rPr>
        <sz val="11"/>
        <color rgb="FF000000"/>
        <rFont val="Calibri"/>
      </rPr>
      <t>Verify the firewall immediately uses updates made to policy enforcement mechanisms such as firewall rules, security policies, and security zones. For example, there is no need to reinitialize or reboot or the action to commit the changes is prompted.</t>
    </r>
    <r>
      <rPr>
        <sz val="11"/>
        <color rgb="FF000000"/>
        <rFont val="Calibri"/>
      </rPr>
      <t xml:space="preserve">
</t>
    </r>
    <r>
      <rPr>
        <sz val="11"/>
        <color rgb="FF000000"/>
        <rFont val="Calibri"/>
      </rPr>
      <t>If the firewall does not immediately use updates made to policy enforcement mechanisms such as firewall rules, security policies, and security zones, this is a finding.</t>
    </r>
  </si>
  <si>
    <t>V-206676</t>
  </si>
  <si>
    <r>
      <rPr>
        <sz val="11"/>
        <rFont val="Calibri"/>
      </rPr>
      <t>The firewall that filters traffic from the VPN access points must be configured with organization-defined filtering rules that apply to the monitoring of remote access traffic.</t>
    </r>
  </si>
  <si>
    <r>
      <rPr>
        <sz val="11"/>
        <color rgb="FF000000"/>
        <rFont val="Calibri"/>
      </rPr>
      <t>Configure a group policy for remote clients and apply to the interface that is connected to allow ingress and egress to the VPN access points.</t>
    </r>
  </si>
  <si>
    <r>
      <rPr>
        <sz val="11"/>
        <color rgb="FF000000"/>
        <rFont val="Calibri"/>
      </rPr>
      <t>Remote access devices (such as those providing remote access to network devices and information systems) that lack automated capabilities increase risk and make remote user access management difficult at best.</t>
    </r>
    <r>
      <rPr>
        <sz val="11"/>
        <color rgb="FF000000"/>
        <rFont val="Calibri"/>
      </rPr>
      <t xml:space="preserve">
</t>
    </r>
    <r>
      <rPr>
        <sz val="11"/>
        <color rgb="FF000000"/>
        <rFont val="Calibri"/>
      </rPr>
      <t>Remote access is access to DoD non-public information systems by an authorized user (or an information system) communicating through an external, non-organization-controlled network.</t>
    </r>
    <r>
      <rPr>
        <sz val="11"/>
        <color rgb="FF000000"/>
        <rFont val="Calibri"/>
      </rPr>
      <t xml:space="preserve">
</t>
    </r>
    <r>
      <rPr>
        <sz val="11"/>
        <color rgb="FF000000"/>
        <rFont val="Calibri"/>
      </rPr>
      <t>Automated monitoring of remote access sessions allows organizations to detect cyber attacks and also ensure ongoing compliance with remote access policies by auditing connection activities of remote access capabilities from a variety of information system components (e.g., servers, workstations, notebook computers, smart phones, and tablets).</t>
    </r>
  </si>
  <si>
    <r>
      <rPr>
        <sz val="11"/>
        <color rgb="FF000000"/>
        <rFont val="Calibri"/>
      </rPr>
      <t>Review the firewall configuration statements used to create a group policy with filtering rules for remote clients accessing the network using a VPN.</t>
    </r>
    <r>
      <rPr>
        <sz val="11"/>
        <color rgb="FF000000"/>
        <rFont val="Calibri"/>
      </rPr>
      <t xml:space="preserve">
</t>
    </r>
    <r>
      <rPr>
        <sz val="11"/>
        <color rgb="FF000000"/>
        <rFont val="Calibri"/>
      </rPr>
      <t xml:space="preserve">Verify both ingress and egress traffic on this interface is subject to the remote access policy and filtering rules required by the organization. </t>
    </r>
    <r>
      <rPr>
        <sz val="11"/>
        <color rgb="FF000000"/>
        <rFont val="Calibri"/>
      </rPr>
      <t xml:space="preserve">
</t>
    </r>
    <r>
      <rPr>
        <sz val="11"/>
        <color rgb="FF000000"/>
        <rFont val="Calibri"/>
      </rPr>
      <t>If the firewall is used to filter traffic from the VPN access points but is not configured with filtering rules that apply to the monitoring of remote access traffic, this is a finding.</t>
    </r>
  </si>
  <si>
    <t>V-206678</t>
  </si>
  <si>
    <r>
      <rPr>
        <sz val="11"/>
        <rFont val="Calibri"/>
      </rPr>
      <t>The firewall must generate traffic log entries containing information to establish what type of events occurred.</t>
    </r>
  </si>
  <si>
    <r>
      <rPr>
        <sz val="11"/>
        <color rgb="FF000000"/>
        <rFont val="Calibri"/>
      </rPr>
      <t>Configure the firewall to ensure entries sent to the traffic log include sufficient information to determine the type or category for each event in the traffic log.</t>
    </r>
  </si>
  <si>
    <r>
      <rPr>
        <sz val="11"/>
        <color rgb="FF000000"/>
        <rFont val="Calibri"/>
      </rPr>
      <t>Without establishing what type of event occurred, it would be difficult to establish, correlate, and investigate the events leading up to an outage or attack.</t>
    </r>
    <r>
      <rPr>
        <sz val="11"/>
        <color rgb="FF000000"/>
        <rFont val="Calibri"/>
      </rPr>
      <t xml:space="preserve">
</t>
    </r>
    <r>
      <rPr>
        <sz val="11"/>
        <color rgb="FF000000"/>
        <rFont val="Calibri"/>
      </rPr>
      <t>Audit event content that may be necessary to satisfy this requirement includes, for example, time stamps, source and destination addresses, user/process identifiers, event descriptions, success/fail indications, filenames involved, and access control or flow control rules invoked.</t>
    </r>
    <r>
      <rPr>
        <sz val="11"/>
        <color rgb="FF000000"/>
        <rFont val="Calibri"/>
      </rPr>
      <t xml:space="preserve">
</t>
    </r>
    <r>
      <rPr>
        <sz val="11"/>
        <color rgb="FF000000"/>
        <rFont val="Calibri"/>
      </rPr>
      <t>Associating event types with detected events in the network element logs provides a means of investigating an attack, recognizing resource utilization or capacity thresholds, or identifying an improperly configured network element.</t>
    </r>
  </si>
  <si>
    <r>
      <rPr>
        <sz val="11"/>
        <color rgb="FF000000"/>
        <rFont val="Calibri"/>
      </rPr>
      <t>Examine the traffic log configuration on the firewall or view several alert events on the organization's central audit server.</t>
    </r>
    <r>
      <rPr>
        <sz val="11"/>
        <color rgb="FF000000"/>
        <rFont val="Calibri"/>
      </rPr>
      <t xml:space="preserve">
</t>
    </r>
    <r>
      <rPr>
        <sz val="11"/>
        <color rgb="FF000000"/>
        <rFont val="Calibri"/>
      </rPr>
      <t>Verify the entries sent to the traffic log include sufficient information to determine the type or category for each event in the traffic log.</t>
    </r>
    <r>
      <rPr>
        <sz val="11"/>
        <color rgb="FF000000"/>
        <rFont val="Calibri"/>
      </rPr>
      <t xml:space="preserve">
</t>
    </r>
    <r>
      <rPr>
        <sz val="11"/>
        <color rgb="FF000000"/>
        <rFont val="Calibri"/>
      </rPr>
      <t>If the traffic log entries do not include enough information to determine what type of event occurred, this is a finding.</t>
    </r>
  </si>
  <si>
    <t>V-206679</t>
  </si>
  <si>
    <r>
      <rPr>
        <sz val="11"/>
        <rFont val="Calibri"/>
      </rPr>
      <t>The firewall must generate traffic log entries containing information to establish when (date and time) the events occurred.</t>
    </r>
  </si>
  <si>
    <r>
      <rPr>
        <sz val="11"/>
        <color rgb="FF000000"/>
        <rFont val="Calibri"/>
      </rPr>
      <t>Configure the firewall to ensure entries sent to the traffic log include the date and time of the event.</t>
    </r>
  </si>
  <si>
    <r>
      <rPr>
        <sz val="11"/>
        <color rgb="FF000000"/>
        <rFont val="Calibri"/>
      </rPr>
      <t>Without establishing when events occurred, it is impossible to establish, correlate, and investigate the events leading up to an outage or attack.</t>
    </r>
    <r>
      <rPr>
        <sz val="11"/>
        <color rgb="FF000000"/>
        <rFont val="Calibri"/>
      </rPr>
      <t xml:space="preserve">
</t>
    </r>
    <r>
      <rPr>
        <sz val="11"/>
        <color rgb="FF000000"/>
        <rFont val="Calibri"/>
      </rPr>
      <t>In order to compile an accurate risk assessment, and provide forensic analysis of network traffic patterns, it is essential for security personnel to know when flow control events occurred (date and time) within the infrastructure.</t>
    </r>
    <r>
      <rPr>
        <sz val="11"/>
        <color rgb="FF000000"/>
        <rFont val="Calibri"/>
      </rPr>
      <t xml:space="preserve">
</t>
    </r>
    <r>
      <rPr>
        <sz val="11"/>
        <color rgb="FF000000"/>
        <rFont val="Calibri"/>
      </rPr>
      <t>Associating event types with detected events in the network traffic logs provides a means of investigating an attack, recognizing resource utilization or capacity thresholds, or identifying an improperly configured network element.</t>
    </r>
  </si>
  <si>
    <r>
      <rPr>
        <sz val="11"/>
        <color rgb="FF000000"/>
        <rFont val="Calibri"/>
      </rPr>
      <t>Examine the traffic log configuration on the firewall or view several alert events on the organization's central audit server.</t>
    </r>
    <r>
      <rPr>
        <sz val="11"/>
        <color rgb="FF000000"/>
        <rFont val="Calibri"/>
      </rPr>
      <t xml:space="preserve">
</t>
    </r>
    <r>
      <rPr>
        <sz val="11"/>
        <color rgb="FF000000"/>
        <rFont val="Calibri"/>
      </rPr>
      <t>Verify the entries sent to the traffic log include the date and time of each event.</t>
    </r>
    <r>
      <rPr>
        <sz val="11"/>
        <color rgb="FF000000"/>
        <rFont val="Calibri"/>
      </rPr>
      <t xml:space="preserve">
</t>
    </r>
    <r>
      <rPr>
        <sz val="11"/>
        <color rgb="FF000000"/>
        <rFont val="Calibri"/>
      </rPr>
      <t>If the traffic log entries do not include the date and time the event occurred, this is a finding.</t>
    </r>
  </si>
  <si>
    <t>V-206680</t>
  </si>
  <si>
    <r>
      <rPr>
        <sz val="11"/>
        <rFont val="Calibri"/>
      </rPr>
      <t>The firewall must generate traffic log entries containing information to establish the location on the network where the events occurred.</t>
    </r>
  </si>
  <si>
    <r>
      <rPr>
        <sz val="11"/>
        <color rgb="FF000000"/>
        <rFont val="Calibri"/>
      </rPr>
      <t>Configure the firewall to ensure entries sent to the traffic log include the location of each event (e.g., network name, network subnet, network segment, or port).</t>
    </r>
  </si>
  <si>
    <r>
      <rPr>
        <sz val="11"/>
        <color rgb="FF000000"/>
        <rFont val="Calibri"/>
      </rPr>
      <t>Without establishing where events occurred, it is impossible to establish, correlate, and investigate the events leading up to an outage or attack.</t>
    </r>
    <r>
      <rPr>
        <sz val="11"/>
        <color rgb="FF000000"/>
        <rFont val="Calibri"/>
      </rPr>
      <t xml:space="preserve">
</t>
    </r>
    <r>
      <rPr>
        <sz val="11"/>
        <color rgb="FF000000"/>
        <rFont val="Calibri"/>
      </rPr>
      <t xml:space="preserve">In order to compile an accurate risk assessment and provide forensic analysis, it is essential for security personnel to know where events occurred, such as network element components, modules, device identifiers, node names, and functionality. </t>
    </r>
    <r>
      <rPr>
        <sz val="11"/>
        <color rgb="FF000000"/>
        <rFont val="Calibri"/>
      </rPr>
      <t xml:space="preserve">
</t>
    </r>
    <r>
      <rPr>
        <sz val="11"/>
        <color rgb="FF000000"/>
        <rFont val="Calibri"/>
      </rPr>
      <t>Associating information about where the event occurred within the network provides a means of investigating an attack, recognizing resource utilization or capacity thresholds, or identifying an improperly configured network element.</t>
    </r>
  </si>
  <si>
    <r>
      <rPr>
        <sz val="11"/>
        <color rgb="FF000000"/>
        <rFont val="Calibri"/>
      </rPr>
      <t>Examine the traffic log configuration on the firewall or view several alert events on the organization's central audit server.</t>
    </r>
    <r>
      <rPr>
        <sz val="11"/>
        <color rgb="FF000000"/>
        <rFont val="Calibri"/>
      </rPr>
      <t xml:space="preserve">
</t>
    </r>
    <r>
      <rPr>
        <sz val="11"/>
        <color rgb="FF000000"/>
        <rFont val="Calibri"/>
      </rPr>
      <t>Verify the entries sent to the traffic log include the location of each event (e.g., network name, network subnet, port, or network segment).</t>
    </r>
    <r>
      <rPr>
        <sz val="11"/>
        <color rgb="FF000000"/>
        <rFont val="Calibri"/>
      </rPr>
      <t xml:space="preserve">
</t>
    </r>
    <r>
      <rPr>
        <sz val="11"/>
        <color rgb="FF000000"/>
        <rFont val="Calibri"/>
      </rPr>
      <t>If the traffic log entries do not include the event location, this is a finding.</t>
    </r>
  </si>
  <si>
    <t>V-206681</t>
  </si>
  <si>
    <r>
      <rPr>
        <sz val="11"/>
        <rFont val="Calibri"/>
      </rPr>
      <t>The firewall must generate traffic log entries containing information to establish the source of the events, such as the source IP address at a minimum.</t>
    </r>
  </si>
  <si>
    <t>CAT III (Low)</t>
  </si>
  <si>
    <r>
      <rPr>
        <sz val="11"/>
        <color rgb="FF000000"/>
        <rFont val="Calibri"/>
      </rPr>
      <t>Configure the firewall implementation to ensure entries sent to the traffic log include sufficient information to ascertain the source of each event (e.g., IP address, session, or packet ID).</t>
    </r>
  </si>
  <si>
    <r>
      <rPr>
        <sz val="11"/>
        <color rgb="FF000000"/>
        <rFont val="Calibri"/>
      </rPr>
      <t>Without establishing the source of the event, it is impossible to establish, correlate, and investigate the events leading up to an outage or attack. In order to compile an accurate risk assessment and provide forensic analysis, security personnel need to know the source of the event.</t>
    </r>
    <r>
      <rPr>
        <sz val="11"/>
        <color rgb="FF000000"/>
        <rFont val="Calibri"/>
      </rPr>
      <t xml:space="preserve">
</t>
    </r>
    <r>
      <rPr>
        <sz val="11"/>
        <color rgb="FF000000"/>
        <rFont val="Calibri"/>
      </rPr>
      <t>In addition to logging where events occur within the network, the traffic log events must also identify sources of events, such as IP addresses, processes, and node or device names.</t>
    </r>
  </si>
  <si>
    <r>
      <rPr>
        <sz val="11"/>
        <color rgb="FF000000"/>
        <rFont val="Calibri"/>
      </rPr>
      <t>Examine the traffic log configuration on the firewall or view several alert events on the organization's central audit server.</t>
    </r>
    <r>
      <rPr>
        <sz val="11"/>
        <color rgb="FF000000"/>
        <rFont val="Calibri"/>
      </rPr>
      <t xml:space="preserve">
</t>
    </r>
    <r>
      <rPr>
        <sz val="11"/>
        <color rgb="FF000000"/>
        <rFont val="Calibri"/>
      </rPr>
      <t>Verify the entries sent to the traffic log include sufficient information to ascertain the source of the events (e.g., IP address, session, or packet ID).</t>
    </r>
    <r>
      <rPr>
        <sz val="11"/>
        <color rgb="FF000000"/>
        <rFont val="Calibri"/>
      </rPr>
      <t xml:space="preserve">
</t>
    </r>
    <r>
      <rPr>
        <sz val="11"/>
        <color rgb="FF000000"/>
        <rFont val="Calibri"/>
      </rPr>
      <t>If the traffic log entries do not include sufficient information to ascertain the source of the events, this is a finding.</t>
    </r>
  </si>
  <si>
    <t>V-206682</t>
  </si>
  <si>
    <r>
      <rPr>
        <sz val="11"/>
        <rFont val="Calibri"/>
      </rPr>
      <t>The firewall must generate traffic log entries containing information to establish the outcome of the events, such as, at a minimum, the success or failure of the application of the firewall rule.</t>
    </r>
  </si>
  <si>
    <r>
      <rPr>
        <sz val="11"/>
        <color rgb="FF000000"/>
        <rFont val="Calibri"/>
      </rPr>
      <t>Configure the firewall to generate traffic log entries containing information to establish the outcome of the events, such as, at a minimum, the success or failure of the application of the firewall rule.</t>
    </r>
  </si>
  <si>
    <r>
      <rPr>
        <sz val="11"/>
        <color rgb="FF000000"/>
        <rFont val="Calibri"/>
      </rPr>
      <t>Without information about the outcome of events, security personnel cannot make an accurate assessment as to whether an attack was successful or if changes were made to the security state of the network.</t>
    </r>
    <r>
      <rPr>
        <sz val="11"/>
        <color rgb="FF000000"/>
        <rFont val="Calibri"/>
      </rPr>
      <t xml:space="preserve">
</t>
    </r>
    <r>
      <rPr>
        <sz val="11"/>
        <color rgb="FF000000"/>
        <rFont val="Calibri"/>
      </rPr>
      <t>Event outcomes can include indicators of event success or failure and event-specific results. They also provide a means to measure the impact of an event and help authorized personnel to determine the appropriate response.</t>
    </r>
  </si>
  <si>
    <r>
      <rPr>
        <sz val="11"/>
        <color rgb="FF000000"/>
        <rFont val="Calibri"/>
      </rPr>
      <t>Examine the traffic log configuration on the firewall or view several alert events on the organization's central audit server.</t>
    </r>
    <r>
      <rPr>
        <sz val="11"/>
        <color rgb="FF000000"/>
        <rFont val="Calibri"/>
      </rPr>
      <t xml:space="preserve">
</t>
    </r>
    <r>
      <rPr>
        <sz val="11"/>
        <color rgb="FF000000"/>
        <rFont val="Calibri"/>
      </rPr>
      <t>Verify the entries sent to the traffic log include sufficient information to ascertain the outcome of the firewall rules. Verify that, at a minimum, the success or failure of the event is evented.</t>
    </r>
    <r>
      <rPr>
        <sz val="11"/>
        <color rgb="FF000000"/>
        <rFont val="Calibri"/>
      </rPr>
      <t xml:space="preserve">
</t>
    </r>
    <r>
      <rPr>
        <sz val="11"/>
        <color rgb="FF000000"/>
        <rFont val="Calibri"/>
      </rPr>
      <t>If the traffic log entries do not include sufficient information to ascertain the outcome of the application of the firewall rules, this is a finding.</t>
    </r>
    <r>
      <rPr>
        <sz val="11"/>
        <color rgb="FF000000"/>
        <rFont val="Calibri"/>
      </rPr>
      <t xml:space="preserve">
</t>
    </r>
    <r>
      <rPr>
        <sz val="11"/>
        <color rgb="FF000000"/>
        <rFont val="Calibri"/>
      </rPr>
      <t>If the traffic log entries do not include the success or failure of the application of the firewall rules, this is a finding.</t>
    </r>
  </si>
  <si>
    <t>V-206685</t>
  </si>
  <si>
    <r>
      <rPr>
        <sz val="11"/>
        <rFont val="Calibri"/>
      </rPr>
      <t>The firewall must be configured to use TCP when sending log records to the central audit server.</t>
    </r>
  </si>
  <si>
    <r>
      <rPr>
        <sz val="11"/>
        <color rgb="FF000000"/>
        <rFont val="Calibri"/>
      </rPr>
      <t>Configure the firewall to use TCP when sending log records to the central audit server.</t>
    </r>
  </si>
  <si>
    <r>
      <rPr>
        <sz val="11"/>
        <color rgb="FF000000"/>
        <rFont val="Calibri"/>
      </rPr>
      <t>If the default UDP protocol is used for communication between the hosts and devices to the Central Log Server, then log records that do not reach the log server are not detected as a data loss. The use of TCP to transport log records to the log servers improves delivery reliability.</t>
    </r>
  </si>
  <si>
    <r>
      <rPr>
        <sz val="11"/>
        <color rgb="FF000000"/>
        <rFont val="Calibri"/>
      </rPr>
      <t>Review the firewall configuration and verify that it is configure to use TCP.</t>
    </r>
    <r>
      <rPr>
        <sz val="11"/>
        <color rgb="FF000000"/>
        <rFont val="Calibri"/>
      </rPr>
      <t xml:space="preserve">
</t>
    </r>
    <r>
      <rPr>
        <sz val="11"/>
        <color rgb="FF000000"/>
        <rFont val="Calibri"/>
      </rPr>
      <t>If the firewall is not configured to use TCP when sending log records to the central audit server, this is a finding.</t>
    </r>
  </si>
  <si>
    <t>V-206687</t>
  </si>
  <si>
    <r>
      <rPr>
        <sz val="11"/>
        <rFont val="Calibri"/>
      </rPr>
      <t>The firewall must protect the traffic log from unauthorized modification of local log records.</t>
    </r>
  </si>
  <si>
    <r>
      <rPr>
        <sz val="11"/>
        <color rgb="FF000000"/>
        <rFont val="Calibri"/>
      </rPr>
      <t>Validate the firewall includes a baseline cryptographic module that provides confidentiality and integrity services for authentication and for protecting communications with adjacent systems.</t>
    </r>
    <r>
      <rPr>
        <sz val="11"/>
        <color rgb="FF000000"/>
        <rFont val="Calibri"/>
      </rPr>
      <t xml:space="preserve">
</t>
    </r>
    <r>
      <rPr>
        <sz val="11"/>
        <color rgb="FF000000"/>
        <rFont val="Calibri"/>
      </rPr>
      <t>Configure role-based, fine-grained permissions management for controlling commands needed to modify log records.</t>
    </r>
  </si>
  <si>
    <r>
      <rPr>
        <sz val="11"/>
        <color rgb="FF000000"/>
        <rFont val="Calibri"/>
      </rPr>
      <t>If audit data were to become compromised, forensic analysis and discovery of the true source of potentially malicious system activity would be impossible to achieve.</t>
    </r>
    <r>
      <rPr>
        <sz val="11"/>
        <color rgb="FF000000"/>
        <rFont val="Calibri"/>
      </rPr>
      <t xml:space="preserve">
</t>
    </r>
    <r>
      <rPr>
        <sz val="11"/>
        <color rgb="FF000000"/>
        <rFont val="Calibri"/>
      </rPr>
      <t>To ensure the veracity of audit data, the information system and/or the application must protect audit information from unauthorized modification. This can be achieved through multiple methods, which will depend on system architecture and design. Some commonly employed methods include ensuring log files receive the proper file system permissions and limiting log data locations.</t>
    </r>
    <r>
      <rPr>
        <sz val="11"/>
        <color rgb="FF000000"/>
        <rFont val="Calibri"/>
      </rPr>
      <t xml:space="preserve">
</t>
    </r>
    <r>
      <rPr>
        <sz val="11"/>
        <color rgb="FF000000"/>
        <rFont val="Calibri"/>
      </rPr>
      <t>Audit information includes all information (e.g., audit records, audit settings, and audit reports) needed to successfully audit information system activity.</t>
    </r>
    <r>
      <rPr>
        <sz val="11"/>
        <color rgb="FF000000"/>
        <rFont val="Calibri"/>
      </rPr>
      <t xml:space="preserve">
</t>
    </r>
    <r>
      <rPr>
        <sz val="11"/>
        <color rgb="FF000000"/>
        <rFont val="Calibri"/>
      </rPr>
      <t>This does not apply to traffic logs generated on behalf of the device itself (management).</t>
    </r>
  </si>
  <si>
    <r>
      <rPr>
        <sz val="11"/>
        <color rgb="FF000000"/>
        <rFont val="Calibri"/>
      </rPr>
      <t>Verify the firewall's fine-grained permissions are configured to prevent unauthorized modification of local log records.</t>
    </r>
    <r>
      <rPr>
        <sz val="11"/>
        <color rgb="FF000000"/>
        <rFont val="Calibri"/>
      </rPr>
      <t xml:space="preserve">
</t>
    </r>
    <r>
      <rPr>
        <sz val="11"/>
        <color rgb="FF000000"/>
        <rFont val="Calibri"/>
      </rPr>
      <t>If the firewall does not protect traffic log records from unauthorized modification while stored locally, this is a finding.</t>
    </r>
  </si>
  <si>
    <t>V-206688</t>
  </si>
  <si>
    <r>
      <rPr>
        <sz val="11"/>
        <rFont val="Calibri"/>
      </rPr>
      <t>The firewall must protect the traffic log from unauthorized deletion of local log files and log records.</t>
    </r>
  </si>
  <si>
    <r>
      <rPr>
        <sz val="11"/>
        <color rgb="FF000000"/>
        <rFont val="Calibri"/>
      </rPr>
      <t>Validate the firewall includes a baseline cryptographic module that provides confidentiality and integrity services for authentication and for protecting communications with adjacent systems.</t>
    </r>
    <r>
      <rPr>
        <sz val="11"/>
        <color rgb="FF000000"/>
        <rFont val="Calibri"/>
      </rPr>
      <t xml:space="preserve">
</t>
    </r>
    <r>
      <rPr>
        <sz val="11"/>
        <color rgb="FF000000"/>
        <rFont val="Calibri"/>
      </rPr>
      <t>Configure role-based, fine-grained permissions management for controlling commands needed to delete log files and records.</t>
    </r>
  </si>
  <si>
    <r>
      <rPr>
        <sz val="11"/>
        <color rgb="FF000000"/>
        <rFont val="Calibri"/>
      </rPr>
      <t>If audit data were to become compromised, forensic analysis and discovery of the true source of potentially malicious system activity would be impossible to achieve.</t>
    </r>
    <r>
      <rPr>
        <sz val="11"/>
        <color rgb="FF000000"/>
        <rFont val="Calibri"/>
      </rPr>
      <t xml:space="preserve">
</t>
    </r>
    <r>
      <rPr>
        <sz val="11"/>
        <color rgb="FF000000"/>
        <rFont val="Calibri"/>
      </rPr>
      <t>To ensure the veracity of audit data, the information system and/or the application must protect audit information from unauthorized modification. This can be achieved through multiple methods, which will depend on system architecture and design. Some commonly employed methods include ensuring log files receive the proper file system permissions and limiting log data locations.</t>
    </r>
    <r>
      <rPr>
        <sz val="11"/>
        <color rgb="FF000000"/>
        <rFont val="Calibri"/>
      </rPr>
      <t xml:space="preserve">
</t>
    </r>
    <r>
      <rPr>
        <sz val="11"/>
        <color rgb="FF000000"/>
        <rFont val="Calibri"/>
      </rPr>
      <t>Audit information includes all information (e.g., audit records, audit settings, and audit reports) needed to successfully audit information system activity.</t>
    </r>
    <r>
      <rPr>
        <sz val="11"/>
        <color rgb="FF000000"/>
        <rFont val="Calibri"/>
      </rPr>
      <t xml:space="preserve">
</t>
    </r>
    <r>
      <rPr>
        <sz val="11"/>
        <color rgb="FF000000"/>
        <rFont val="Calibri"/>
      </rPr>
      <t>This requirement does not apply to traffic logs generated on behalf of the device itself (device management).</t>
    </r>
  </si>
  <si>
    <r>
      <rPr>
        <sz val="11"/>
        <color rgb="FF000000"/>
        <rFont val="Calibri"/>
      </rPr>
      <t>Verify the firewall's fine-grained permissions are configured to prevent unauthorized deletion of local log files or log records.</t>
    </r>
    <r>
      <rPr>
        <sz val="11"/>
        <color rgb="FF000000"/>
        <rFont val="Calibri"/>
      </rPr>
      <t xml:space="preserve">
</t>
    </r>
    <r>
      <rPr>
        <sz val="11"/>
        <color rgb="FF000000"/>
        <rFont val="Calibri"/>
      </rPr>
      <t>If the firewall does not protect traffic log records and log files from unauthorized deletion while stored locally, this is a finding.</t>
    </r>
  </si>
  <si>
    <t>V-206690</t>
  </si>
  <si>
    <r>
      <rPr>
        <sz val="11"/>
        <rFont val="Calibri"/>
      </rPr>
      <t>The firewall must disable or remove unnecessary network services and functions that are not used as part of its role in the architecture.</t>
    </r>
  </si>
  <si>
    <r>
      <rPr>
        <sz val="11"/>
        <color rgb="FF000000"/>
        <rFont val="Calibri"/>
      </rPr>
      <t>Display and remove unnecessary licenses, services, and functions from the firewall. Examples include NTP, DNS, and DHCP.</t>
    </r>
    <r>
      <rPr>
        <sz val="11"/>
        <color rgb="FF000000"/>
        <rFont val="Calibri"/>
      </rPr>
      <t xml:space="preserve">
</t>
    </r>
    <r>
      <rPr>
        <sz val="11"/>
        <color rgb="FF000000"/>
        <rFont val="Calibri"/>
      </rPr>
      <t>Note: Only remove unauthorized services. This control is not intended to restrict the use of network devices with multiple authorized roles.</t>
    </r>
  </si>
  <si>
    <r>
      <rPr>
        <sz val="11"/>
        <color rgb="FF000000"/>
        <rFont val="Calibri"/>
      </rPr>
      <t>Network devices are capable of providing a wide variety of functions (capabilities or processes) and services. Some of these functions and services are installed and enabled by default. The organization must determine which functions and services are required to perform the content filtering and other necessary core functionality for each component of the firewall.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Some services may be security related but, based on the firewall’s role in the architecture, must not be installed on the same hardware. For example, the device may serve as a router, VPN, or other perimeter services. However, if these functions are not part of the documented role of the firewall in the enterprise or branch architecture, the software and licenses should not be installed on the device. This mitigates the risk of exploitation of unconfigured services or services that are not kept updated with security fixes. If left unsecured, these services may provide a threat vector.</t>
    </r>
    <r>
      <rPr>
        <sz val="11"/>
        <color rgb="FF000000"/>
        <rFont val="Calibri"/>
      </rPr>
      <t xml:space="preserve">
</t>
    </r>
    <r>
      <rPr>
        <sz val="11"/>
        <color rgb="FF000000"/>
        <rFont val="Calibri"/>
      </rPr>
      <t xml:space="preserve">Some services are not authorized for combination with the firewall and individual policy must be in place to instruct the administrator to remove these services. Examples of these services are Network Time Protocol (NTP), domain name server (DNS), email server, FTP server, web server, and Dynamic Host Configuration Protocol (DHCP). </t>
    </r>
    <r>
      <rPr>
        <sz val="11"/>
        <color rgb="FF000000"/>
        <rFont val="Calibri"/>
      </rPr>
      <t xml:space="preserve">
</t>
    </r>
    <r>
      <rPr>
        <sz val="11"/>
        <color rgb="FF000000"/>
        <rFont val="Calibri"/>
      </rPr>
      <t>Only remove unauthorized services. This control is not intended to restrict the use of firewalls with multiple authorized roles.</t>
    </r>
  </si>
  <si>
    <r>
      <rPr>
        <sz val="11"/>
        <color rgb="FF000000"/>
        <rFont val="Calibri"/>
      </rPr>
      <t>Review the documentation and architecture for the device or check the system-installed licenses or services.</t>
    </r>
    <r>
      <rPr>
        <sz val="11"/>
        <color rgb="FF000000"/>
        <rFont val="Calibri"/>
      </rPr>
      <t xml:space="preserve">
</t>
    </r>
    <r>
      <rPr>
        <sz val="11"/>
        <color rgb="FF000000"/>
        <rFont val="Calibri"/>
      </rPr>
      <t>Determine what services and functions are installed on the firewall. Compare installed services and functions to the documentation showing the approved services.</t>
    </r>
    <r>
      <rPr>
        <sz val="11"/>
        <color rgb="FF000000"/>
        <rFont val="Calibri"/>
      </rPr>
      <t xml:space="preserve">
</t>
    </r>
    <r>
      <rPr>
        <sz val="11"/>
        <color rgb="FF000000"/>
        <rFont val="Calibri"/>
      </rPr>
      <t>If unneeded services and functions are installed on the device but are not part of the documented role of the device, this is a finding.</t>
    </r>
  </si>
  <si>
    <t>V-206692</t>
  </si>
  <si>
    <r>
      <rPr>
        <sz val="11"/>
        <rFont val="Calibri"/>
      </rPr>
      <t>The firewall must block outbound traffic containing denial-of-service (DoS) attacks to protect against the use of internal information systems to launch any DoS attacks against other networks or endpoints.</t>
    </r>
  </si>
  <si>
    <r>
      <rPr>
        <sz val="11"/>
        <color rgb="FF000000"/>
        <rFont val="Calibri"/>
      </rPr>
      <t>Associate a properly configured DoS firewall filter (e.g., rules, access control lists [ACLs], screens, or policies) to outbound interfaces and security zones.</t>
    </r>
    <r>
      <rPr>
        <sz val="11"/>
        <color rgb="FF000000"/>
        <rFont val="Calibri"/>
      </rPr>
      <t xml:space="preserve">
</t>
    </r>
    <r>
      <rPr>
        <sz val="11"/>
        <color rgb="FF000000"/>
        <rFont val="Calibri"/>
      </rPr>
      <t>Apply a firewall filter to each outbound interface example:</t>
    </r>
    <r>
      <rPr>
        <sz val="11"/>
        <color rgb="FF000000"/>
        <rFont val="Calibri"/>
      </rPr>
      <t xml:space="preserve">
</t>
    </r>
    <r>
      <rPr>
        <sz val="11"/>
        <color rgb="FF000000"/>
        <rFont val="Calibri"/>
      </rPr>
      <t>set security zones security-zone untrust interfaces &lt;OUTBOUND-INTERFACE&gt;</t>
    </r>
    <r>
      <rPr>
        <sz val="11"/>
        <color rgb="FF000000"/>
        <rFont val="Calibri"/>
      </rPr>
      <t xml:space="preserve">
</t>
    </r>
    <r>
      <rPr>
        <sz val="11"/>
        <color rgb="FF000000"/>
        <rFont val="Calibri"/>
      </rPr>
      <t>set security zones security-zone trust screen untrust-screen</t>
    </r>
  </si>
  <si>
    <r>
      <rPr>
        <sz val="11"/>
        <color rgb="FF000000"/>
        <rFont val="Calibri"/>
      </rPr>
      <t>DoS attacks can take multiple forms but have the common objective of overloading or blocking a network or host to deny or seriously degrade performance. If the network does not provide safeguards against DoS attacks, network resources will be unavailable to users.</t>
    </r>
    <r>
      <rPr>
        <sz val="11"/>
        <color rgb="FF000000"/>
        <rFont val="Calibri"/>
      </rPr>
      <t xml:space="preserve">
</t>
    </r>
    <r>
      <rPr>
        <sz val="11"/>
        <color rgb="FF000000"/>
        <rFont val="Calibri"/>
      </rPr>
      <t>Installation of a firewall at key boundaries in the architecture mitigates the risk of DoS attacks. These attacks can be detected by matching observed communications traffic with patterns of known attacks and monitoring for anomalies in traffic volume/type.</t>
    </r>
    <r>
      <rPr>
        <sz val="11"/>
        <color rgb="FF000000"/>
        <rFont val="Calibri"/>
      </rPr>
      <t xml:space="preserve">
</t>
    </r>
    <r>
      <rPr>
        <sz val="11"/>
        <color rgb="FF000000"/>
        <rFont val="Calibri"/>
      </rPr>
      <t>The firewall must include protection against DoS attacks that originate from inside the enclave that can affect either internal or external systems. These attacks may use legitimate or rogue endpoints from inside the enclave. These attacks can be simple "floods" of traffic to saturate circuits or devices, malware that consumes CPU and memory on a device or causes it to crash, or a configuration issue that disables or impairs the proper function of a device. For example, an accidental or deliberate misconfiguration of a routing table can misdirect traffic for multiple networks.</t>
    </r>
  </si>
  <si>
    <r>
      <rPr>
        <sz val="11"/>
        <color rgb="FF000000"/>
        <rFont val="Calibri"/>
      </rPr>
      <t>Obtain and review the list of outbound interfaces and zones from site personnel.</t>
    </r>
    <r>
      <rPr>
        <sz val="11"/>
        <color rgb="FF000000"/>
        <rFont val="Calibri"/>
      </rPr>
      <t xml:space="preserve">
</t>
    </r>
    <r>
      <rPr>
        <sz val="11"/>
        <color rgb="FF000000"/>
        <rFont val="Calibri"/>
      </rPr>
      <t>Review each of the configured outbound interfaces and zones. Verify zones that communicate outbound have been configured with the DoS firewall filter (i.e., rules, access control lists [ACLs], screens, or policies) such as IP sweeps, TCP sweeps, buffer overflows, unauthorized port scanning, SYN floods, UDP floods, and UDP sweeps.</t>
    </r>
    <r>
      <rPr>
        <sz val="11"/>
        <color rgb="FF000000"/>
        <rFont val="Calibri"/>
      </rPr>
      <t xml:space="preserve">
</t>
    </r>
    <r>
      <rPr>
        <sz val="11"/>
        <color rgb="FF000000"/>
        <rFont val="Calibri"/>
      </rPr>
      <t>If all outbound interfaces are not configured to block DoS attacks, this is a finding.</t>
    </r>
  </si>
  <si>
    <t>V-206693</t>
  </si>
  <si>
    <r>
      <rPr>
        <sz val="11"/>
        <rFont val="Calibri"/>
      </rPr>
      <t>The firewall implementation must manage excess bandwidth to limit the effects of packet flooding types of denial-of-service (DoS) attacks.</t>
    </r>
  </si>
  <si>
    <r>
      <rPr>
        <sz val="11"/>
        <color rgb="FF000000"/>
        <rFont val="Calibri"/>
      </rPr>
      <t>Configure a stateless firewall filter to set rate limits based on a destination of the packets. Apply the stateless firewall filter to all inbound interfaces.</t>
    </r>
  </si>
  <si>
    <r>
      <rPr>
        <sz val="11"/>
        <color rgb="FF000000"/>
        <rFont val="Calibri"/>
      </rPr>
      <t>A firewall experiencing a DoS attack will not be able to handle production traffic load. The high utilization and CPU caused by a DoS attack will also have an effect on control keep-alives and timers used for neighbor peering resulting in route flapping and will eventually black hole production traffic.</t>
    </r>
    <r>
      <rPr>
        <sz val="11"/>
        <color rgb="FF000000"/>
        <rFont val="Calibri"/>
      </rPr>
      <t xml:space="preserve">
</t>
    </r>
    <r>
      <rPr>
        <sz val="11"/>
        <color rgb="FF000000"/>
        <rFont val="Calibri"/>
      </rPr>
      <t>The device must be configured to contain and limit a DoS attack's effect on the device's resource utilization. The use of redundant components and load balancing are examples of mitigating "flood-type" DoS attacks through increased capacity.</t>
    </r>
  </si>
  <si>
    <r>
      <rPr>
        <sz val="11"/>
        <color rgb="FF000000"/>
        <rFont val="Calibri"/>
      </rPr>
      <t>Use the "show" command to verify that all inbound interfaces have a stateless firewall filter to set rate limits based on a destination.</t>
    </r>
    <r>
      <rPr>
        <sz val="11"/>
        <color rgb="FF000000"/>
        <rFont val="Calibri"/>
      </rPr>
      <t xml:space="preserve">
</t>
    </r>
    <r>
      <rPr>
        <sz val="11"/>
        <color rgb="FF000000"/>
        <rFont val="Calibri"/>
      </rPr>
      <t>If the firewall does not have a stateless firewall filter that sets rate limits based on a destination, this is a finding.</t>
    </r>
  </si>
  <si>
    <t>V-206694</t>
  </si>
  <si>
    <r>
      <rPr>
        <sz val="11"/>
        <rFont val="Calibri"/>
      </rPr>
      <t>The firewall must deny network communications traffic by default and allow network communications traffic by exception (i.e., deny all, permit by exception).</t>
    </r>
  </si>
  <si>
    <r>
      <rPr>
        <sz val="11"/>
        <color rgb="FF000000"/>
        <rFont val="Calibri"/>
      </rPr>
      <t>Configure the firewall with a "Deny" inter-zone policy which, by default, blocks traffic between zones and allows network communications traffic by exception (i.e., deny all, permit by exception) in accordance with PPSM CAL and VAs for the enclave.</t>
    </r>
  </si>
  <si>
    <r>
      <rPr>
        <sz val="11"/>
        <color rgb="FF000000"/>
        <rFont val="Calibri"/>
      </rPr>
      <t>To prevent malicious or accidental leakage of traffic, organizations must implement a deny-by-default security posture at the network perimeter. Such rulesets prevent many malicious exploits or accidental leakage by restricting the traffic to only known sources and only those ports, protocols, or services that are permitted and operationally necessary.</t>
    </r>
    <r>
      <rPr>
        <sz val="11"/>
        <color rgb="FF000000"/>
        <rFont val="Calibri"/>
      </rPr>
      <t xml:space="preserve">
</t>
    </r>
    <r>
      <rPr>
        <sz val="11"/>
        <color rgb="FF000000"/>
        <rFont val="Calibri"/>
      </rPr>
      <t>As a managed boundary interface, the firewall must block all inbound and outbound network traffic unless a filter is installed to explicitly allow it. The allow filters must comply with the Ports, Protocols, and Services Management (PPSM) Category Assurance List (CAL) and Vulnerability Assessment (VA).</t>
    </r>
    <r>
      <rPr>
        <sz val="11"/>
        <color rgb="FF000000"/>
        <rFont val="Calibri"/>
      </rPr>
      <t xml:space="preserve">
</t>
    </r>
    <r>
      <rPr>
        <sz val="11"/>
        <color rgb="FF000000"/>
        <rFont val="Calibri"/>
      </rPr>
      <t>This requirement also applies to Zero Trust initiatives.</t>
    </r>
  </si>
  <si>
    <r>
      <rPr>
        <sz val="11"/>
        <color rgb="FF000000"/>
        <rFont val="Calibri"/>
      </rPr>
      <t xml:space="preserve">Determine the default security policies on the firewall for traffic from one zone to another zone (inter-zone). </t>
    </r>
    <r>
      <rPr>
        <sz val="11"/>
        <color rgb="FF000000"/>
        <rFont val="Calibri"/>
      </rPr>
      <t xml:space="preserve">
</t>
    </r>
    <r>
      <rPr>
        <sz val="11"/>
        <color rgb="FF000000"/>
        <rFont val="Calibri"/>
      </rPr>
      <t>The default policy must be a "Deny" policy that blocks all inter-zone traffic by default. Ensure no policy that circumvents the default "Deny" inter-zone policy is allowed. Traffic through the firewall is filtered so that only the specific traffic that is approved and registered in the PPSM CAL and VAs for the enclave. Verify rules or access control statements containing "any" for either the host, destination, protocol, or port are not used.</t>
    </r>
    <r>
      <rPr>
        <sz val="11"/>
        <color rgb="FF000000"/>
        <rFont val="Calibri"/>
      </rPr>
      <t xml:space="preserve">
</t>
    </r>
    <r>
      <rPr>
        <sz val="11"/>
        <color rgb="FF000000"/>
        <rFont val="Calibri"/>
      </rPr>
      <t>If the firewall does not deny all network communications traffic by default and allow network communications traffic by exception (i.e., deny all, permit by exception), this is a finding.</t>
    </r>
  </si>
  <si>
    <t>V-206695</t>
  </si>
  <si>
    <r>
      <rPr>
        <sz val="11"/>
        <rFont val="Calibri"/>
      </rPr>
      <t>The perimeter firewall must filter traffic destined to the internal enclave in accordance with the specific traffic that is approved and registered in the Ports, Protocols, and Services Management (PPSM) Category Assurance List (CAL), Vulnerability Assessments (VAs) for that the enclave.</t>
    </r>
  </si>
  <si>
    <r>
      <rPr>
        <sz val="11"/>
        <color rgb="FF000000"/>
        <rFont val="Calibri"/>
      </rPr>
      <t>Configure the perimeter firewall to filter traffic destined to the internal enclave in accordance with the guidelines contained in the PPSM CAL and VAs for the enclave.</t>
    </r>
  </si>
  <si>
    <r>
      <rPr>
        <sz val="11"/>
        <color rgb="FF000000"/>
        <rFont val="Calibri"/>
      </rPr>
      <t>The enclave's internal network contains the servers where mission-critical data and applications reside. Malicious traffic can enter from an external boundary or originate from a compromised host internally.</t>
    </r>
    <r>
      <rPr>
        <sz val="11"/>
        <color rgb="FF000000"/>
        <rFont val="Calibri"/>
      </rPr>
      <t xml:space="preserve">
</t>
    </r>
    <r>
      <rPr>
        <sz val="11"/>
        <color rgb="FF000000"/>
        <rFont val="Calibri"/>
      </rPr>
      <t xml:space="preserve">Vulnerability assessments must be reviewed by the SA and protocols must be approved by the IA staff before entering the enclave. </t>
    </r>
    <r>
      <rPr>
        <sz val="11"/>
        <color rgb="FF000000"/>
        <rFont val="Calibri"/>
      </rPr>
      <t xml:space="preserve">
</t>
    </r>
    <r>
      <rPr>
        <sz val="11"/>
        <color rgb="FF000000"/>
        <rFont val="Calibri"/>
      </rPr>
      <t xml:space="preserve">Firewall filters (e.g., rules, access control lists [ACLs], screens, and policies) are the first line of defense in a layered security approach. They permit authorized packets and deny unauthorized packets based on port or service type. They enhance the posture of the network by not allowing packets to even reach a potential target within the security domain. The filters provided are highly susceptible ports and services that should be blocked or limited as much as possible without adversely affecting customer requirements. Auditing packets attempting to penetrate the network but stopped by the firewall filters will allow network administrators to broaden their protective ring and more tightly define the scope of operation. </t>
    </r>
    <r>
      <rPr>
        <sz val="11"/>
        <color rgb="FF000000"/>
        <rFont val="Calibri"/>
      </rPr>
      <t xml:space="preserve">
</t>
    </r>
    <r>
      <rPr>
        <sz val="11"/>
        <color rgb="FF000000"/>
        <rFont val="Calibri"/>
      </rPr>
      <t>If the perimeter is in a Deny-by-Default posture and what is allowed through the filter is in accordance with the PPSM CAL and VAs for the enclave, and if the permit rule is explicitly defined with explicit ports and protocols allowed, then all requirements related to the database being blocked would be satisfied.</t>
    </r>
  </si>
  <si>
    <r>
      <rPr>
        <sz val="11"/>
        <color rgb="FF000000"/>
        <rFont val="Calibri"/>
      </rPr>
      <t>Review the perimeter firewall to verify it filters traffic destined to the internal enclave in accordance with the guidelines contained in the PPSM CAL and VAs for the enclave.</t>
    </r>
    <r>
      <rPr>
        <sz val="11"/>
        <color rgb="FF000000"/>
        <rFont val="Calibri"/>
      </rPr>
      <t xml:space="preserve">
</t>
    </r>
    <r>
      <rPr>
        <sz val="11"/>
        <color rgb="FF000000"/>
        <rFont val="Calibri"/>
      </rPr>
      <t>If the perimeter firewall does not filter traffic destined to the internal enclave in accordance with the guidelines contained in the PPSM CAL and VAs for the enclave, this is a finding.</t>
    </r>
  </si>
  <si>
    <t>V-206696</t>
  </si>
  <si>
    <r>
      <rPr>
        <sz val="11"/>
        <rFont val="Calibri"/>
      </rPr>
      <t>The firewall must fail to a secure state upon the failure of the following: system initialization, shutdown, or system abort.</t>
    </r>
  </si>
  <si>
    <r>
      <rPr>
        <sz val="11"/>
        <color rgb="FF000000"/>
        <rFont val="Calibri"/>
      </rPr>
      <t>Configure the firewall to stop forwarding traffic or maintain the configured security policies upon the failure of the following actions: system initialization, shutdown, or system abort.</t>
    </r>
  </si>
  <si>
    <r>
      <rPr>
        <sz val="11"/>
        <color rgb="FF000000"/>
        <rFont val="Calibri"/>
      </rPr>
      <t>Failure to a known safe state helps prevent systems from failing to a state that may cause loss of data or unauthorized access to system resources. Network elements that fail suddenly and with no incorporated failure state planning may leave the hosting system available but with a reduced security protection capability. Preserving the information system state information also facilitates system restart and return to the operational mode of the organization with less disruption to mission-essential processes.</t>
    </r>
  </si>
  <si>
    <r>
      <rPr>
        <sz val="11"/>
        <color rgb="FF000000"/>
        <rFont val="Calibri"/>
      </rPr>
      <t>Verify the firewall stops forwarding traffic or maintains the configured security policies upon the failure of the following: system initialization, shutdown, or system abort.</t>
    </r>
    <r>
      <rPr>
        <sz val="11"/>
        <color rgb="FF000000"/>
        <rFont val="Calibri"/>
      </rPr>
      <t xml:space="preserve">
</t>
    </r>
    <r>
      <rPr>
        <sz val="11"/>
        <color rgb="FF000000"/>
        <rFont val="Calibri"/>
      </rPr>
      <t>If the firewall does not stop forwarding traffic or maintain the configured security policies upon the failure of system initialization, shutdown, or system abort, this is a finding.</t>
    </r>
  </si>
  <si>
    <t>V-206698</t>
  </si>
  <si>
    <r>
      <rPr>
        <sz val="11"/>
        <rFont val="Calibri"/>
      </rPr>
      <t>In the event of a system failure of the firewall function, the firewall must be configured to save diagnostic information, log system messages, and load the most current security policies, rules, and signatures when restarted.</t>
    </r>
  </si>
  <si>
    <r>
      <rPr>
        <sz val="11"/>
        <color rgb="FF000000"/>
        <rFont val="Calibri"/>
      </rPr>
      <t>Configure the firewall to fail securely in the event of a transiently corrupt state or failure condition.</t>
    </r>
    <r>
      <rPr>
        <sz val="11"/>
        <color rgb="FF000000"/>
        <rFont val="Calibri"/>
      </rPr>
      <t xml:space="preserve">
</t>
    </r>
    <r>
      <rPr>
        <sz val="11"/>
        <color rgb="FF000000"/>
        <rFont val="Calibri"/>
      </rPr>
      <t>When the system restarts, the system boot process must not succeed without passing all self-tests for cryptographic algorithms, RNG tests, and software integrity tests.</t>
    </r>
  </si>
  <si>
    <r>
      <rPr>
        <sz val="11"/>
        <color rgb="FF000000"/>
        <rFont val="Calibri"/>
      </rPr>
      <t>Failure to a secure state can address safety or security in accordance with the mission needs of the organization. Failure to a secure state helps prevent a loss of confidentiality, integrity, or availability in the event of a failure of the information system or a component of the system. Preserving state information helps to facilitate the restart of the firewall application and a return to the operational mode with less disruption.</t>
    </r>
    <r>
      <rPr>
        <sz val="11"/>
        <color rgb="FF000000"/>
        <rFont val="Calibri"/>
      </rPr>
      <t xml:space="preserve">
</t>
    </r>
    <r>
      <rPr>
        <sz val="11"/>
        <color rgb="FF000000"/>
        <rFont val="Calibri"/>
      </rPr>
      <t>This requirement applies to a failure of the firewall function rather than the device or operating system as a whole, which is addressed in the Network Device Management SRG.</t>
    </r>
    <r>
      <rPr>
        <sz val="11"/>
        <color rgb="FF000000"/>
        <rFont val="Calibri"/>
      </rPr>
      <t xml:space="preserve">
</t>
    </r>
    <r>
      <rPr>
        <sz val="11"/>
        <color rgb="FF000000"/>
        <rFont val="Calibri"/>
      </rPr>
      <t>Since it is usually not possible to test this functionality in a production environment, systems should be validated either in a testing environment or prior to installation. This requirement is usually a function of the design of the firewall. Compliance can be verified by acceptance/validation processes or vendor attestation.</t>
    </r>
  </si>
  <si>
    <r>
      <rPr>
        <sz val="11"/>
        <color rgb="FF000000"/>
        <rFont val="Calibri"/>
      </rPr>
      <t>View the firewall failover configuration or system documentation.</t>
    </r>
    <r>
      <rPr>
        <sz val="11"/>
        <color rgb="FF000000"/>
        <rFont val="Calibri"/>
      </rPr>
      <t xml:space="preserve">
</t>
    </r>
    <r>
      <rPr>
        <sz val="11"/>
        <color rgb="FF000000"/>
        <rFont val="Calibri"/>
      </rPr>
      <t>Verify that in the event of a system failure of the firewall function, the firewall saves diagnostic information, logs system messages, and loads the most current security policies, rules, and signatures. Testing of this functionality in a production environment is not recommended.</t>
    </r>
    <r>
      <rPr>
        <sz val="11"/>
        <color rgb="FF000000"/>
        <rFont val="Calibri"/>
      </rPr>
      <t xml:space="preserve">
</t>
    </r>
    <r>
      <rPr>
        <sz val="11"/>
        <color rgb="FF000000"/>
        <rFont val="Calibri"/>
      </rPr>
      <t>If in the event of a system failure of the firewall function the firewall does not save diagnostic information, log system messages, and load the most current security policies, rules, and signatures when restarted, this is a finding.</t>
    </r>
  </si>
  <si>
    <t>V-206699</t>
  </si>
  <si>
    <r>
      <rPr>
        <sz val="11"/>
        <rFont val="Calibri"/>
      </rPr>
      <t>The firewall must be configured to send traffic log entries to a central audit server for management and configuration of the traffic log entries.</t>
    </r>
  </si>
  <si>
    <r>
      <rPr>
        <sz val="11"/>
        <color rgb="FF000000"/>
        <rFont val="Calibri"/>
      </rPr>
      <t>Configure the firewall to ensure traffic log entries are transmitted to the organization's central audit server (e.g., syslog server).</t>
    </r>
  </si>
  <si>
    <r>
      <rPr>
        <sz val="11"/>
        <color rgb="FF000000"/>
        <rFont val="Calibri"/>
      </rPr>
      <t>Without the ability to centrally manage the content captured in the traffic log entries, identification, troubleshooting, and correlation of suspicious behavior would be difficult and could lead to a delayed or incomplete analysis of an ongoing attack.</t>
    </r>
    <r>
      <rPr>
        <sz val="11"/>
        <color rgb="FF000000"/>
        <rFont val="Calibri"/>
      </rPr>
      <t xml:space="preserve">
</t>
    </r>
    <r>
      <rPr>
        <sz val="11"/>
        <color rgb="FF000000"/>
        <rFont val="Calibri"/>
      </rPr>
      <t xml:space="preserve">The DoD requires centralized management of all network component audit record content. Network components requiring centralized traffic log management must have the ability to support centralized management. The content captured in traffic log entries must be managed from a central location (necessitating automation). Centralized management of traffic log records and logs provides for efficiency in maintenance and management of records, as well as the backup and archiving of those records. </t>
    </r>
    <r>
      <rPr>
        <sz val="11"/>
        <color rgb="FF000000"/>
        <rFont val="Calibri"/>
      </rPr>
      <t xml:space="preserve">
</t>
    </r>
    <r>
      <rPr>
        <sz val="11"/>
        <color rgb="FF000000"/>
        <rFont val="Calibri"/>
      </rPr>
      <t>Ensure at least one syslog server is configured on the firewall.</t>
    </r>
    <r>
      <rPr>
        <sz val="11"/>
        <color rgb="FF000000"/>
        <rFont val="Calibri"/>
      </rPr>
      <t xml:space="preserve">
</t>
    </r>
    <r>
      <rPr>
        <sz val="11"/>
        <color rgb="FF000000"/>
        <rFont val="Calibri"/>
      </rPr>
      <t>If the product inherently has the ability to store log records locally, the local log must also be secured. However, this requirement is not met since it calls for a use of a central audit server.</t>
    </r>
  </si>
  <si>
    <r>
      <rPr>
        <sz val="11"/>
        <color rgb="FF000000"/>
        <rFont val="Calibri"/>
      </rPr>
      <t>Examine the traffic log configuration on the firewall.</t>
    </r>
    <r>
      <rPr>
        <sz val="11"/>
        <color rgb="FF000000"/>
        <rFont val="Calibri"/>
      </rPr>
      <t xml:space="preserve">
</t>
    </r>
    <r>
      <rPr>
        <sz val="11"/>
        <color rgb="FF000000"/>
        <rFont val="Calibri"/>
      </rPr>
      <t xml:space="preserve">Verify the firewall is configured to send traffic log entries to the organization's central audit server. </t>
    </r>
    <r>
      <rPr>
        <sz val="11"/>
        <color rgb="FF000000"/>
        <rFont val="Calibri"/>
      </rPr>
      <t xml:space="preserve">
</t>
    </r>
    <r>
      <rPr>
        <sz val="11"/>
        <color rgb="FF000000"/>
        <rFont val="Calibri"/>
      </rPr>
      <t>If the firewall is not configured to send traffic log entries to the organization's central audit server, this is a finding.</t>
    </r>
  </si>
  <si>
    <t>V-206700</t>
  </si>
  <si>
    <r>
      <rPr>
        <sz val="11"/>
        <rFont val="Calibri"/>
      </rPr>
      <t>If communication with the central audit server is lost, the firewall must generate a real-time alert to, at a minimum, the systems adminsitrator (SA) and information system security officer (ISSO).</t>
    </r>
  </si>
  <si>
    <r>
      <rPr>
        <sz val="11"/>
        <color rgb="FF000000"/>
        <rFont val="Calibri"/>
      </rPr>
      <t>Configure the firewall (or another network device) to send an alert via instant message, email, or another authorized method to the SA, ISSO, and other identified personnel for any log failure event where the filtering functions are unable to write events to the central audit server.</t>
    </r>
  </si>
  <si>
    <r>
      <rPr>
        <sz val="11"/>
        <color rgb="FF000000"/>
        <rFont val="Calibri"/>
      </rPr>
      <t>Without a real-time alert (less than a second), security personnel may be unaware of an impending failure of the audit functions and system operation may be adversely impacted. Alerts provide organizations with urgent messages. Automated alerts can be conveyed in a variety of ways, including via a regularly monitored console, telephonically, via electronic mail, via text message, or via websites.</t>
    </r>
    <r>
      <rPr>
        <sz val="11"/>
        <color rgb="FF000000"/>
        <rFont val="Calibri"/>
      </rPr>
      <t xml:space="preserve">
</t>
    </r>
    <r>
      <rPr>
        <sz val="11"/>
        <color rgb="FF000000"/>
        <rFont val="Calibri"/>
      </rPr>
      <t>Log processing failures include software/hardware errors, failures in the log capturing mechanisms, and log storage capacity being reached or exceeded. Most firewalls use UDP to send audit records to the server and cannot tell if the server has received the transmission, thus the site should either implement a connection-oriented communications solution (e.g., TCP) or implement a heartbeat with the central audit server and send an alert if it is unreachable.</t>
    </r>
  </si>
  <si>
    <r>
      <rPr>
        <sz val="11"/>
        <color rgb="FF000000"/>
        <rFont val="Calibri"/>
      </rPr>
      <t>If a network device such as the events, network management, or SNMP server is configured to send an alert when communication is lost with the central audit server, this is not a finding.</t>
    </r>
    <r>
      <rPr>
        <sz val="11"/>
        <color rgb="FF000000"/>
        <rFont val="Calibri"/>
      </rPr>
      <t xml:space="preserve">
</t>
    </r>
    <r>
      <rPr>
        <sz val="11"/>
        <color rgb="FF000000"/>
        <rFont val="Calibri"/>
      </rPr>
      <t>Verify the firewall is configured to send an alert via instant message, email, SNMP, or another authorized method to the SA, ISSO, and other identified personnel when communication is lost with the central audit server.</t>
    </r>
    <r>
      <rPr>
        <sz val="11"/>
        <color rgb="FF000000"/>
        <rFont val="Calibri"/>
      </rPr>
      <t xml:space="preserve">
</t>
    </r>
    <r>
      <rPr>
        <sz val="11"/>
        <color rgb="FF000000"/>
        <rFont val="Calibri"/>
      </rPr>
      <t>If the firewall is not configured to send an immediate alert via an approved method when communication is lost with the central audit server, this is a finding.</t>
    </r>
  </si>
  <si>
    <t>V-206701</t>
  </si>
  <si>
    <r>
      <rPr>
        <sz val="11"/>
        <rFont val="Calibri"/>
      </rPr>
      <t>The firewall must employ filters that prevent or limit the effects of all types of commonly known denial-of-service (DoS) attacks, including flooding, packet sweeps, and unauthorized port scanning.</t>
    </r>
  </si>
  <si>
    <r>
      <rPr>
        <sz val="11"/>
        <color rgb="FF000000"/>
        <rFont val="Calibri"/>
      </rPr>
      <t>Configure the firewall to detect and prevent DoS attacks. Implement filters with thresholds that are customized for the specific environment where applicable. DoS filters are based on NIST 800-53 requirements and vendor recommendations.</t>
    </r>
    <r>
      <rPr>
        <sz val="11"/>
        <color rgb="FF000000"/>
        <rFont val="Calibri"/>
      </rPr>
      <t xml:space="preserve">
</t>
    </r>
    <r>
      <rPr>
        <sz val="11"/>
        <color rgb="FF000000"/>
        <rFont val="Calibri"/>
      </rPr>
      <t>The following sample commands show filters that implement this requirement (these are examples only):</t>
    </r>
    <r>
      <rPr>
        <sz val="11"/>
        <color rgb="FF000000"/>
        <rFont val="Calibri"/>
      </rPr>
      <t xml:space="preserve">
</t>
    </r>
    <r>
      <rPr>
        <sz val="11"/>
        <color rgb="FF000000"/>
        <rFont val="Calibri"/>
      </rPr>
      <t>set filter1 icmp ip-sweep threshold 1000</t>
    </r>
    <r>
      <rPr>
        <sz val="11"/>
        <color rgb="FF000000"/>
        <rFont val="Calibri"/>
      </rPr>
      <t xml:space="preserve">
</t>
    </r>
    <r>
      <rPr>
        <sz val="11"/>
        <color rgb="FF000000"/>
        <rFont val="Calibri"/>
      </rPr>
      <t>set filter2 tcp port-scan threshold 1000</t>
    </r>
    <r>
      <rPr>
        <sz val="11"/>
        <color rgb="FF000000"/>
        <rFont val="Calibri"/>
      </rPr>
      <t xml:space="preserve">
</t>
    </r>
    <r>
      <rPr>
        <sz val="11"/>
        <color rgb="FF000000"/>
        <rFont val="Calibri"/>
      </rPr>
      <t>set filter3 tcp syn-flood alarm-threshold 1000</t>
    </r>
    <r>
      <rPr>
        <sz val="11"/>
        <color rgb="FF000000"/>
        <rFont val="Calibri"/>
      </rPr>
      <t xml:space="preserve">
</t>
    </r>
    <r>
      <rPr>
        <sz val="11"/>
        <color rgb="FF000000"/>
        <rFont val="Calibri"/>
      </rPr>
      <t>set filter3 tcp syn-flood attack-threshold 1100</t>
    </r>
    <r>
      <rPr>
        <sz val="11"/>
        <color rgb="FF000000"/>
        <rFont val="Calibri"/>
      </rPr>
      <t xml:space="preserve">
</t>
    </r>
    <r>
      <rPr>
        <sz val="11"/>
        <color rgb="FF000000"/>
        <rFont val="Calibri"/>
      </rPr>
      <t>set filter4 tcp syn-flood source-threshold 100</t>
    </r>
    <r>
      <rPr>
        <sz val="11"/>
        <color rgb="FF000000"/>
        <rFont val="Calibri"/>
      </rPr>
      <t xml:space="preserve">
</t>
    </r>
    <r>
      <rPr>
        <sz val="11"/>
        <color rgb="FF000000"/>
        <rFont val="Calibri"/>
      </rPr>
      <t>set filter5 tcp syn-flood destination-threshold 2048</t>
    </r>
    <r>
      <rPr>
        <sz val="11"/>
        <color rgb="FF000000"/>
        <rFont val="Calibri"/>
      </rPr>
      <t xml:space="preserve">
</t>
    </r>
    <r>
      <rPr>
        <sz val="11"/>
        <color rgb="FF000000"/>
        <rFont val="Calibri"/>
      </rPr>
      <t>set filter6 tcp syn-flood timeout 20</t>
    </r>
    <r>
      <rPr>
        <sz val="11"/>
        <color rgb="FF000000"/>
        <rFont val="Calibri"/>
      </rPr>
      <t xml:space="preserve">
</t>
    </r>
    <r>
      <rPr>
        <sz val="11"/>
        <color rgb="FF000000"/>
        <rFont val="Calibri"/>
      </rPr>
      <t>set filter7 tcp tcp-sweep threshold 1000</t>
    </r>
    <r>
      <rPr>
        <sz val="11"/>
        <color rgb="FF000000"/>
        <rFont val="Calibri"/>
      </rPr>
      <t xml:space="preserve">
</t>
    </r>
    <r>
      <rPr>
        <sz val="11"/>
        <color rgb="FF000000"/>
        <rFont val="Calibri"/>
      </rPr>
      <t>set filter8 udp flood threshold 5000</t>
    </r>
    <r>
      <rPr>
        <sz val="11"/>
        <color rgb="FF000000"/>
        <rFont val="Calibri"/>
      </rPr>
      <t xml:space="preserve">
</t>
    </r>
    <r>
      <rPr>
        <sz val="11"/>
        <color rgb="FF000000"/>
        <rFont val="Calibri"/>
      </rPr>
      <t>set filter9 udp udp-sweep threshold 1000</t>
    </r>
  </si>
  <si>
    <r>
      <rPr>
        <sz val="11"/>
        <color rgb="FF000000"/>
        <rFont val="Calibri"/>
      </rPr>
      <t>Not configuring a key boundary security protection device such as the firewall against commonly known attacks is an immediate threat to the protected enclave because they are easily implemented by those with little skill. Directions for the attack are obtainable on the Internet and in hacker groups. Without filtering enabled for these attacks, the firewall will allow these attacks beyond the protected boundary.</t>
    </r>
    <r>
      <rPr>
        <sz val="11"/>
        <color rgb="FF000000"/>
        <rFont val="Calibri"/>
      </rPr>
      <t xml:space="preserve">
</t>
    </r>
    <r>
      <rPr>
        <sz val="11"/>
        <color rgb="FF000000"/>
        <rFont val="Calibri"/>
      </rPr>
      <t>Configure the perimeter and internal boundary firewall to guard against the three general methods of well-known DoS attacks: flooding attacks, protocol sweeping attacks, and unauthorized port scanning.</t>
    </r>
    <r>
      <rPr>
        <sz val="11"/>
        <color rgb="FF000000"/>
        <rFont val="Calibri"/>
      </rPr>
      <t xml:space="preserve">
</t>
    </r>
    <r>
      <rPr>
        <sz val="11"/>
        <color rgb="FF000000"/>
        <rFont val="Calibri"/>
      </rPr>
      <t>Flood attacks occur when the host receives too much traffic to buffer and slows down or crashes. Popular flood attacks include ICMP flood and SYN flood. A TCP flood attack of SYN packets initiating connection requests can overwhelm the device until it can no longer process legitimate connection requests, resulting in denial of service. An ICMP flood can overload the device with so many echo requests (ping requests) that it expends all its resources responding and can no longer process valid network traffic, also resulting in denial of service. An attacker might use session table floods and SYN-ACK-ACK proxy floods to fill up the session table of a host.</t>
    </r>
    <r>
      <rPr>
        <sz val="11"/>
        <color rgb="FF000000"/>
        <rFont val="Calibri"/>
      </rPr>
      <t xml:space="preserve">
</t>
    </r>
    <r>
      <rPr>
        <sz val="11"/>
        <color rgb="FF000000"/>
        <rFont val="Calibri"/>
      </rPr>
      <t>In an IP address sweep attack, an attacker sends ICMP echo requests (pings) to multiple destination addresses. If a target host replies, the reply reveals the target’s IP address to the attacker. In a TCP sweep attack, an attacker sends TCP SYN packets to the target device as part of the TCP handshake. If the device responds to those packets, the attacker gets an indication that a port in the target device is open, which makes the port vulnerable to attack. In a UDP sweep attack, an attacker sends UDP packets to the target device. If the device responds to those packets, the attacker gets an indication that a port in the target device is open, which makes the port vulnerable to attack.</t>
    </r>
    <r>
      <rPr>
        <sz val="11"/>
        <color rgb="FF000000"/>
        <rFont val="Calibri"/>
      </rPr>
      <t xml:space="preserve">
</t>
    </r>
    <r>
      <rPr>
        <sz val="11"/>
        <color rgb="FF000000"/>
        <rFont val="Calibri"/>
      </rPr>
      <t>In a port scanning attack, an unauthorized application is used to scan the host devices for available services and open ports for subsequent use in an attack. This type of scanning can be used as a DoS attack when the probing packets are sent excessively.</t>
    </r>
  </si>
  <si>
    <r>
      <rPr>
        <sz val="11"/>
        <color rgb="FF000000"/>
        <rFont val="Calibri"/>
      </rPr>
      <t>View the security filters for each interface or security zone.</t>
    </r>
    <r>
      <rPr>
        <sz val="11"/>
        <color rgb="FF000000"/>
        <rFont val="Calibri"/>
      </rPr>
      <t xml:space="preserve">
</t>
    </r>
    <r>
      <rPr>
        <sz val="11"/>
        <color rgb="FF000000"/>
        <rFont val="Calibri"/>
      </rPr>
      <t>Verify DoS filters are configured to detect and prevent known DoS attacks such as IP sweeps, TCP sweeps, buffer overflows, unauthorized port scanning, SYN floods, UDP floods, and UDP sweeps.</t>
    </r>
    <r>
      <rPr>
        <sz val="11"/>
        <color rgb="FF000000"/>
        <rFont val="Calibri"/>
      </rPr>
      <t xml:space="preserve">
</t>
    </r>
    <r>
      <rPr>
        <sz val="11"/>
        <color rgb="FF000000"/>
        <rFont val="Calibri"/>
      </rPr>
      <t>If filters are not configured or if the security zone is not configured with filters that guard against common DoS attacks, this is a finding.</t>
    </r>
  </si>
  <si>
    <t>V-206703</t>
  </si>
  <si>
    <r>
      <rPr>
        <sz val="11"/>
        <rFont val="Calibri"/>
      </rPr>
      <t>The firewall must apply ingress filters to traffic that is inbound to the network through any active external interface.</t>
    </r>
  </si>
  <si>
    <r>
      <rPr>
        <sz val="11"/>
        <color rgb="FF000000"/>
        <rFont val="Calibri"/>
      </rPr>
      <t>Configure a security policy to each inbound zone and/or interface to implement continuous filtering of outbound traffic.</t>
    </r>
    <r>
      <rPr>
        <sz val="11"/>
        <color rgb="FF000000"/>
        <rFont val="Calibri"/>
      </rPr>
      <t xml:space="preserve">
</t>
    </r>
    <r>
      <rPr>
        <sz val="11"/>
        <color rgb="FF000000"/>
        <rFont val="Calibri"/>
      </rPr>
      <t xml:space="preserve">Apply security policy zones/interfaces through which inbound traffic flows from untrusted external networks or subnetworks. </t>
    </r>
    <r>
      <rPr>
        <sz val="11"/>
        <color rgb="FF000000"/>
        <rFont val="Calibri"/>
      </rPr>
      <t xml:space="preserve">
</t>
    </r>
    <r>
      <rPr>
        <sz val="11"/>
        <color rgb="FF000000"/>
        <rFont val="Calibri"/>
      </rPr>
      <t>Configure the ingress filters for the management interface to block all transit traffic (i.e., any traffic not destined to the firewall itself) and so that traffic accessing the firewall originates from the NOC.</t>
    </r>
  </si>
  <si>
    <r>
      <rPr>
        <sz val="11"/>
        <color rgb="FF000000"/>
        <rFont val="Calibri"/>
      </rPr>
      <t>Unrestricted traffic to the trusted networks may contain malicious traffic that poses a threat to an enclave or to other connected networks. Additionally, unrestricted traffic may transit a network, which uses bandwidth and other resources.</t>
    </r>
    <r>
      <rPr>
        <sz val="11"/>
        <color rgb="FF000000"/>
        <rFont val="Calibri"/>
      </rPr>
      <t xml:space="preserve">
</t>
    </r>
    <r>
      <rPr>
        <sz val="11"/>
        <color rgb="FF000000"/>
        <rFont val="Calibri"/>
      </rPr>
      <t>Firewall filters control the flow of network traffic, ensure the flow of traffic is only allowed from authorized sources to authorized destinations. Networks with different levels of trust (e.g., the Internet) must be kept separated.</t>
    </r>
  </si>
  <si>
    <r>
      <rPr>
        <sz val="11"/>
        <color rgb="FF000000"/>
        <rFont val="Calibri"/>
      </rPr>
      <t>Obtain and review the list of authorized sources and destinations. This is usually part of the System Design Specification, Accreditation or Authorization Package, ports, protocols, and services documentation, and Ports, Protocols, and Services Management (PPSM) database.</t>
    </r>
    <r>
      <rPr>
        <sz val="11"/>
        <color rgb="FF000000"/>
        <rFont val="Calibri"/>
      </rPr>
      <t xml:space="preserve">
</t>
    </r>
    <r>
      <rPr>
        <sz val="11"/>
        <color rgb="FF000000"/>
        <rFont val="Calibri"/>
      </rPr>
      <t>If the list of authorized sources and destinations is not available, this is a finding.</t>
    </r>
    <r>
      <rPr>
        <sz val="11"/>
        <color rgb="FF000000"/>
        <rFont val="Calibri"/>
      </rPr>
      <t xml:space="preserve">
</t>
    </r>
    <r>
      <rPr>
        <sz val="11"/>
        <color rgb="FF000000"/>
        <rFont val="Calibri"/>
      </rPr>
      <t>Review the firewall configuration for each of the configured inbound zones and interfaces.</t>
    </r>
    <r>
      <rPr>
        <sz val="11"/>
        <color rgb="FF000000"/>
        <rFont val="Calibri"/>
      </rPr>
      <t xml:space="preserve">
</t>
    </r>
    <r>
      <rPr>
        <sz val="11"/>
        <color rgb="FF000000"/>
        <rFont val="Calibri"/>
      </rPr>
      <t>Verify an ingress filter (e.g., Access Control List) is applied to each inbound zone/interface, including the management interface.</t>
    </r>
    <r>
      <rPr>
        <sz val="11"/>
        <color rgb="FF000000"/>
        <rFont val="Calibri"/>
      </rPr>
      <t xml:space="preserve">
</t>
    </r>
    <r>
      <rPr>
        <sz val="11"/>
        <color rgb="FF000000"/>
        <rFont val="Calibri"/>
      </rPr>
      <t>Verify ingress filters for the management interface to block all transit traffic (i.e., any traffic not destined to the firewall itself). Verify that traffic accessing the firewall originates from the Network Operations Center (NOC).</t>
    </r>
    <r>
      <rPr>
        <sz val="11"/>
        <color rgb="FF000000"/>
        <rFont val="Calibri"/>
      </rPr>
      <t xml:space="preserve">
</t>
    </r>
    <r>
      <rPr>
        <sz val="11"/>
        <color rgb="FF000000"/>
        <rFont val="Calibri"/>
      </rPr>
      <t>If an ingress filter is not configured for each active inbound zone or interface, this is a finding.</t>
    </r>
  </si>
  <si>
    <t>V-206704</t>
  </si>
  <si>
    <r>
      <rPr>
        <sz val="11"/>
        <rFont val="Calibri"/>
      </rPr>
      <t>The firewall must apply egress filters to traffic that is outbound from the network through any internal interface.</t>
    </r>
  </si>
  <si>
    <r>
      <rPr>
        <sz val="11"/>
        <color rgb="FF000000"/>
        <rFont val="Calibri"/>
      </rPr>
      <t>Configure a security policy to each outbound zone and/or interface to implement continuous filtering of outbound traffic.</t>
    </r>
    <r>
      <rPr>
        <sz val="11"/>
        <color rgb="FF000000"/>
        <rFont val="Calibri"/>
      </rPr>
      <t xml:space="preserve">
</t>
    </r>
    <r>
      <rPr>
        <sz val="11"/>
        <color rgb="FF000000"/>
        <rFont val="Calibri"/>
      </rPr>
      <t>Apply security policy zones/interfaces (including the management interface) through which outbound traffic flows to untrusted external networks or subnetworks.</t>
    </r>
  </si>
  <si>
    <r>
      <rPr>
        <sz val="11"/>
        <color rgb="FF000000"/>
        <rFont val="Calibri"/>
      </rPr>
      <t>If outbound communications traffic is not filtered, hostile activity intended to harm other networks or packets from networks destined to unauthorized networks may not be detected and prevented.</t>
    </r>
    <r>
      <rPr>
        <sz val="11"/>
        <color rgb="FF000000"/>
        <rFont val="Calibri"/>
      </rPr>
      <t xml:space="preserve">
</t>
    </r>
    <r>
      <rPr>
        <sz val="11"/>
        <color rgb="FF000000"/>
        <rFont val="Calibri"/>
      </rPr>
      <t>Access control policies and access control lists implemented on devices, such as firewalls, that control the flow of network traffic ensure the flow of traffic is only allowed from authorized sources to authorized destinations. Networks with different levels of trust (e.g., the Internet) must be kept separated.</t>
    </r>
    <r>
      <rPr>
        <sz val="11"/>
        <color rgb="FF000000"/>
        <rFont val="Calibri"/>
      </rPr>
      <t xml:space="preserve">
</t>
    </r>
    <r>
      <rPr>
        <sz val="11"/>
        <color rgb="FF000000"/>
        <rFont val="Calibri"/>
      </rPr>
      <t>This requirement addresses the binding of the egress filter to the interface/zone rather than the content of the egress filter.</t>
    </r>
  </si>
  <si>
    <r>
      <rPr>
        <sz val="11"/>
        <color rgb="FF000000"/>
        <rFont val="Calibri"/>
      </rPr>
      <t>Obtain and review the list of authorized sources and destinations. This is usually part of the System Design Specification, Accreditation or Authorization Package, ports, protocols, and services documentation, and Ports, Protocols, and Services Management (PPSM) database.</t>
    </r>
    <r>
      <rPr>
        <sz val="11"/>
        <color rgb="FF000000"/>
        <rFont val="Calibri"/>
      </rPr>
      <t xml:space="preserve">
</t>
    </r>
    <r>
      <rPr>
        <sz val="11"/>
        <color rgb="FF000000"/>
        <rFont val="Calibri"/>
      </rPr>
      <t xml:space="preserve">If the list of authorized sources and destinations is not available, this is a finding. </t>
    </r>
    <r>
      <rPr>
        <sz val="11"/>
        <color rgb="FF000000"/>
        <rFont val="Calibri"/>
      </rPr>
      <t xml:space="preserve">
</t>
    </r>
    <r>
      <rPr>
        <sz val="11"/>
        <color rgb="FF000000"/>
        <rFont val="Calibri"/>
      </rPr>
      <t>Review the firewall configuration for each of the configured outbound zones and interfaces.</t>
    </r>
    <r>
      <rPr>
        <sz val="11"/>
        <color rgb="FF000000"/>
        <rFont val="Calibri"/>
      </rPr>
      <t xml:space="preserve">
</t>
    </r>
    <r>
      <rPr>
        <sz val="11"/>
        <color rgb="FF000000"/>
        <rFont val="Calibri"/>
      </rPr>
      <t>Verify a security policy is applied to each outbound zone/interface, including the management interface.</t>
    </r>
    <r>
      <rPr>
        <sz val="11"/>
        <color rgb="FF000000"/>
        <rFont val="Calibri"/>
      </rPr>
      <t xml:space="preserve">
</t>
    </r>
    <r>
      <rPr>
        <sz val="11"/>
        <color rgb="FF000000"/>
        <rFont val="Calibri"/>
      </rPr>
      <t>If an egress filter is not configured for each active outbound zone or interface, this is a finding.</t>
    </r>
  </si>
  <si>
    <t>V-206707</t>
  </si>
  <si>
    <r>
      <rPr>
        <sz val="11"/>
        <rFont val="Calibri"/>
      </rPr>
      <t>The premise firewall (located behind the premise router) must block all outbound management traffic.</t>
    </r>
  </si>
  <si>
    <r>
      <rPr>
        <sz val="11"/>
        <color rgb="FF000000"/>
        <rFont val="Calibri"/>
      </rPr>
      <t>With the exception of management traffic destined to perimeter equipment, configure a firewall located behind the premise router to block all outbound management traffic.</t>
    </r>
  </si>
  <si>
    <r>
      <rPr>
        <sz val="11"/>
        <color rgb="FF000000"/>
        <rFont val="Calibri"/>
      </rPr>
      <t xml:space="preserve">The management network must still have its own subnet in order to enforce control and access boundaries provided by Layer 3 network nodes such as routers and firewalls. Management traffic between the managed network elements and the management network is routed via the same links and nodes as that used for production or operational traffic. </t>
    </r>
    <r>
      <rPr>
        <sz val="11"/>
        <color rgb="FF000000"/>
        <rFont val="Calibri"/>
      </rPr>
      <t xml:space="preserve">
</t>
    </r>
    <r>
      <rPr>
        <sz val="11"/>
        <color rgb="FF000000"/>
        <rFont val="Calibri"/>
      </rPr>
      <t>Safeguards must be implemented to ensure that the management traffic does not leak past the managed network's premise equipment. If a firewall is located behind the premise router, all management traffic must be blocked at that point, with the exception of management traffic destined to premise equipment.</t>
    </r>
  </si>
  <si>
    <r>
      <rPr>
        <sz val="11"/>
        <color rgb="FF000000"/>
        <rFont val="Calibri"/>
      </rPr>
      <t>Review the firewall configuration to verify that it is blocking all outbound management traffic.</t>
    </r>
    <r>
      <rPr>
        <sz val="11"/>
        <color rgb="FF000000"/>
        <rFont val="Calibri"/>
      </rPr>
      <t xml:space="preserve">
</t>
    </r>
    <r>
      <rPr>
        <sz val="11"/>
        <color rgb="FF000000"/>
        <rFont val="Calibri"/>
      </rPr>
      <t>If the firewall is not blocking management network from leaking to outside networks, this is a finding.</t>
    </r>
  </si>
  <si>
    <t>V-206708</t>
  </si>
  <si>
    <r>
      <rPr>
        <sz val="11"/>
        <rFont val="Calibri"/>
      </rPr>
      <t>The firewall must restrict traffic entering the VPN tunnels to the management network to only the authorized management packets based on destination address.</t>
    </r>
  </si>
  <si>
    <r>
      <rPr>
        <sz val="11"/>
        <color rgb="FF000000"/>
        <rFont val="Calibri"/>
      </rPr>
      <t>Where IPsec technology is deployed to connect the managed network to the NOC, restrict the traffic entering the tunnels so that only the authorized management packets with authorized destination addresses are permitted.</t>
    </r>
  </si>
  <si>
    <r>
      <rPr>
        <sz val="11"/>
        <color rgb="FF000000"/>
        <rFont val="Calibri"/>
      </rPr>
      <t xml:space="preserve">Protect the management network with a filtering firewall configured to block unauthorized traffic. This requirement is similar to the out-of-band management (OOBM) model, when the production network is managed in-band. The management network could also be housed at a Network Operations Center (NOC) that is located locally or remotely at a single or multiple interconnected sites. </t>
    </r>
    <r>
      <rPr>
        <sz val="11"/>
        <color rgb="FF000000"/>
        <rFont val="Calibri"/>
      </rPr>
      <t xml:space="preserve">
</t>
    </r>
    <r>
      <rPr>
        <sz val="11"/>
        <color rgb="FF000000"/>
        <rFont val="Calibri"/>
      </rPr>
      <t>NOC interconnectivity, as well as connectivity between the NOC and the managed networks’ premise routers, would be enabled using either provisioned circuits or VPN technologies such as IPsec tunnels or MPLS VPN services.</t>
    </r>
  </si>
  <si>
    <r>
      <rPr>
        <sz val="11"/>
        <color rgb="FF000000"/>
        <rFont val="Calibri"/>
      </rPr>
      <t xml:space="preserve">Inspect the architecture diagrams. Inspect the NOC and the managed network. Note that the IPsec tunnel endpoints may be configured on the premise or gateway router, the VPN gateway firewall, or a VPN concentrator. </t>
    </r>
    <r>
      <rPr>
        <sz val="11"/>
        <color rgb="FF000000"/>
        <rFont val="Calibri"/>
      </rPr>
      <t xml:space="preserve">
</t>
    </r>
    <r>
      <rPr>
        <sz val="11"/>
        <color rgb="FF000000"/>
        <rFont val="Calibri"/>
      </rPr>
      <t>Verify that all traffic between the managed network and management network and vice-versa is secured via IPsec encapsulation.</t>
    </r>
    <r>
      <rPr>
        <sz val="11"/>
        <color rgb="FF000000"/>
        <rFont val="Calibri"/>
      </rPr>
      <t xml:space="preserve">
</t>
    </r>
    <r>
      <rPr>
        <sz val="11"/>
        <color rgb="FF000000"/>
        <rFont val="Calibri"/>
      </rPr>
      <t>If the firewall does not restrict traffic entering the VPN tunnels to the management network to only the authorized management packets based on destination address, this is a finding.</t>
    </r>
  </si>
  <si>
    <t>V-206711</t>
  </si>
  <si>
    <r>
      <rPr>
        <sz val="11"/>
        <rFont val="Calibri"/>
      </rPr>
      <t>The firewall must generate an alert that can be forwarded to, at a minimum, the ISSO and ISSM when denial-of-service (DoS) incidents are detected.</t>
    </r>
  </si>
  <si>
    <r>
      <rPr>
        <sz val="11"/>
        <color rgb="FF000000"/>
        <rFont val="Calibri"/>
      </rPr>
      <t>Configure the firewall (or another network device) to send an alert via instant message, email, or another authorized method to the ISSO and ISSM and other identified personnel when DoS incidents are detected.</t>
    </r>
  </si>
  <si>
    <r>
      <rPr>
        <sz val="11"/>
        <color rgb="FF000000"/>
        <rFont val="Calibri"/>
      </rPr>
      <t>Without an alert, security personnel may be unaware of major detection incidents that require immediate action, and this delay may result in the loss or compromise of information.</t>
    </r>
    <r>
      <rPr>
        <sz val="11"/>
        <color rgb="FF000000"/>
        <rFont val="Calibri"/>
      </rPr>
      <t xml:space="preserve">
</t>
    </r>
    <r>
      <rPr>
        <sz val="11"/>
        <color rgb="FF000000"/>
        <rFont val="Calibri"/>
      </rPr>
      <t>The firewall generates an alert that notifies designated personnel of the Indicators of Compromise (IOCs), which require real-time alerts. These messages should include a severity level indicator or code as an indicator of the criticality of the incident. These indicators reflect the occurrence of a compromise or a potential compromise.</t>
    </r>
    <r>
      <rPr>
        <sz val="11"/>
        <color rgb="FF000000"/>
        <rFont val="Calibri"/>
      </rPr>
      <t xml:space="preserve">
</t>
    </r>
    <r>
      <rPr>
        <sz val="11"/>
        <color rgb="FF000000"/>
        <rFont val="Calibri"/>
      </rPr>
      <t>Since these incidents require immediate action, these messages are assigned a critical or level 1 priority/severity, depending on the system's priority schema.</t>
    </r>
    <r>
      <rPr>
        <sz val="11"/>
        <color rgb="FF000000"/>
        <rFont val="Calibri"/>
      </rPr>
      <t xml:space="preserve">
</t>
    </r>
    <r>
      <rPr>
        <sz val="11"/>
        <color rgb="FF000000"/>
        <rFont val="Calibri"/>
      </rPr>
      <t>CJCSM 6510.01B, "Cyber Incident Handling Program", lists nine Cyber Incident and Reportable Event Categories. DoD has determined that categories identified by CJCSM 6510.01B Major Indicators (category 1, 2, 4, or 7 detection events) will require an alert when an event is detected.</t>
    </r>
    <r>
      <rPr>
        <sz val="11"/>
        <color rgb="FF000000"/>
        <rFont val="Calibri"/>
      </rPr>
      <t xml:space="preserve">
</t>
    </r>
    <r>
      <rPr>
        <sz val="11"/>
        <color rgb="FF000000"/>
        <rFont val="Calibri"/>
      </rPr>
      <t>Alerts may be transmitted, for example, telephonically, by electronic mail messages, or by text messaging. The firewall must either send the alert to a management console that is actively monitored by authorized personnel or use a messaging capability to send the alert directly to designated personnel.</t>
    </r>
  </si>
  <si>
    <r>
      <rPr>
        <sz val="11"/>
        <color rgb="FF000000"/>
        <rFont val="Calibri"/>
      </rPr>
      <t>If a network device such as the events, network management, or SNMP server is configured to send an alert when DoS incidents are detected, this is not a finding.</t>
    </r>
    <r>
      <rPr>
        <sz val="11"/>
        <color rgb="FF000000"/>
        <rFont val="Calibri"/>
      </rPr>
      <t xml:space="preserve">
</t>
    </r>
    <r>
      <rPr>
        <sz val="11"/>
        <color rgb="FF000000"/>
        <rFont val="Calibri"/>
      </rPr>
      <t>Verify the firewall is configured to send an alert via instant message, email, SNMP, or another authorized method to the ISSO, ISSM, and other identified personnel when DoS incidents are detected.</t>
    </r>
    <r>
      <rPr>
        <sz val="11"/>
        <color rgb="FF000000"/>
        <rFont val="Calibri"/>
      </rPr>
      <t xml:space="preserve">
</t>
    </r>
    <r>
      <rPr>
        <sz val="11"/>
        <color rgb="FF000000"/>
        <rFont val="Calibri"/>
      </rPr>
      <t>If the firewall is not configured to send an alert via an approved and immediate method when DoS incidents are detected, this is a finding.</t>
    </r>
  </si>
  <si>
    <t>V-206713</t>
  </si>
  <si>
    <r>
      <rPr>
        <sz val="11"/>
        <rFont val="Calibri"/>
      </rPr>
      <t>The firewall must generate traffic log records when traffic is denied, restricted, or discarded.</t>
    </r>
  </si>
  <si>
    <r>
      <rPr>
        <sz val="11"/>
        <color rgb="FF000000"/>
        <rFont val="Calibri"/>
      </rPr>
      <t>Configure the firewall central audit server stanza to generate traffic log records for events when traffic is denied, restricted, or discarded.</t>
    </r>
  </si>
  <si>
    <r>
      <rPr>
        <sz val="11"/>
        <color rgb="FF000000"/>
        <rFont val="Calibri"/>
      </rPr>
      <t>Without generating log records that log usage of objects by subjects and other objects, it would be difficult to establish, correlate, and investigate the events relating to an incident or identify those responsible for one.</t>
    </r>
    <r>
      <rPr>
        <sz val="11"/>
        <color rgb="FF000000"/>
        <rFont val="Calibri"/>
      </rPr>
      <t xml:space="preserve">
</t>
    </r>
    <r>
      <rPr>
        <sz val="11"/>
        <color rgb="FF000000"/>
        <rFont val="Calibri"/>
      </rPr>
      <t>Security objects are data objects that are controlled by security policy and bound to security attributes.</t>
    </r>
    <r>
      <rPr>
        <sz val="11"/>
        <color rgb="FF000000"/>
        <rFont val="Calibri"/>
      </rPr>
      <t xml:space="preserve">
</t>
    </r>
    <r>
      <rPr>
        <sz val="11"/>
        <color rgb="FF000000"/>
        <rFont val="Calibri"/>
      </rPr>
      <t>The firewall must not forward traffic unless it is explicitly permitted via security policy. Logging for firewall security-related sources such as screens and security policies must be configured separately. To ensure security objects such as firewall filters (i.e., rules, access control lists [ACLs], screens, and policies) send events to a syslog server and local logs, security logging must be configured one each firewall term.</t>
    </r>
  </si>
  <si>
    <r>
      <rPr>
        <sz val="11"/>
        <color rgb="FF000000"/>
        <rFont val="Calibri"/>
      </rPr>
      <t>View the configuration of the firewall or the central audit server log records.</t>
    </r>
    <r>
      <rPr>
        <sz val="11"/>
        <color rgb="FF000000"/>
        <rFont val="Calibri"/>
      </rPr>
      <t xml:space="preserve">
</t>
    </r>
    <r>
      <rPr>
        <sz val="11"/>
        <color rgb="FF000000"/>
        <rFont val="Calibri"/>
      </rPr>
      <t>Verify the firewall generates traffic log records when traffic is denied, restricted, or discarded.</t>
    </r>
    <r>
      <rPr>
        <sz val="11"/>
        <color rgb="FF000000"/>
        <rFont val="Calibri"/>
      </rPr>
      <t xml:space="preserve">
</t>
    </r>
    <r>
      <rPr>
        <sz val="11"/>
        <color rgb="FF000000"/>
        <rFont val="Calibri"/>
      </rPr>
      <t>If the firewall does not generate traffic log records for events when traffic is denied, restricted, or discarded, this is a finding.</t>
    </r>
  </si>
  <si>
    <t>V-206714</t>
  </si>
  <si>
    <r>
      <rPr>
        <sz val="11"/>
        <rFont val="Calibri"/>
      </rPr>
      <t>The firewall must generate traffic log records when attempts are made to send packets between security zones that are not authorized to communicate.</t>
    </r>
  </si>
  <si>
    <r>
      <rPr>
        <sz val="11"/>
        <color rgb="FF000000"/>
        <rFont val="Calibri"/>
      </rPr>
      <t>Configure the firewall central audit server stanza to generate traffic log records when attempts are made to send packets between security zones that are not authorized to communicate.</t>
    </r>
  </si>
  <si>
    <r>
      <rPr>
        <sz val="11"/>
        <color rgb="FF000000"/>
        <rFont val="Calibri"/>
      </rPr>
      <t>Without generating log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Access for different security levels maintains separation between resources (particularly stored data) of different security domains.</t>
    </r>
    <r>
      <rPr>
        <sz val="11"/>
        <color rgb="FF000000"/>
        <rFont val="Calibri"/>
      </rPr>
      <t xml:space="preserve">
</t>
    </r>
    <r>
      <rPr>
        <sz val="11"/>
        <color rgb="FF000000"/>
        <rFont val="Calibri"/>
      </rPr>
      <t>The firewall can be configured to use security zones that are configured with different security policies based on risk and trust levels. These zones can be leveraged to prevent traffic from one zone from sending packets to another zone. For example, information from certain IP sources will be rejected if the destination matches specified security zones that are not authorized.</t>
    </r>
  </si>
  <si>
    <r>
      <rPr>
        <sz val="11"/>
        <color rgb="FF000000"/>
        <rFont val="Calibri"/>
      </rPr>
      <t>View the configuration of the firewall or the central audit server log records.</t>
    </r>
    <r>
      <rPr>
        <sz val="11"/>
        <color rgb="FF000000"/>
        <rFont val="Calibri"/>
      </rPr>
      <t xml:space="preserve">
</t>
    </r>
    <r>
      <rPr>
        <sz val="11"/>
        <color rgb="FF000000"/>
        <rFont val="Calibri"/>
      </rPr>
      <t>Verify the firewall generates traffic log records when attempts are made to send packets between security zones that are not authorized to communicate.</t>
    </r>
    <r>
      <rPr>
        <sz val="11"/>
        <color rgb="FF000000"/>
        <rFont val="Calibri"/>
      </rPr>
      <t xml:space="preserve">
</t>
    </r>
    <r>
      <rPr>
        <sz val="11"/>
        <color rgb="FF000000"/>
        <rFont val="Calibri"/>
      </rPr>
      <t>If the firewall does not generate traffic log records when attempts are made to send packets between security zones that are not authorized to communicate, this is a finding.</t>
    </r>
  </si>
  <si>
    <t>V-223011</t>
  </si>
  <si>
    <r>
      <rPr>
        <sz val="11"/>
        <rFont val="Calibri"/>
      </rPr>
      <t>The firewall must be configured to inspect all inbound and outbound traffic at the application layer.</t>
    </r>
  </si>
  <si>
    <r>
      <rPr>
        <sz val="11"/>
        <color rgb="FF000000"/>
        <rFont val="Calibri"/>
      </rPr>
      <t>Configure the firewall to inspect all inbound and outbound traffic at the application layer.</t>
    </r>
  </si>
  <si>
    <r>
      <rPr>
        <sz val="11"/>
        <color rgb="FF000000"/>
        <rFont val="Calibri"/>
      </rPr>
      <t>Application inspection enables the firewall to control traffic based on different parameters that exist within the packets such as enforcing application-specific message and field length. Inspection provides improved protection against application-based attacks by restricting the types of commands allowed for the applications. Application inspection all enforces conformance against published RFCs.</t>
    </r>
    <r>
      <rPr>
        <sz val="11"/>
        <color rgb="FF000000"/>
        <rFont val="Calibri"/>
      </rPr>
      <t xml:space="preserve">
</t>
    </r>
    <r>
      <rPr>
        <sz val="11"/>
        <color rgb="FF000000"/>
        <rFont val="Calibri"/>
      </rPr>
      <t>Some applications embed an IP address in the packet that needs to match the source address that is normally translated when it goes through the firewall. Enabling application inspection for a service that embeds IP addresses, the firewall translates embedded addresses and updates any checksum or other fields that are affected by the translation. Enabling application inspection for a service that uses dynamically assigned ports, the firewall monitors sessions to identify the dynamic port assignments, and permits data exchange on these ports for the duration of the specific session.</t>
    </r>
  </si>
  <si>
    <r>
      <rPr>
        <sz val="11"/>
        <color rgb="FF000000"/>
        <rFont val="Calibri"/>
      </rPr>
      <t>Review the firewall configuration to verify that inspection for applications deployed within the network is being performed on all interfaces.</t>
    </r>
    <r>
      <rPr>
        <sz val="11"/>
        <color rgb="FF000000"/>
        <rFont val="Calibri"/>
      </rPr>
      <t xml:space="preserve">
</t>
    </r>
    <r>
      <rPr>
        <sz val="11"/>
        <color rgb="FF000000"/>
        <rFont val="Calibri"/>
      </rPr>
      <t>If the firewall is not configured to inspect all inbound and outbound traffic at the application layer, this is a finding.</t>
    </r>
  </si>
  <si>
    <t>V-223012</t>
  </si>
  <si>
    <r>
      <rPr>
        <sz val="11"/>
        <rFont val="Calibri"/>
      </rPr>
      <t>The firewall must be configured to inspect all inbound and outbound IPv6 traffic for unknown or out-of-order extension headers.</t>
    </r>
  </si>
  <si>
    <r>
      <rPr>
        <sz val="11"/>
        <color rgb="FF000000"/>
        <rFont val="Calibri"/>
      </rPr>
      <t>IPv6 packets with unknown extension headers as well as out-of-order headers can create denial-of-service attacks for other networking components as well as host devices. IPv6 inspection can check conformance to RFC 2460 enforcing the order extension headers. While routers only need to examine the IPv6 destination address and the Hop-by-Hop Options header, firewalls  should must recognize and parse through all existing extension headers since the upper-layer protocol information reside in the last header. An attacker is able to chain lots of extension headers in order to pass firewall- &amp; intrusion detections. An attacker can cause a denial of service if an intermediary device or destination host is not capable of processing an extensive or out-of-order chaine of extension headers. Hence it is imperative, that the firewall is configured to drop packets with unknown or out-of-order headers.</t>
    </r>
  </si>
  <si>
    <r>
      <rPr>
        <sz val="11"/>
        <color rgb="FF000000"/>
        <rFont val="Calibri"/>
      </rPr>
      <t>Review the firewall configuration to verify that IPv6 inspection is being performed on all interfaces.</t>
    </r>
    <r>
      <rPr>
        <sz val="11"/>
        <color rgb="FF000000"/>
        <rFont val="Calibri"/>
      </rPr>
      <t xml:space="preserve">
</t>
    </r>
    <r>
      <rPr>
        <sz val="11"/>
        <color rgb="FF000000"/>
        <rFont val="Calibri"/>
      </rPr>
      <t>If the firewall is not configujred to inspect all inbound and outbound IPv6 traffic for unknown or out-of-order extension headers, this is a finding.</t>
    </r>
  </si>
  <si>
    <t>V-223013</t>
  </si>
  <si>
    <r>
      <rPr>
        <sz val="11"/>
        <rFont val="Calibri"/>
      </rPr>
      <t>The firewall must be configured to restrict it from accepting outbound packets that contain an illegitimate address in the source address field via an egress filter or by enabling Unicast Reverse Path Forwarding (uRPF).</t>
    </r>
  </si>
  <si>
    <r>
      <rPr>
        <sz val="11"/>
        <color rgb="FF000000"/>
        <rFont val="Calibri"/>
      </rPr>
      <t>Configure the firewall with an egress filter or uRPF on all internal interfaces to restrict the firewall from accepting any outbound packet that contains an  illegitimate address in the source field.</t>
    </r>
  </si>
  <si>
    <r>
      <rPr>
        <sz val="11"/>
        <color rgb="FF000000"/>
        <rFont val="Calibri"/>
      </rPr>
      <t>A compromised host in an enclave can be used by a malicious platform to launch cyberattacks on third parties. This is a common practice in "botnets", which are a collection of compromised computers using malware to attack other computers or networks. DDoS attacks frequently leverage IP source address spoofing to send packets to multiple hosts that in turn will then send return traffic to the hosts with the IP addresses that were forged. This can generate significant amounts of traffic. Therefore, protection measures to counteract IP source address spoofing must be taken. When uRPF is enabled in strict mode, the packet must be received on the interface that the device would use to forward the return packet; thereby mitigating IP source address spoofing.</t>
    </r>
  </si>
  <si>
    <r>
      <rPr>
        <sz val="11"/>
        <color rgb="FF000000"/>
        <rFont val="Calibri"/>
      </rPr>
      <t>Review the firewall configuration to verify uRPF or an egress filter has been configured on all internal interfaces to restrict the firewall from accepting outbound packets that contain an illegitimate address in the source address field.</t>
    </r>
    <r>
      <rPr>
        <sz val="11"/>
        <color rgb="FF000000"/>
        <rFont val="Calibri"/>
      </rPr>
      <t xml:space="preserve">
</t>
    </r>
    <r>
      <rPr>
        <sz val="11"/>
        <color rgb="FF000000"/>
        <rFont val="Calibri"/>
      </rPr>
      <t>If uRPF or an egress ACL to restrict the firewall from accepting outbound IP packets that contain an illegitimate address in the source address field has not been configured on all internal interfaces, this is a finding.</t>
    </r>
  </si>
  <si>
    <t>V-263647</t>
  </si>
  <si>
    <r>
      <rPr>
        <sz val="11"/>
        <rFont val="Calibri"/>
      </rPr>
      <t>The firewall must be configured to employ organization-defined controls by type of denial-of-service (DoS) to achieve the DoS objective.</t>
    </r>
  </si>
  <si>
    <r>
      <rPr>
        <sz val="11"/>
        <color rgb="FF000000"/>
        <rFont val="Calibri"/>
      </rPr>
      <t>Configure the firewall to employ organization-defined controls by type of DoS to achieve the DoS objective.</t>
    </r>
  </si>
  <si>
    <r>
      <rPr>
        <sz val="11"/>
        <color rgb="FF000000"/>
        <rFont val="Calibri"/>
      </rPr>
      <t>DoS events may occur due to a variety of internal and external causes, such as an attack by an adversary or a lack of planning to support organizational needs with respect to capacity and bandwidth. Such attacks can occur across a wide range of network protocols (e.g., IPv4, IPv6). A variety of technologies are available to limit or eliminate the origination and effects of DoS events. For example, boundary protection devices can filter certain types of packets to protect system components on internal networks from being directly affected by or the source of DoS attacks. Employing increased network capacity and bandwidth combined with service redundancy also reduces the susceptibility to DoS events.</t>
    </r>
  </si>
  <si>
    <r>
      <rPr>
        <sz val="11"/>
        <color rgb="FF000000"/>
        <rFont val="Calibri"/>
      </rPr>
      <t>Verify the firewall is configured to employ organization-defined controls by type of DoS to achieve the DoS objective.</t>
    </r>
    <r>
      <rPr>
        <sz val="11"/>
        <color rgb="FF000000"/>
        <rFont val="Calibri"/>
      </rPr>
      <t xml:space="preserve">
</t>
    </r>
    <r>
      <rPr>
        <sz val="11"/>
        <color rgb="FF000000"/>
        <rFont val="Calibri"/>
      </rPr>
      <t>If the firewall is not configured to employ organization-defined controls by type of DoS to achieve the DoS objective, this is a finding.</t>
    </r>
  </si>
  <si>
    <t>V-263648</t>
  </si>
  <si>
    <r>
      <rPr>
        <sz val="11"/>
        <rFont val="Calibri"/>
      </rPr>
      <t>The firewall must be configured to implement physically or logically separate subnetworks to isolate organization-defined critical system components and functions.</t>
    </r>
  </si>
  <si>
    <r>
      <rPr>
        <sz val="11"/>
        <color rgb="FF000000"/>
        <rFont val="Calibri"/>
      </rPr>
      <t>Configure the firewall to implement physically or logically separate subnetworks to isolate organization-defined critical system components and functions.</t>
    </r>
  </si>
  <si>
    <r>
      <rPr>
        <sz val="11"/>
        <color rgb="FF000000"/>
        <rFont val="Calibri"/>
      </rPr>
      <t>Separating critical system components and functions from other noncritical system components and functions through separate subnetworks may be necessary to reduce susceptibility to a catastrophic or debilitating breach or compromise that results in system failure. For example, physically separating the command and control function from the in-flight entertainment function through separate subnetworks in a commercial aircraft provides an increased level of assurance in the trustworthiness of critical system functions.</t>
    </r>
    <r>
      <rPr>
        <sz val="11"/>
        <color rgb="FF000000"/>
        <rFont val="Calibri"/>
      </rPr>
      <t xml:space="preserve">
</t>
    </r>
    <r>
      <rPr>
        <sz val="11"/>
        <color rgb="FF000000"/>
        <rFont val="Calibri"/>
      </rPr>
      <t>This requirement also applies to Zero Trust initiatives.</t>
    </r>
  </si>
  <si>
    <r>
      <rPr>
        <sz val="11"/>
        <color rgb="FF000000"/>
        <rFont val="Calibri"/>
      </rPr>
      <t>Verify the firewall is configured to implement physically or logically separate subnetworks to isolate organization-defined critical system components and functions.</t>
    </r>
    <r>
      <rPr>
        <sz val="11"/>
        <color rgb="FF000000"/>
        <rFont val="Calibri"/>
      </rPr>
      <t xml:space="preserve">
</t>
    </r>
    <r>
      <rPr>
        <sz val="11"/>
        <color rgb="FF000000"/>
        <rFont val="Calibri"/>
      </rPr>
      <t>If the firewall is not configured to implement physically or logically separate subnetworks to isolate organization-defined critical system components and functions, this is a finding.</t>
    </r>
  </si>
  <si>
    <t>V-263649</t>
  </si>
  <si>
    <r>
      <rPr>
        <sz val="11"/>
        <rFont val="Calibri"/>
      </rPr>
      <t>The firewall must be configured to establish organization-defined alternate communications paths for system operations organizational command and control.</t>
    </r>
  </si>
  <si>
    <r>
      <rPr>
        <sz val="11"/>
        <color rgb="FF000000"/>
        <rFont val="Calibri"/>
      </rPr>
      <t>Configure the firewall to establish organization-defined alternate communications paths for system operations organizational command and control.</t>
    </r>
  </si>
  <si>
    <r>
      <rPr>
        <sz val="11"/>
        <color rgb="FF000000"/>
        <rFont val="Calibri"/>
      </rPr>
      <t>An incident, whether adversarial- or nonadversarial-based, can disrupt established communications paths used for system operations and organizational command and control. Alternate communications paths reduce the risk of all communications paths being affected by the same incident. To compound the problem, the inability of organizational officials to obtain timely information about disruptions or to provide timely direction to operational elements after a communications path incident, can impact the ability of the organization to respond to such incidents in a timely manner. Establishing alternate communications paths for command and control purposes, including designating alternative decision makers if primary decision makers are unavailable and establishing the extent and limitations of their actions, can greatly facilitate the organization's ability to continue to operate and take appropriate actions during an incident.</t>
    </r>
  </si>
  <si>
    <r>
      <rPr>
        <sz val="11"/>
        <color rgb="FF000000"/>
        <rFont val="Calibri"/>
      </rPr>
      <t>Verify the firewall is configured to establish organization-defined alternate communications paths for system operations organizational command and control.</t>
    </r>
    <r>
      <rPr>
        <sz val="11"/>
        <color rgb="FF000000"/>
        <rFont val="Calibri"/>
      </rPr>
      <t xml:space="preserve">
</t>
    </r>
    <r>
      <rPr>
        <sz val="11"/>
        <color rgb="FF000000"/>
        <rFont val="Calibri"/>
      </rPr>
      <t>If the firewall is not configured to establish organization-defined alternate communications paths for system operations organizational command and control, this is a finding.</t>
    </r>
  </si>
  <si>
    <t>V-278972</t>
  </si>
  <si>
    <r>
      <rPr>
        <sz val="11"/>
        <rFont val="Calibri"/>
      </rPr>
      <t>The firewall must use organization-defined security attributes associated with organization-defined information, source, and destination objects to enforce organization-defined information flow control policies as a basis for flow control decisions.</t>
    </r>
  </si>
  <si>
    <r>
      <rPr>
        <sz val="11"/>
        <color rgb="FF000000"/>
        <rFont val="Calibri"/>
      </rPr>
      <t>Configure the firewall to use organization-defined security attributes associated with organization-defined information, source, and destination objects to enforce organization-defined information flow control policies as a basis for flow control decisions.</t>
    </r>
  </si>
  <si>
    <r>
      <rPr>
        <sz val="11"/>
        <color rgb="FF000000"/>
        <rFont val="Calibri"/>
      </rPr>
      <t xml:space="preserve">A mechanism to detect and prevent unauthorized communication flow must be configured or provided as part of the system design. If information flow is not enforced based on approved authorizations, the system may become compromised. Information flow control regulates where information is allowed to travel within a system and between interconnected systems. Security attributes may be used to manage information flow control. </t>
    </r>
    <r>
      <rPr>
        <sz val="11"/>
        <color rgb="FF000000"/>
        <rFont val="Calibri"/>
      </rPr>
      <t xml:space="preserve">
</t>
    </r>
    <r>
      <rPr>
        <sz val="11"/>
        <color rgb="FF000000"/>
        <rFont val="Calibri"/>
      </rPr>
      <t>Information flow enforcement mechanisms compare security attributes associated with information (data content and data structure) and source/destination objects, and respond appropriately (e.g., block, quarantine, alert administrator) when the mechanisms encounter information flows not allowed by information flow policies. For example, an information object labeled Secret would be allowed to flow to a destination object labeled Secret, but an information object labeled Top Secret would not be allowed to flow to a destination object labeled Secret. Security attributes can also include, for example, source and destination addresses employed in traffic filter firewalls. Flow enforcement using security attributes can be used, for example, to control the release of certain types of information.</t>
    </r>
    <r>
      <rPr>
        <sz val="11"/>
        <color rgb="FF000000"/>
        <rFont val="Calibri"/>
      </rPr>
      <t xml:space="preserve">
</t>
    </r>
    <r>
      <rPr>
        <sz val="11"/>
        <color rgb="FF000000"/>
        <rFont val="Calibri"/>
      </rPr>
      <t>This requirement also applies to Zero Trust initiatives.</t>
    </r>
  </si>
  <si>
    <r>
      <rPr>
        <sz val="11"/>
        <color rgb="FF000000"/>
        <rFont val="Calibri"/>
      </rPr>
      <t>Verify the firewall is configured to use organization-defined security attributes associated with organization-defined information, source, and destination objects to enforce organization-defined information flow control policies as a basis for flow control decisions.</t>
    </r>
    <r>
      <rPr>
        <sz val="11"/>
        <color rgb="FF000000"/>
        <rFont val="Calibri"/>
      </rPr>
      <t xml:space="preserve">
</t>
    </r>
    <r>
      <rPr>
        <sz val="11"/>
        <color rgb="FF000000"/>
        <rFont val="Calibri"/>
      </rPr>
      <t>If the firewall does not use organization-defined security attributes to enforce information flow control policies as a basis for flow control decisions,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</si>
  <si>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</si>
  <si>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</si>
  <si>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</si>
  <si>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</si>
  <si>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</si>
  <si>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</si>
  <si>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</si>
  <si>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</si>
  <si>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</si>
  <si>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</si>
  <si>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</si>
  <si>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</si>
  <si>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</si>
  <si>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</si>
  <si>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</si>
  <si>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</si>
  <si>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</si>
  <si>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</si>
  <si>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</si>
  <si>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</si>
  <si>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</si>
  <si>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</si>
  <si>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</si>
  <si>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</si>
  <si>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</si>
  <si>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</si>
  <si>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</si>
  <si>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</si>
  <si>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</si>
  <si>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Firewall Security Requirements Guide V3R3</t>
  </si>
  <si>
    <t>Developed By:</t>
  </si>
  <si>
    <t>Defense Information Systems Agency (DISA) for the US DoD</t>
  </si>
  <si>
    <t>Release Information:</t>
  </si>
  <si>
    <r>
      <rPr>
        <b/>
        <sz val="11"/>
        <color rgb="FF000000"/>
        <rFont val="Calibri"/>
      </rPr>
      <t>Version:</t>
    </r>
    <r>
      <rPr>
        <sz val="11"/>
        <color rgb="FF000000"/>
        <rFont val="Calibri"/>
      </rPr>
      <t xml:space="preserve"> V3R3    </t>
    </r>
    <r>
      <rPr>
        <b/>
        <sz val="11"/>
        <color rgb="FF000000"/>
        <rFont val="Calibri"/>
      </rPr>
      <t>Date:</t>
    </r>
    <r>
      <rPr>
        <sz val="11"/>
        <color rgb="FF000000"/>
        <rFont val="Calibri"/>
      </rPr>
      <t xml:space="preserve"> 28 October 2025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35</t>
    </r>
  </si>
  <si>
    <t>Download Url:</t>
  </si>
  <si>
    <t>https://www.cyber.mil/stigs</t>
  </si>
  <si>
    <t>Guide Overview:</t>
  </si>
  <si>
    <r>
      <rPr>
        <sz val="11"/>
        <color rgb="FF000000"/>
        <rFont val="Calibri"/>
      </rPr>
      <t>This Firewall Security Requirements Guide (SRG) provides the technical security policies and requirements for applying security concepts to firewall implementations. This SRG is applicable to the network-level firewall that provides packet and stateful filtering of network traffic up to and including Layer 4 of the OSI model. Layer 7 firewalls (such as Application Layer, Web, and Database) and host-based firewalls are not within the scope of this SRG.</t>
    </r>
    <r>
      <rPr>
        <sz val="11"/>
        <color rgb="FF000000"/>
        <rFont val="Calibri"/>
      </rPr>
      <t xml:space="preserve">
</t>
    </r>
    <r>
      <rPr>
        <sz val="11"/>
        <color rgb="FF000000"/>
        <rFont val="Calibri"/>
      </rPr>
      <t>The focus of the Firewall SRG is the configuration of the firewall application to protect network traffic. The firewalls are often included as part of other boundary control devices (e.g., VPNs and routers); therefore, this document will often be used in conjunction with other security guides to secure a network device. If an attacker can compromise the firewall, it can be rendered useless in detecting subsequent attacks against other hosts; thus, the device itself is often the target of attack. Therefore, the Network Device Management (NDM) SRG (appliance versions) or the applicable Operating System SRG (hosted version) is also an essential part of the security review.</t>
    </r>
    <r>
      <rPr>
        <sz val="11"/>
        <color rgb="FF000000"/>
        <rFont val="Calibri"/>
      </rPr>
      <t xml:space="preserve">
</t>
    </r>
    <r>
      <rPr>
        <sz val="11"/>
        <color rgb="FF000000"/>
        <rFont val="Calibri"/>
      </rPr>
      <t>The core functionality of a firewall is to provide initial traffic inspection and filtering at the internal and external security boundaries of the network, allowing or disallowing access based on an examination of the traffic content. The firewall enforces the security and access control policy between networks by examining all inbound and outbound packets for security threats.</t>
    </r>
    <r>
      <rPr>
        <sz val="11"/>
        <color rgb="FF000000"/>
        <rFont val="Calibri"/>
      </rPr>
      <t xml:space="preserve">
</t>
    </r>
    <r>
      <rPr>
        <sz val="11"/>
        <color rgb="FF000000"/>
        <rFont val="Calibri"/>
      </rPr>
      <t>The variety of implementation architectures of the network firewall presents a challenge for assessing the scope and applicability of security controls. Firewalls can be implemented as hardwarebased or software-based systems. Hardware firewalls are dedicated network appliances with preinstalled security software. Software firewalls, on the other hand, can usually be installed on any available server that is equipped with a general-purpose network operating system, such as Windows or Linux. Firewall functionality is also usually included in routers, switches, or other network devices. Firewalls are often combined with other functionalities, such as VPN, including IPsec VPN, Domain Name System (DNS), antivirus, routing, Intrusion Detection System (IDS), and Network Address Translation (NAT). The Firewall SRG addresses the firewall functionality only. If other functions are implemented by the firewall device, the security requirements for that functionality must also be applied using additional SRGs and/or Security Technical Implementation Guides (STIGs). SRG requirements must be considered depending on the specific implementation of the firewall and the location of the installation (e.g., regional enclave, enterprise data center, or local network).</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</si>
  <si>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</si>
  <si>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</si>
  <si>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</si>
  <si>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</si>
  <si>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</si>
  <si>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</si>
  <si>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</si>
  <si>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</si>
  <si>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</si>
  <si>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</si>
  <si>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</si>
  <si>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</si>
  <si>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</si>
  <si>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</si>
  <si>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</si>
  <si>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</si>
  <si>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</si>
  <si>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</si>
  <si>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</si>
  <si>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</si>
  <si>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</si>
  <si>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</si>
  <si>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Firewall Security Requirements Guide V3R3</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</si>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</sst>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3BD7-4A4C-87D4-C1A339005811}"/>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3BD7-4A4C-87D4-C1A339005811}"/>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35</c:v>
                </c:pt>
              </c:numCache>
            </c:numRef>
          </c:val>
          <c:extLst>
            <c:ext xmlns:c16="http://schemas.microsoft.com/office/drawing/2014/chart" uri="{C3380CC4-5D6E-409C-BE32-E72D297353CC}">
              <c16:uniqueId val="{00000002-3BD7-4A4C-87D4-C1A339005811}"/>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2D1D-4561-8D19-0198A4C648A7}"/>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2D1D-4561-8D19-0198A4C648A7}"/>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35</c:v>
                </c:pt>
              </c:numCache>
            </c:numRef>
          </c:val>
          <c:extLst>
            <c:ext xmlns:c16="http://schemas.microsoft.com/office/drawing/2014/chart" uri="{C3380CC4-5D6E-409C-BE32-E72D297353CC}">
              <c16:uniqueId val="{00000002-2D1D-4561-8D19-0198A4C648A7}"/>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BC06-4B87-B6DE-40A2C8973713}"/>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BC06-4B87-B6DE-40A2C8973713}"/>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3</c:v>
                </c:pt>
                <c:pt idx="1">
                  <c:v>30</c:v>
                </c:pt>
                <c:pt idx="2">
                  <c:v>2</c:v>
                </c:pt>
              </c:numCache>
            </c:numRef>
          </c:val>
          <c:extLst>
            <c:ext xmlns:c16="http://schemas.microsoft.com/office/drawing/2014/chart" uri="{C3380CC4-5D6E-409C-BE32-E72D297353CC}">
              <c16:uniqueId val="{00000002-BC06-4B87-B6DE-40A2C8973713}"/>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FEB7-4AC0-83D1-80384D4440D1}"/>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FEB7-4AC0-83D1-80384D4440D1}"/>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35</c:v>
                </c:pt>
              </c:numCache>
            </c:numRef>
          </c:val>
          <c:extLst>
            <c:ext xmlns:c16="http://schemas.microsoft.com/office/drawing/2014/chart" uri="{C3380CC4-5D6E-409C-BE32-E72D297353CC}">
              <c16:uniqueId val="{00000002-FEB7-4AC0-83D1-80384D4440D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B1A8-497F-8C9F-768F81FFF450}"/>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B1A8-497F-8C9F-768F81FFF450}"/>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35</c:v>
                </c:pt>
              </c:numCache>
            </c:numRef>
          </c:val>
          <c:extLst>
            <c:ext xmlns:c16="http://schemas.microsoft.com/office/drawing/2014/chart" uri="{C3380CC4-5D6E-409C-BE32-E72D297353CC}">
              <c16:uniqueId val="{00000002-B1A8-497F-8C9F-768F81FFF450}"/>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4E2E-461A-AF15-A669039F4A43}"/>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4E2E-461A-AF15-A669039F4A43}"/>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4E2E-461A-AF15-A669039F4A43}"/>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4E2E-461A-AF15-A669039F4A43}"/>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20D6-4FEE-88B8-6E86CF2792CA}"/>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xuydgc">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qap4yi">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xf0qjk">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krsdth">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fuqajj">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wa4cfj">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q4eupa">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36">
  <autoFilter ref="A1:M36"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195</v>
      </c>
    </row>
    <row r="3" spans="2:3" ht="15" customHeight="1" x14ac:dyDescent="0.35"/>
    <row r="4" spans="2:3" ht="58" x14ac:dyDescent="0.35">
      <c r="B4" s="18" t="s">
        <v>196</v>
      </c>
      <c r="C4" s="19" t="s">
        <v>197</v>
      </c>
    </row>
    <row r="5" spans="2:3" x14ac:dyDescent="0.35">
      <c r="C5" s="19" t="s">
        <v>198</v>
      </c>
    </row>
    <row r="6" spans="2:3" x14ac:dyDescent="0.35">
      <c r="C6" s="16" t="s">
        <v>199</v>
      </c>
    </row>
    <row r="7" spans="2:3" ht="10" customHeight="1" x14ac:dyDescent="0.35"/>
    <row r="8" spans="2:3" ht="232" x14ac:dyDescent="0.35">
      <c r="B8" s="20" t="s">
        <v>200</v>
      </c>
      <c r="C8" s="19" t="s">
        <v>201</v>
      </c>
    </row>
    <row r="9" spans="2:3" ht="10" customHeight="1" x14ac:dyDescent="0.35"/>
    <row r="10" spans="2:3" ht="35" customHeight="1" x14ac:dyDescent="0.35">
      <c r="B10" s="20" t="s">
        <v>202</v>
      </c>
      <c r="C10" s="19" t="s">
        <v>203</v>
      </c>
    </row>
    <row r="11" spans="2:3" ht="75" customHeight="1" x14ac:dyDescent="0.35">
      <c r="B11" s="16" t="s">
        <v>19</v>
      </c>
      <c r="C11" s="19" t="s">
        <v>204</v>
      </c>
    </row>
    <row r="12" spans="2:3" ht="47" customHeight="1" x14ac:dyDescent="0.35">
      <c r="B12" s="16" t="s">
        <v>19</v>
      </c>
      <c r="C12" s="19" t="s">
        <v>205</v>
      </c>
    </row>
    <row r="13" spans="2:3" ht="35" customHeight="1" x14ac:dyDescent="0.35">
      <c r="B13" s="16" t="s">
        <v>19</v>
      </c>
      <c r="C13" s="19" t="s">
        <v>206</v>
      </c>
    </row>
    <row r="14" spans="2:3" ht="32" customHeight="1" x14ac:dyDescent="0.35">
      <c r="B14" s="16" t="s">
        <v>19</v>
      </c>
      <c r="C14" s="19" t="s">
        <v>207</v>
      </c>
    </row>
    <row r="15" spans="2:3" ht="30" customHeight="1" x14ac:dyDescent="0.35">
      <c r="B15" s="16" t="s">
        <v>19</v>
      </c>
      <c r="C15" s="19" t="s">
        <v>208</v>
      </c>
    </row>
    <row r="16" spans="2:3" ht="10" customHeight="1" x14ac:dyDescent="0.35"/>
    <row r="17" spans="1:3" ht="145" customHeight="1" x14ac:dyDescent="0.35">
      <c r="B17" s="20" t="s">
        <v>209</v>
      </c>
      <c r="C17" s="19" t="s">
        <v>210</v>
      </c>
    </row>
    <row r="18" spans="1:3" ht="10" customHeight="1" x14ac:dyDescent="0.35"/>
    <row r="19" spans="1:3" ht="3" customHeight="1" x14ac:dyDescent="0.35">
      <c r="B19" s="21"/>
      <c r="C19" s="21"/>
    </row>
    <row r="20" spans="1:3" ht="12" customHeight="1" x14ac:dyDescent="0.35"/>
    <row r="21" spans="1:3" ht="35" customHeight="1" x14ac:dyDescent="0.35">
      <c r="A21" s="23"/>
      <c r="B21" s="24" t="s">
        <v>211</v>
      </c>
      <c r="C21" s="25" t="s">
        <v>212</v>
      </c>
    </row>
    <row r="22" spans="1:3" ht="18" customHeight="1" x14ac:dyDescent="0.35">
      <c r="A22" s="23"/>
      <c r="B22" s="23" t="s">
        <v>19</v>
      </c>
      <c r="C22" s="25" t="s">
        <v>213</v>
      </c>
    </row>
    <row r="23" spans="1:3" ht="18" customHeight="1" x14ac:dyDescent="0.35">
      <c r="A23" s="23"/>
      <c r="B23" s="23" t="s">
        <v>19</v>
      </c>
      <c r="C23" s="25" t="s">
        <v>214</v>
      </c>
    </row>
    <row r="24" spans="1:3" ht="18" customHeight="1" x14ac:dyDescent="0.35">
      <c r="A24" s="23"/>
      <c r="B24" s="23" t="s">
        <v>19</v>
      </c>
      <c r="C24" s="25" t="s">
        <v>215</v>
      </c>
    </row>
    <row r="25" spans="1:3" ht="18" customHeight="1" x14ac:dyDescent="0.35">
      <c r="A25" s="23"/>
      <c r="B25" s="23" t="s">
        <v>19</v>
      </c>
      <c r="C25" s="25" t="s">
        <v>216</v>
      </c>
    </row>
    <row r="26" spans="1:3" ht="18" customHeight="1" x14ac:dyDescent="0.35">
      <c r="A26" s="23"/>
      <c r="B26" s="23" t="s">
        <v>19</v>
      </c>
      <c r="C26" s="25" t="s">
        <v>217</v>
      </c>
    </row>
    <row r="27" spans="1:3" ht="18" customHeight="1" x14ac:dyDescent="0.35">
      <c r="A27" s="23"/>
      <c r="B27" s="23" t="s">
        <v>19</v>
      </c>
      <c r="C27" s="25" t="s">
        <v>218</v>
      </c>
    </row>
    <row r="28" spans="1:3" ht="18" customHeight="1" x14ac:dyDescent="0.35">
      <c r="A28" s="23"/>
      <c r="B28" s="23" t="s">
        <v>19</v>
      </c>
      <c r="C28" s="25" t="s">
        <v>219</v>
      </c>
    </row>
    <row r="29" spans="1:3" ht="18" customHeight="1" x14ac:dyDescent="0.35">
      <c r="A29" s="23"/>
      <c r="B29" s="23" t="s">
        <v>19</v>
      </c>
      <c r="C29" s="25" t="s">
        <v>220</v>
      </c>
    </row>
    <row r="30" spans="1:3" ht="44" customHeight="1" x14ac:dyDescent="0.35">
      <c r="A30" s="23"/>
      <c r="B30" s="23" t="s">
        <v>19</v>
      </c>
      <c r="C30" s="26" t="s">
        <v>221</v>
      </c>
    </row>
    <row r="31" spans="1:3" ht="10" customHeight="1" x14ac:dyDescent="0.35"/>
    <row r="32" spans="1:3" ht="3" customHeight="1" x14ac:dyDescent="0.35">
      <c r="B32" s="21"/>
      <c r="C32" s="21"/>
    </row>
    <row r="33" spans="2:3" ht="12" customHeight="1" x14ac:dyDescent="0.35"/>
    <row r="34" spans="2:3" ht="24" customHeight="1" x14ac:dyDescent="0.35">
      <c r="B34" s="27" t="s">
        <v>222</v>
      </c>
      <c r="C34" s="28" t="s">
        <v>223</v>
      </c>
    </row>
    <row r="35" spans="2:3" ht="18.5" x14ac:dyDescent="0.35">
      <c r="B35" s="27" t="s">
        <v>224</v>
      </c>
      <c r="C35" s="29" t="s">
        <v>225</v>
      </c>
    </row>
    <row r="36" spans="2:3" ht="27" customHeight="1" x14ac:dyDescent="0.35">
      <c r="B36" s="30" t="s">
        <v>226</v>
      </c>
      <c r="C36" s="22" t="s">
        <v>227</v>
      </c>
    </row>
    <row r="37" spans="2:3" x14ac:dyDescent="0.35">
      <c r="B37" s="27" t="s">
        <v>228</v>
      </c>
      <c r="C37" s="31" t="s">
        <v>229</v>
      </c>
    </row>
    <row r="38" spans="2:3" ht="10" customHeight="1" x14ac:dyDescent="0.35"/>
    <row r="39" spans="2:3" ht="220" customHeight="1" x14ac:dyDescent="0.35">
      <c r="B39" s="27" t="s">
        <v>230</v>
      </c>
      <c r="C39" s="32" t="s">
        <v>231</v>
      </c>
    </row>
    <row r="40" spans="2:3" ht="10" customHeight="1" x14ac:dyDescent="0.35"/>
    <row r="41" spans="2:3" ht="43.5" x14ac:dyDescent="0.35">
      <c r="B41" s="27" t="s">
        <v>232</v>
      </c>
      <c r="C41" s="19" t="s">
        <v>233</v>
      </c>
    </row>
    <row r="42" spans="2:3" ht="10" customHeight="1" x14ac:dyDescent="0.35"/>
    <row r="43" spans="2:3" ht="15.5" x14ac:dyDescent="0.35">
      <c r="C43" s="33" t="s">
        <v>15</v>
      </c>
    </row>
    <row r="44" spans="2:3" ht="29" x14ac:dyDescent="0.35">
      <c r="C44" s="19" t="s">
        <v>234</v>
      </c>
    </row>
    <row r="45" spans="2:3" ht="10" customHeight="1" x14ac:dyDescent="0.35"/>
    <row r="46" spans="2:3" ht="15.5" x14ac:dyDescent="0.35">
      <c r="C46" s="34" t="s">
        <v>25</v>
      </c>
    </row>
    <row r="47" spans="2:3" ht="29" x14ac:dyDescent="0.35">
      <c r="C47" s="19" t="s">
        <v>235</v>
      </c>
    </row>
    <row r="48" spans="2:3" ht="10" customHeight="1" x14ac:dyDescent="0.35"/>
    <row r="49" spans="2:3" ht="15.5" x14ac:dyDescent="0.35">
      <c r="C49" s="35" t="s">
        <v>51</v>
      </c>
    </row>
    <row r="50" spans="2:3" ht="29" x14ac:dyDescent="0.35">
      <c r="C50" s="19" t="s">
        <v>236</v>
      </c>
    </row>
    <row r="51" spans="2:3" ht="10" customHeight="1" x14ac:dyDescent="0.35"/>
    <row r="52" spans="2:3" ht="3" customHeight="1" x14ac:dyDescent="0.35">
      <c r="B52" s="21"/>
      <c r="C52" s="21"/>
    </row>
    <row r="53" spans="2:3" ht="12" customHeight="1" x14ac:dyDescent="0.35"/>
    <row r="54" spans="2:3" ht="130.5" x14ac:dyDescent="0.35">
      <c r="B54" s="18" t="s">
        <v>237</v>
      </c>
      <c r="C54" s="19" t="s">
        <v>238</v>
      </c>
    </row>
    <row r="55" spans="2:3" ht="6" customHeight="1" x14ac:dyDescent="0.35"/>
    <row r="56" spans="2:3" ht="217.5" x14ac:dyDescent="0.35">
      <c r="C56" s="19" t="s">
        <v>239</v>
      </c>
    </row>
    <row r="57" spans="2:3" ht="6" customHeight="1" x14ac:dyDescent="0.35"/>
    <row r="58" spans="2:3" ht="43.5" x14ac:dyDescent="0.35">
      <c r="C58" s="19" t="s">
        <v>240</v>
      </c>
    </row>
    <row r="59" spans="2:3" ht="10" customHeight="1" x14ac:dyDescent="0.35"/>
    <row r="60" spans="2:3" ht="3" customHeight="1" x14ac:dyDescent="0.35">
      <c r="B60" s="21"/>
      <c r="C60" s="21"/>
    </row>
    <row r="61" spans="2:3" ht="12" customHeight="1" x14ac:dyDescent="0.35"/>
    <row r="62" spans="2:3" ht="145" x14ac:dyDescent="0.35">
      <c r="B62" s="18" t="s">
        <v>241</v>
      </c>
      <c r="C62" s="19" t="s">
        <v>242</v>
      </c>
    </row>
    <row r="63" spans="2:3" ht="6" customHeight="1" x14ac:dyDescent="0.35"/>
    <row r="64" spans="2:3" ht="203" x14ac:dyDescent="0.35">
      <c r="C64" s="19" t="s">
        <v>243</v>
      </c>
    </row>
    <row r="65" spans="2:3" ht="6" customHeight="1" x14ac:dyDescent="0.35"/>
    <row r="66" spans="2:3" ht="43.5" x14ac:dyDescent="0.35">
      <c r="C66" s="19" t="s">
        <v>244</v>
      </c>
    </row>
    <row r="67" spans="2:3" ht="10" customHeight="1" x14ac:dyDescent="0.35"/>
    <row r="68" spans="2:3" ht="3" customHeight="1" x14ac:dyDescent="0.35">
      <c r="B68" s="21"/>
      <c r="C68" s="21"/>
    </row>
    <row r="69" spans="2:3" ht="12" customHeight="1" x14ac:dyDescent="0.35"/>
    <row r="70" spans="2:3" ht="101.5" x14ac:dyDescent="0.35">
      <c r="B70" s="18" t="s">
        <v>245</v>
      </c>
      <c r="C70" s="19" t="s">
        <v>246</v>
      </c>
    </row>
    <row r="71" spans="2:3" ht="6" customHeight="1" x14ac:dyDescent="0.35"/>
    <row r="72" spans="2:3" ht="145" x14ac:dyDescent="0.35">
      <c r="C72" s="19" t="s">
        <v>247</v>
      </c>
    </row>
    <row r="73" spans="2:3" ht="6" customHeight="1" x14ac:dyDescent="0.35"/>
    <row r="74" spans="2:3" ht="43.5" x14ac:dyDescent="0.35">
      <c r="C74" s="19" t="s">
        <v>248</v>
      </c>
    </row>
    <row r="78" spans="2:3" ht="32" customHeight="1" x14ac:dyDescent="0.35">
      <c r="B78" s="78" t="s">
        <v>194</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249</v>
      </c>
      <c r="C2" s="80"/>
      <c r="D2" s="80"/>
      <c r="E2" s="80"/>
      <c r="F2" s="80"/>
      <c r="G2" s="80"/>
      <c r="H2" s="80"/>
      <c r="I2" s="80"/>
    </row>
    <row r="4" spans="2:15" ht="18.5" x14ac:dyDescent="0.45">
      <c r="B4" s="37" t="s">
        <v>250</v>
      </c>
    </row>
    <row r="5" spans="2:15" x14ac:dyDescent="0.35">
      <c r="B5" s="39" t="s">
        <v>19</v>
      </c>
      <c r="C5" s="39" t="s">
        <v>251</v>
      </c>
      <c r="D5" s="39" t="s">
        <v>252</v>
      </c>
      <c r="F5" s="81" t="s">
        <v>253</v>
      </c>
      <c r="G5" s="81"/>
      <c r="H5" s="81"/>
      <c r="I5" s="82" t="s">
        <v>254</v>
      </c>
      <c r="J5" s="82"/>
      <c r="K5" s="82"/>
      <c r="L5" s="82"/>
      <c r="M5" s="82"/>
      <c r="N5" s="82"/>
      <c r="O5" s="82"/>
    </row>
    <row r="6" spans="2:15" x14ac:dyDescent="0.35">
      <c r="B6" s="45" t="s">
        <v>255</v>
      </c>
      <c r="C6" s="46">
        <v>35</v>
      </c>
      <c r="D6" s="47" t="s">
        <v>19</v>
      </c>
      <c r="F6" s="81" t="s">
        <v>256</v>
      </c>
      <c r="G6" s="81"/>
      <c r="H6" s="81"/>
      <c r="I6" s="83" t="s">
        <v>257</v>
      </c>
      <c r="J6" s="83"/>
      <c r="K6" s="83"/>
      <c r="L6" s="83"/>
      <c r="M6" s="83"/>
      <c r="N6" s="83"/>
      <c r="O6" s="83"/>
    </row>
    <row r="7" spans="2:15" x14ac:dyDescent="0.35">
      <c r="B7" s="48" t="s">
        <v>258</v>
      </c>
      <c r="C7" s="49">
        <f>C6-C8-C9</f>
        <v>35</v>
      </c>
      <c r="D7" s="50">
        <f>IF(C6&gt;0,C7/C6,0)</f>
        <v>1</v>
      </c>
      <c r="F7" s="81" t="s">
        <v>259</v>
      </c>
      <c r="G7" s="81"/>
      <c r="H7" s="81"/>
      <c r="I7" s="83" t="s">
        <v>257</v>
      </c>
      <c r="J7" s="83"/>
      <c r="K7" s="83"/>
      <c r="L7" s="83"/>
      <c r="M7" s="83"/>
      <c r="N7" s="83"/>
      <c r="O7" s="83"/>
    </row>
    <row r="8" spans="2:15" x14ac:dyDescent="0.35">
      <c r="B8" s="41" t="s">
        <v>260</v>
      </c>
      <c r="C8" s="42">
        <f>COUNTIF('Recommendations'!G:G,"Risk Accepted")</f>
        <v>0</v>
      </c>
      <c r="D8" s="43">
        <f>IF(C6&gt;0,C8/C6,0)</f>
        <v>0</v>
      </c>
      <c r="F8" s="81" t="s">
        <v>261</v>
      </c>
      <c r="G8" s="81"/>
      <c r="H8" s="81"/>
      <c r="I8" s="83" t="s">
        <v>257</v>
      </c>
      <c r="J8" s="83"/>
      <c r="K8" s="83"/>
      <c r="L8" s="83"/>
      <c r="M8" s="83"/>
      <c r="N8" s="83"/>
      <c r="O8" s="83"/>
    </row>
    <row r="9" spans="2:15" x14ac:dyDescent="0.35">
      <c r="B9" s="41" t="s">
        <v>262</v>
      </c>
      <c r="C9" s="42">
        <f>COUNTIF('Recommendations'!G:G,"N/A")</f>
        <v>0</v>
      </c>
      <c r="D9" s="43">
        <f>IF(C6&gt;0,C9/C6,0)</f>
        <v>0</v>
      </c>
      <c r="F9" s="81" t="s">
        <v>263</v>
      </c>
      <c r="G9" s="81"/>
      <c r="H9" s="81"/>
      <c r="I9" s="83" t="s">
        <v>257</v>
      </c>
      <c r="J9" s="83"/>
      <c r="K9" s="83"/>
      <c r="L9" s="83"/>
      <c r="M9" s="83"/>
      <c r="N9" s="83"/>
      <c r="O9" s="83"/>
    </row>
    <row r="12" spans="2:15" ht="18.5" x14ac:dyDescent="0.45">
      <c r="B12" s="37" t="s">
        <v>264</v>
      </c>
    </row>
    <row r="14" spans="2:15" x14ac:dyDescent="0.35">
      <c r="B14" s="51" t="s">
        <v>265</v>
      </c>
    </row>
    <row r="15" spans="2:15" x14ac:dyDescent="0.35">
      <c r="B15" s="39" t="s">
        <v>19</v>
      </c>
      <c r="C15" s="39" t="s">
        <v>266</v>
      </c>
      <c r="D15" s="39" t="s">
        <v>267</v>
      </c>
      <c r="E15" s="39" t="s">
        <v>268</v>
      </c>
      <c r="F15" s="39" t="s">
        <v>269</v>
      </c>
    </row>
    <row r="16" spans="2:15" x14ac:dyDescent="0.35">
      <c r="B16" s="41" t="s">
        <v>270</v>
      </c>
      <c r="C16" s="42">
        <f>COUNTIF('Recommendations'!L:L,"Resolved")</f>
        <v>0</v>
      </c>
      <c r="D16" s="42">
        <f>COUNTIF('Recommendations'!L:L,"Testing")</f>
        <v>0</v>
      </c>
      <c r="E16" s="42">
        <f>COUNTIF('Recommendations'!L:L,"Outstanding")</f>
        <v>35</v>
      </c>
      <c r="F16" s="42">
        <f>SUM(C16:E16)</f>
        <v>35</v>
      </c>
    </row>
    <row r="18" spans="2:6" x14ac:dyDescent="0.35">
      <c r="B18" s="51" t="s">
        <v>271</v>
      </c>
    </row>
    <row r="19" spans="2:6" x14ac:dyDescent="0.35">
      <c r="B19" s="52" t="s">
        <v>19</v>
      </c>
      <c r="C19" s="52" t="s">
        <v>266</v>
      </c>
      <c r="D19" s="52" t="s">
        <v>267</v>
      </c>
      <c r="E19" s="52" t="s">
        <v>268</v>
      </c>
      <c r="F19" s="52" t="s">
        <v>19</v>
      </c>
    </row>
    <row r="20" spans="2:6" x14ac:dyDescent="0.35">
      <c r="B20" s="41" t="s">
        <v>270</v>
      </c>
      <c r="C20" s="43">
        <f>IF(F16&gt;0, C16/F16, 0)</f>
        <v>0</v>
      </c>
      <c r="D20" s="43">
        <f>IF(F16&gt;0, D16/F16, 0)</f>
        <v>0</v>
      </c>
      <c r="E20" s="43">
        <f>IF(F16&gt;0, E16/F16, 0)</f>
        <v>1</v>
      </c>
      <c r="F20" s="44" t="s">
        <v>19</v>
      </c>
    </row>
    <row r="25" spans="2:6" ht="18.5" x14ac:dyDescent="0.45">
      <c r="B25" s="37" t="s">
        <v>272</v>
      </c>
    </row>
    <row r="27" spans="2:6" x14ac:dyDescent="0.35">
      <c r="B27" s="51" t="s">
        <v>265</v>
      </c>
    </row>
    <row r="28" spans="2:6" x14ac:dyDescent="0.35">
      <c r="B28" s="39" t="s">
        <v>5</v>
      </c>
      <c r="C28" s="39" t="s">
        <v>266</v>
      </c>
      <c r="D28" s="39" t="s">
        <v>267</v>
      </c>
      <c r="E28" s="39" t="s">
        <v>268</v>
      </c>
      <c r="F28" s="39" t="s">
        <v>269</v>
      </c>
    </row>
    <row r="29" spans="2:6" x14ac:dyDescent="0.35">
      <c r="B29" s="41" t="s">
        <v>273</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274</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275</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276</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277</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35</v>
      </c>
      <c r="F34" s="42">
        <f t="shared" si="0"/>
        <v>35</v>
      </c>
    </row>
    <row r="36" spans="2:6" x14ac:dyDescent="0.35">
      <c r="B36" s="51" t="s">
        <v>271</v>
      </c>
    </row>
    <row r="37" spans="2:6" x14ac:dyDescent="0.35">
      <c r="B37" s="52" t="s">
        <v>5</v>
      </c>
      <c r="C37" s="52" t="s">
        <v>266</v>
      </c>
      <c r="D37" s="52" t="s">
        <v>267</v>
      </c>
      <c r="E37" s="52" t="s">
        <v>268</v>
      </c>
      <c r="F37" s="52" t="s">
        <v>19</v>
      </c>
    </row>
    <row r="38" spans="2:6" x14ac:dyDescent="0.35">
      <c r="B38" s="41" t="s">
        <v>273</v>
      </c>
      <c r="C38" s="43">
        <f t="shared" ref="C38:C43" si="1">IF(F29&gt;0, C29/F29, 0)</f>
        <v>0</v>
      </c>
      <c r="D38" s="43">
        <f t="shared" ref="D38:D43" si="2">IF(F29&gt;0, D29/F29, 0)</f>
        <v>0</v>
      </c>
      <c r="E38" s="43">
        <f t="shared" ref="E38:E43" si="3">IF(F29&gt;0, E29/F29, 0)</f>
        <v>0</v>
      </c>
      <c r="F38" s="44" t="s">
        <v>19</v>
      </c>
    </row>
    <row r="39" spans="2:6" x14ac:dyDescent="0.35">
      <c r="B39" s="41" t="s">
        <v>274</v>
      </c>
      <c r="C39" s="43">
        <f t="shared" si="1"/>
        <v>0</v>
      </c>
      <c r="D39" s="43">
        <f t="shared" si="2"/>
        <v>0</v>
      </c>
      <c r="E39" s="43">
        <f t="shared" si="3"/>
        <v>0</v>
      </c>
      <c r="F39" s="44" t="s">
        <v>19</v>
      </c>
    </row>
    <row r="40" spans="2:6" x14ac:dyDescent="0.35">
      <c r="B40" s="41" t="s">
        <v>275</v>
      </c>
      <c r="C40" s="43">
        <f t="shared" si="1"/>
        <v>0</v>
      </c>
      <c r="D40" s="43">
        <f t="shared" si="2"/>
        <v>0</v>
      </c>
      <c r="E40" s="43">
        <f t="shared" si="3"/>
        <v>0</v>
      </c>
      <c r="F40" s="44" t="s">
        <v>19</v>
      </c>
    </row>
    <row r="41" spans="2:6" x14ac:dyDescent="0.35">
      <c r="B41" s="41" t="s">
        <v>276</v>
      </c>
      <c r="C41" s="43">
        <f t="shared" si="1"/>
        <v>0</v>
      </c>
      <c r="D41" s="43">
        <f t="shared" si="2"/>
        <v>0</v>
      </c>
      <c r="E41" s="43">
        <f t="shared" si="3"/>
        <v>0</v>
      </c>
      <c r="F41" s="44" t="s">
        <v>19</v>
      </c>
    </row>
    <row r="42" spans="2:6" x14ac:dyDescent="0.35">
      <c r="B42" s="41" t="s">
        <v>277</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278</v>
      </c>
    </row>
    <row r="50" spans="2:6" x14ac:dyDescent="0.35">
      <c r="B50" s="51" t="s">
        <v>265</v>
      </c>
    </row>
    <row r="51" spans="2:6" x14ac:dyDescent="0.35">
      <c r="B51" s="39" t="s">
        <v>2</v>
      </c>
      <c r="C51" s="39" t="s">
        <v>266</v>
      </c>
      <c r="D51" s="39" t="s">
        <v>267</v>
      </c>
      <c r="E51" s="39" t="s">
        <v>268</v>
      </c>
      <c r="F51" s="39" t="s">
        <v>269</v>
      </c>
    </row>
    <row r="52" spans="2:6" x14ac:dyDescent="0.35">
      <c r="B52" s="41" t="s">
        <v>15</v>
      </c>
      <c r="C52" s="42">
        <f>COUNTIFS('Recommendations'!C:C,"CAT I (High)",'Recommendations'!L:L,"=Resolved")</f>
        <v>0</v>
      </c>
      <c r="D52" s="42">
        <f>COUNTIFS('Recommendations'!C:C,"=CAT I (High)",'Recommendations'!L:L,"=Testing")</f>
        <v>0</v>
      </c>
      <c r="E52" s="42">
        <f>COUNTIFS('Recommendations'!C:C,"=CAT I (High)",'Recommendations'!L:L,"=Outstanding")</f>
        <v>3</v>
      </c>
      <c r="F52" s="42">
        <f>SUM(C52:E52)</f>
        <v>3</v>
      </c>
    </row>
    <row r="53" spans="2:6" x14ac:dyDescent="0.35">
      <c r="B53" s="41" t="s">
        <v>25</v>
      </c>
      <c r="C53" s="42">
        <f>COUNTIFS('Recommendations'!C:C,"CAT II (Medium)",'Recommendations'!L:L,"=Resolved")</f>
        <v>0</v>
      </c>
      <c r="D53" s="42">
        <f>COUNTIFS('Recommendations'!C:C,"=CAT II (Medium)",'Recommendations'!L:L,"=Testing")</f>
        <v>0</v>
      </c>
      <c r="E53" s="42">
        <f>COUNTIFS('Recommendations'!C:C,"=CAT II (Medium)",'Recommendations'!L:L,"=Outstanding")</f>
        <v>30</v>
      </c>
      <c r="F53" s="42">
        <f>SUM(C53:E53)</f>
        <v>30</v>
      </c>
    </row>
    <row r="54" spans="2:6" x14ac:dyDescent="0.35">
      <c r="B54" s="41" t="s">
        <v>51</v>
      </c>
      <c r="C54" s="42">
        <f>COUNTIFS('Recommendations'!C:C,"CAT III (Low)",'Recommendations'!L:L,"=Resolved")</f>
        <v>0</v>
      </c>
      <c r="D54" s="42">
        <f>COUNTIFS('Recommendations'!C:C,"=CAT III (Low)",'Recommendations'!L:L,"=Testing")</f>
        <v>0</v>
      </c>
      <c r="E54" s="42">
        <f>COUNTIFS('Recommendations'!C:C,"=CAT III (Low)",'Recommendations'!L:L,"=Outstanding")</f>
        <v>2</v>
      </c>
      <c r="F54" s="42">
        <f>SUM(C54:E54)</f>
        <v>2</v>
      </c>
    </row>
    <row r="56" spans="2:6" x14ac:dyDescent="0.35">
      <c r="B56" s="51" t="s">
        <v>271</v>
      </c>
    </row>
    <row r="57" spans="2:6" x14ac:dyDescent="0.35">
      <c r="B57" s="52" t="s">
        <v>2</v>
      </c>
      <c r="C57" s="52" t="s">
        <v>266</v>
      </c>
      <c r="D57" s="52" t="s">
        <v>267</v>
      </c>
      <c r="E57" s="52" t="s">
        <v>268</v>
      </c>
      <c r="F57" s="52" t="s">
        <v>19</v>
      </c>
    </row>
    <row r="58" spans="2:6" x14ac:dyDescent="0.35">
      <c r="B58" s="41" t="s">
        <v>15</v>
      </c>
      <c r="C58" s="43">
        <f>IF(F52&gt;0, C52/F52, 0)</f>
        <v>0</v>
      </c>
      <c r="D58" s="43">
        <f>IF(F52&gt;0, D52/F52, 0)</f>
        <v>0</v>
      </c>
      <c r="E58" s="43">
        <f>IF(F52&gt;0, E52/F52, 0)</f>
        <v>1</v>
      </c>
      <c r="F58" s="44" t="s">
        <v>19</v>
      </c>
    </row>
    <row r="59" spans="2:6" x14ac:dyDescent="0.35">
      <c r="B59" s="41" t="s">
        <v>25</v>
      </c>
      <c r="C59" s="43">
        <f>IF(F53&gt;0, C53/F53, 0)</f>
        <v>0</v>
      </c>
      <c r="D59" s="43">
        <f>IF(F53&gt;0, D53/F53, 0)</f>
        <v>0</v>
      </c>
      <c r="E59" s="43">
        <f>IF(F53&gt;0, E53/F53, 0)</f>
        <v>1</v>
      </c>
      <c r="F59" s="44" t="s">
        <v>19</v>
      </c>
    </row>
    <row r="60" spans="2:6" x14ac:dyDescent="0.35">
      <c r="B60" s="41" t="s">
        <v>51</v>
      </c>
      <c r="C60" s="43">
        <f>IF(F54&gt;0, C54/F54, 0)</f>
        <v>0</v>
      </c>
      <c r="D60" s="43">
        <f>IF(F54&gt;0, D54/F54, 0)</f>
        <v>0</v>
      </c>
      <c r="E60" s="43">
        <f>IF(F54&gt;0, E54/F54, 0)</f>
        <v>1</v>
      </c>
      <c r="F60" s="44" t="s">
        <v>19</v>
      </c>
    </row>
    <row r="65" spans="2:6" ht="18.5" x14ac:dyDescent="0.45">
      <c r="B65" s="37" t="s">
        <v>279</v>
      </c>
    </row>
    <row r="67" spans="2:6" x14ac:dyDescent="0.35">
      <c r="B67" s="51" t="s">
        <v>265</v>
      </c>
    </row>
    <row r="68" spans="2:6" x14ac:dyDescent="0.35">
      <c r="B68" s="39" t="s">
        <v>3</v>
      </c>
      <c r="C68" s="39" t="s">
        <v>266</v>
      </c>
      <c r="D68" s="39" t="s">
        <v>267</v>
      </c>
      <c r="E68" s="39" t="s">
        <v>268</v>
      </c>
      <c r="F68" s="39" t="s">
        <v>269</v>
      </c>
    </row>
    <row r="69" spans="2:6" x14ac:dyDescent="0.35">
      <c r="B69" s="41" t="s">
        <v>280</v>
      </c>
      <c r="C69" s="42">
        <f>COUNTIFS('Recommendations'!D:D,"Must",'Recommendations'!L:L,"=Resolved")</f>
        <v>0</v>
      </c>
      <c r="D69" s="42">
        <f>COUNTIFS('Recommendations'!D:D,"=Must",'Recommendations'!L:L,"=Testing")</f>
        <v>0</v>
      </c>
      <c r="E69" s="42">
        <f>COUNTIFS('Recommendations'!D:D,"=Must",'Recommendations'!L:L,"=Outstanding")</f>
        <v>0</v>
      </c>
      <c r="F69" s="42">
        <f>SUM(C69:E69)</f>
        <v>0</v>
      </c>
    </row>
    <row r="70" spans="2:6" x14ac:dyDescent="0.35">
      <c r="B70" s="41" t="s">
        <v>281</v>
      </c>
      <c r="C70" s="42">
        <f>COUNTIFS('Recommendations'!D:D,"Should",'Recommendations'!L:L,"=Resolved")</f>
        <v>0</v>
      </c>
      <c r="D70" s="42">
        <f>COUNTIFS('Recommendations'!D:D,"=Should",'Recommendations'!L:L,"=Testing")</f>
        <v>0</v>
      </c>
      <c r="E70" s="42">
        <f>COUNTIFS('Recommendations'!D:D,"=Should",'Recommendations'!L:L,"=Outstanding")</f>
        <v>0</v>
      </c>
      <c r="F70" s="42">
        <f>SUM(C70:E70)</f>
        <v>0</v>
      </c>
    </row>
    <row r="71" spans="2:6" x14ac:dyDescent="0.35">
      <c r="B71" s="41" t="s">
        <v>282</v>
      </c>
      <c r="C71" s="42">
        <f>COUNTIFS('Recommendations'!D:D,"Could",'Recommendations'!L:L,"=Resolved")</f>
        <v>0</v>
      </c>
      <c r="D71" s="42">
        <f>COUNTIFS('Recommendations'!D:D,"=Could",'Recommendations'!L:L,"=Testing")</f>
        <v>0</v>
      </c>
      <c r="E71" s="42">
        <f>COUNTIFS('Recommendations'!D:D,"=Could",'Recommendations'!L:L,"=Outstanding")</f>
        <v>0</v>
      </c>
      <c r="F71" s="42">
        <f>SUM(C71:E71)</f>
        <v>0</v>
      </c>
    </row>
    <row r="72" spans="2:6" x14ac:dyDescent="0.35">
      <c r="B72" s="41" t="s">
        <v>283</v>
      </c>
      <c r="C72" s="42">
        <f>COUNTIFS('Recommendations'!D:D,"Won't",'Recommendations'!L:L,"=Resolved")</f>
        <v>0</v>
      </c>
      <c r="D72" s="42">
        <f>COUNTIFS('Recommendations'!D:D,"=Won't",'Recommendations'!L:L,"=Testing")</f>
        <v>0</v>
      </c>
      <c r="E72" s="42">
        <f>COUNTIFS('Recommendations'!D:D,"=Won't",'Recommendations'!L:L,"=Outstanding")</f>
        <v>0</v>
      </c>
      <c r="F72" s="42">
        <f>SUM(C72:E72)</f>
        <v>0</v>
      </c>
    </row>
    <row r="73" spans="2:6" x14ac:dyDescent="0.35">
      <c r="B73" s="41" t="s">
        <v>16</v>
      </c>
      <c r="C73" s="42">
        <f>COUNTIFS('Recommendations'!D:D,"Unassigned",'Recommendations'!L:L,"=Resolved")</f>
        <v>0</v>
      </c>
      <c r="D73" s="42">
        <f>COUNTIFS('Recommendations'!D:D,"=Unassigned",'Recommendations'!L:L,"=Testing")</f>
        <v>0</v>
      </c>
      <c r="E73" s="42">
        <f>COUNTIFS('Recommendations'!D:D,"=Unassigned",'Recommendations'!L:L,"=Outstanding")</f>
        <v>35</v>
      </c>
      <c r="F73" s="42">
        <f>SUM(C73:E73)</f>
        <v>35</v>
      </c>
    </row>
    <row r="75" spans="2:6" x14ac:dyDescent="0.35">
      <c r="B75" s="51" t="s">
        <v>271</v>
      </c>
    </row>
    <row r="76" spans="2:6" x14ac:dyDescent="0.35">
      <c r="B76" s="52" t="s">
        <v>3</v>
      </c>
      <c r="C76" s="52" t="s">
        <v>266</v>
      </c>
      <c r="D76" s="52" t="s">
        <v>267</v>
      </c>
      <c r="E76" s="52" t="s">
        <v>268</v>
      </c>
      <c r="F76" s="52" t="s">
        <v>19</v>
      </c>
    </row>
    <row r="77" spans="2:6" x14ac:dyDescent="0.35">
      <c r="B77" s="41" t="s">
        <v>280</v>
      </c>
      <c r="C77" s="43">
        <f>IF(F69&gt;0, C69/F69, 0)</f>
        <v>0</v>
      </c>
      <c r="D77" s="43">
        <f>IF(F69&gt;0, D69/F69, 0)</f>
        <v>0</v>
      </c>
      <c r="E77" s="43">
        <f>IF(F69&gt;0, E69/F69, 0)</f>
        <v>0</v>
      </c>
      <c r="F77" s="44" t="s">
        <v>19</v>
      </c>
    </row>
    <row r="78" spans="2:6" x14ac:dyDescent="0.35">
      <c r="B78" s="41" t="s">
        <v>281</v>
      </c>
      <c r="C78" s="43">
        <f>IF(F70&gt;0, C70/F70, 0)</f>
        <v>0</v>
      </c>
      <c r="D78" s="43">
        <f>IF(F70&gt;0, D70/F70, 0)</f>
        <v>0</v>
      </c>
      <c r="E78" s="43">
        <f>IF(F70&gt;0, E70/F70, 0)</f>
        <v>0</v>
      </c>
      <c r="F78" s="44" t="s">
        <v>19</v>
      </c>
    </row>
    <row r="79" spans="2:6" x14ac:dyDescent="0.35">
      <c r="B79" s="41" t="s">
        <v>282</v>
      </c>
      <c r="C79" s="43">
        <f>IF(F71&gt;0, C71/F71, 0)</f>
        <v>0</v>
      </c>
      <c r="D79" s="43">
        <f>IF(F71&gt;0, D71/F71, 0)</f>
        <v>0</v>
      </c>
      <c r="E79" s="43">
        <f>IF(F71&gt;0, E71/F71, 0)</f>
        <v>0</v>
      </c>
      <c r="F79" s="44" t="s">
        <v>19</v>
      </c>
    </row>
    <row r="80" spans="2:6" x14ac:dyDescent="0.35">
      <c r="B80" s="41" t="s">
        <v>283</v>
      </c>
      <c r="C80" s="43">
        <f>IF(F72&gt;0, C72/F72, 0)</f>
        <v>0</v>
      </c>
      <c r="D80" s="43">
        <f>IF(F72&gt;0, D72/F72, 0)</f>
        <v>0</v>
      </c>
      <c r="E80" s="43">
        <f>IF(F72&gt;0, E72/F72, 0)</f>
        <v>0</v>
      </c>
      <c r="F80" s="44" t="s">
        <v>19</v>
      </c>
    </row>
    <row r="81" spans="2:6" x14ac:dyDescent="0.35">
      <c r="B81" s="41" t="s">
        <v>16</v>
      </c>
      <c r="C81" s="43">
        <f>IF(F73&gt;0, C73/F73, 0)</f>
        <v>0</v>
      </c>
      <c r="D81" s="43">
        <f>IF(F73&gt;0, D73/F73, 0)</f>
        <v>0</v>
      </c>
      <c r="E81" s="43">
        <f>IF(F73&gt;0, E73/F73, 0)</f>
        <v>1</v>
      </c>
      <c r="F81" s="44" t="s">
        <v>19</v>
      </c>
    </row>
    <row r="86" spans="2:6" ht="18.5" x14ac:dyDescent="0.45">
      <c r="B86" s="37" t="s">
        <v>284</v>
      </c>
    </row>
    <row r="88" spans="2:6" x14ac:dyDescent="0.35">
      <c r="B88" s="51" t="s">
        <v>265</v>
      </c>
    </row>
    <row r="89" spans="2:6" x14ac:dyDescent="0.35">
      <c r="B89" s="39" t="s">
        <v>285</v>
      </c>
      <c r="C89" s="39" t="s">
        <v>266</v>
      </c>
      <c r="D89" s="39" t="s">
        <v>267</v>
      </c>
      <c r="E89" s="39" t="s">
        <v>268</v>
      </c>
      <c r="F89" s="39" t="s">
        <v>269</v>
      </c>
    </row>
    <row r="90" spans="2:6" x14ac:dyDescent="0.35">
      <c r="B90" s="41" t="s">
        <v>286</v>
      </c>
      <c r="C90" s="42">
        <f>COUNTIFS('Recommendations'!E:E,"Low",'Recommendations'!L:L,"=Resolved")</f>
        <v>0</v>
      </c>
      <c r="D90" s="42">
        <f>COUNTIFS('Recommendations'!E:E,"=Low",'Recommendations'!L:L,"=Testing")</f>
        <v>0</v>
      </c>
      <c r="E90" s="42">
        <f>COUNTIFS('Recommendations'!E:E,"=Low",'Recommendations'!L:L,"=Outstanding")</f>
        <v>0</v>
      </c>
      <c r="F90" s="42">
        <f>SUM(C90:E90)</f>
        <v>0</v>
      </c>
    </row>
    <row r="91" spans="2:6" x14ac:dyDescent="0.35">
      <c r="B91" s="41" t="s">
        <v>287</v>
      </c>
      <c r="C91" s="42">
        <f>COUNTIFS('Recommendations'!E:E,"Medium",'Recommendations'!L:L,"=Resolved")</f>
        <v>0</v>
      </c>
      <c r="D91" s="42">
        <f>COUNTIFS('Recommendations'!E:E,"=Medium",'Recommendations'!L:L,"=Testing")</f>
        <v>0</v>
      </c>
      <c r="E91" s="42">
        <f>COUNTIFS('Recommendations'!E:E,"=Medium",'Recommendations'!L:L,"=Outstanding")</f>
        <v>0</v>
      </c>
      <c r="F91" s="42">
        <f>SUM(C91:E91)</f>
        <v>0</v>
      </c>
    </row>
    <row r="92" spans="2:6" x14ac:dyDescent="0.35">
      <c r="B92" s="41" t="s">
        <v>288</v>
      </c>
      <c r="C92" s="42">
        <f>COUNTIFS('Recommendations'!E:E,"High",'Recommendations'!L:L,"=Resolved")</f>
        <v>0</v>
      </c>
      <c r="D92" s="42">
        <f>COUNTIFS('Recommendations'!E:E,"=High",'Recommendations'!L:L,"=Testing")</f>
        <v>0</v>
      </c>
      <c r="E92" s="42">
        <f>COUNTIFS('Recommendations'!E:E,"=High",'Recommendations'!L:L,"=Outstanding")</f>
        <v>0</v>
      </c>
      <c r="F92" s="42">
        <f>SUM(C92:E92)</f>
        <v>0</v>
      </c>
    </row>
    <row r="93" spans="2:6" x14ac:dyDescent="0.35">
      <c r="B93" s="41" t="s">
        <v>17</v>
      </c>
      <c r="C93" s="42">
        <f>COUNTIFS('Recommendations'!E:E,"Unassessed",'Recommendations'!L:L,"=Resolved")</f>
        <v>0</v>
      </c>
      <c r="D93" s="42">
        <f>COUNTIFS('Recommendations'!E:E,"=Unassessed",'Recommendations'!L:L,"=Testing")</f>
        <v>0</v>
      </c>
      <c r="E93" s="42">
        <f>COUNTIFS('Recommendations'!E:E,"=Unassessed",'Recommendations'!L:L,"=Outstanding")</f>
        <v>35</v>
      </c>
      <c r="F93" s="42">
        <f>SUM(C93:E93)</f>
        <v>35</v>
      </c>
    </row>
    <row r="95" spans="2:6" x14ac:dyDescent="0.35">
      <c r="B95" s="51" t="s">
        <v>271</v>
      </c>
    </row>
    <row r="96" spans="2:6" x14ac:dyDescent="0.35">
      <c r="B96" s="52" t="s">
        <v>285</v>
      </c>
      <c r="C96" s="52" t="s">
        <v>266</v>
      </c>
      <c r="D96" s="52" t="s">
        <v>267</v>
      </c>
      <c r="E96" s="52" t="s">
        <v>268</v>
      </c>
      <c r="F96" s="52" t="s">
        <v>19</v>
      </c>
    </row>
    <row r="97" spans="2:15" x14ac:dyDescent="0.35">
      <c r="B97" s="41" t="s">
        <v>286</v>
      </c>
      <c r="C97" s="43">
        <f>IF(F90&gt;0, C90/F90, 0)</f>
        <v>0</v>
      </c>
      <c r="D97" s="43">
        <f>IF(F90&gt;0, D90/F90, 0)</f>
        <v>0</v>
      </c>
      <c r="E97" s="43">
        <f>IF(F90&gt;0, E90/F90, 0)</f>
        <v>0</v>
      </c>
      <c r="F97" s="44" t="s">
        <v>19</v>
      </c>
    </row>
    <row r="98" spans="2:15" x14ac:dyDescent="0.35">
      <c r="B98" s="41" t="s">
        <v>287</v>
      </c>
      <c r="C98" s="43">
        <f>IF(F91&gt;0, C91/F91, 0)</f>
        <v>0</v>
      </c>
      <c r="D98" s="43">
        <f>IF(F91&gt;0, D91/F91, 0)</f>
        <v>0</v>
      </c>
      <c r="E98" s="43">
        <f>IF(F91&gt;0, E91/F91, 0)</f>
        <v>0</v>
      </c>
      <c r="F98" s="44" t="s">
        <v>19</v>
      </c>
    </row>
    <row r="99" spans="2:15" x14ac:dyDescent="0.35">
      <c r="B99" s="41" t="s">
        <v>288</v>
      </c>
      <c r="C99" s="43">
        <f>IF(F92&gt;0, C92/F92, 0)</f>
        <v>0</v>
      </c>
      <c r="D99" s="43">
        <f>IF(F92&gt;0, D92/F92, 0)</f>
        <v>0</v>
      </c>
      <c r="E99" s="43">
        <f>IF(F92&gt;0, E92/F92, 0)</f>
        <v>0</v>
      </c>
      <c r="F99" s="44" t="s">
        <v>19</v>
      </c>
    </row>
    <row r="100" spans="2:15" x14ac:dyDescent="0.35">
      <c r="B100" s="41" t="s">
        <v>17</v>
      </c>
      <c r="C100" s="43">
        <f>IF(F93&gt;0, C93/F93, 0)</f>
        <v>0</v>
      </c>
      <c r="D100" s="43">
        <f>IF(F93&gt;0, D93/F93, 0)</f>
        <v>0</v>
      </c>
      <c r="E100" s="43">
        <f>IF(F93&gt;0, E93/F93, 0)</f>
        <v>1</v>
      </c>
      <c r="F100" s="44" t="s">
        <v>19</v>
      </c>
    </row>
    <row r="105" spans="2:15" ht="18.5" x14ac:dyDescent="0.45">
      <c r="B105" s="37" t="s">
        <v>289</v>
      </c>
      <c r="J105" s="37" t="s">
        <v>290</v>
      </c>
    </row>
    <row r="106" spans="2:15" x14ac:dyDescent="0.35">
      <c r="B106" s="39" t="s">
        <v>5</v>
      </c>
      <c r="C106" s="84" t="s">
        <v>291</v>
      </c>
      <c r="D106" s="84"/>
      <c r="E106" s="39" t="s">
        <v>258</v>
      </c>
      <c r="F106" s="39" t="s">
        <v>266</v>
      </c>
      <c r="G106" s="84" t="s">
        <v>292</v>
      </c>
      <c r="H106" s="84"/>
      <c r="J106" s="39" t="s">
        <v>5</v>
      </c>
      <c r="K106" s="39" t="s">
        <v>280</v>
      </c>
      <c r="L106" s="39" t="s">
        <v>281</v>
      </c>
      <c r="M106" s="39" t="s">
        <v>282</v>
      </c>
      <c r="N106" s="39" t="s">
        <v>283</v>
      </c>
      <c r="O106" s="39" t="s">
        <v>16</v>
      </c>
    </row>
    <row r="107" spans="2:15" x14ac:dyDescent="0.35">
      <c r="B107" s="45" t="s">
        <v>273</v>
      </c>
      <c r="C107" s="85" t="s">
        <v>19</v>
      </c>
      <c r="D107" s="85"/>
      <c r="E107" s="42">
        <f>COUNTIF('Recommendations'!F:F,"Phase1")-COUNTIFS('Recommendations'!F:F,"Phase1",'Recommendations'!G:G,"Risk Accepted")-COUNTIFS('Recommendations'!F:F,"Phase1",'Recommendations'!G:G,"N/A")</f>
        <v>0</v>
      </c>
      <c r="F107" s="42">
        <f>COUNTIFS('Recommendations'!F:F,"Phase1",'Recommendations'!L:L,"Resolved")</f>
        <v>0</v>
      </c>
      <c r="G107" s="86">
        <f t="shared" ref="G107:G112" si="4">IF(E107&gt;0,F107/E107,0)</f>
        <v>0</v>
      </c>
      <c r="H107" s="86"/>
      <c r="J107" s="45" t="s">
        <v>273</v>
      </c>
      <c r="K107" s="42">
        <f>COUNTIFS('Recommendations'!F:F,"Phase1",'Recommendations'!D:D,"Must")</f>
        <v>0</v>
      </c>
      <c r="L107" s="42">
        <f>COUNTIFS('Recommendations'!F:F,"Phase1",'Recommendations'!D:D,"Should")</f>
        <v>0</v>
      </c>
      <c r="M107" s="42">
        <f>COUNTIFS('Recommendations'!F:F,"Phase1",'Recommendations'!D:D,"Could")</f>
        <v>0</v>
      </c>
      <c r="N107" s="42">
        <f>COUNTIFS('Recommendations'!F:F,"Phase1",'Recommendations'!D:D,"Won't")</f>
        <v>0</v>
      </c>
      <c r="O107" s="42">
        <f>COUNTIFS('Recommendations'!F:F,"Phase1",'Recommendations'!D:D,"Unassigned")</f>
        <v>0</v>
      </c>
    </row>
    <row r="108" spans="2:15" x14ac:dyDescent="0.35">
      <c r="B108" s="45" t="s">
        <v>274</v>
      </c>
      <c r="C108" s="85" t="s">
        <v>19</v>
      </c>
      <c r="D108" s="85"/>
      <c r="E108" s="42">
        <f>COUNTIF('Recommendations'!F:F,"Phase2")-COUNTIFS('Recommendations'!F:F,"Phase2",'Recommendations'!G:G,"Risk Accepted")-COUNTIFS('Recommendations'!F:F,"Phase2",'Recommendations'!G:G,"N/A")</f>
        <v>0</v>
      </c>
      <c r="F108" s="42">
        <f>COUNTIFS('Recommendations'!F:F,"Phase2",'Recommendations'!L:L,"Resolved")</f>
        <v>0</v>
      </c>
      <c r="G108" s="86">
        <f t="shared" si="4"/>
        <v>0</v>
      </c>
      <c r="H108" s="86"/>
      <c r="J108" s="45" t="s">
        <v>274</v>
      </c>
      <c r="K108" s="42">
        <f>COUNTIFS('Recommendations'!F:F,"Phase2",'Recommendations'!D:D,"Must")</f>
        <v>0</v>
      </c>
      <c r="L108" s="42">
        <f>COUNTIFS('Recommendations'!F:F,"Phase2",'Recommendations'!D:D,"Should")</f>
        <v>0</v>
      </c>
      <c r="M108" s="42">
        <f>COUNTIFS('Recommendations'!F:F,"Phase2",'Recommendations'!D:D,"Could")</f>
        <v>0</v>
      </c>
      <c r="N108" s="42">
        <f>COUNTIFS('Recommendations'!F:F,"Phase2",'Recommendations'!D:D,"Won't")</f>
        <v>0</v>
      </c>
      <c r="O108" s="42">
        <f>COUNTIFS('Recommendations'!F:F,"Phase2",'Recommendations'!D:D,"Unassigned")</f>
        <v>0</v>
      </c>
    </row>
    <row r="109" spans="2:15" x14ac:dyDescent="0.35">
      <c r="B109" s="45" t="s">
        <v>275</v>
      </c>
      <c r="C109" s="85" t="s">
        <v>19</v>
      </c>
      <c r="D109" s="85"/>
      <c r="E109" s="42">
        <f>COUNTIF('Recommendations'!F:F,"Phase3")-COUNTIFS('Recommendations'!F:F,"Phase3",'Recommendations'!G:G,"Risk Accepted")-COUNTIFS('Recommendations'!F:F,"Phase3",'Recommendations'!G:G,"N/A")</f>
        <v>0</v>
      </c>
      <c r="F109" s="42">
        <f>COUNTIFS('Recommendations'!F:F,"Phase3",'Recommendations'!L:L,"Resolved")</f>
        <v>0</v>
      </c>
      <c r="G109" s="86">
        <f t="shared" si="4"/>
        <v>0</v>
      </c>
      <c r="H109" s="86"/>
      <c r="J109" s="45" t="s">
        <v>275</v>
      </c>
      <c r="K109" s="42">
        <f>COUNTIFS('Recommendations'!F:F,"Phase3",'Recommendations'!D:D,"Must")</f>
        <v>0</v>
      </c>
      <c r="L109" s="42">
        <f>COUNTIFS('Recommendations'!F:F,"Phase3",'Recommendations'!D:D,"Should")</f>
        <v>0</v>
      </c>
      <c r="M109" s="42">
        <f>COUNTIFS('Recommendations'!F:F,"Phase3",'Recommendations'!D:D,"Could")</f>
        <v>0</v>
      </c>
      <c r="N109" s="42">
        <f>COUNTIFS('Recommendations'!F:F,"Phase3",'Recommendations'!D:D,"Won't")</f>
        <v>0</v>
      </c>
      <c r="O109" s="42">
        <f>COUNTIFS('Recommendations'!F:F,"Phase3",'Recommendations'!D:D,"Unassigned")</f>
        <v>0</v>
      </c>
    </row>
    <row r="110" spans="2:15" x14ac:dyDescent="0.35">
      <c r="B110" s="45" t="s">
        <v>276</v>
      </c>
      <c r="C110" s="85" t="s">
        <v>19</v>
      </c>
      <c r="D110" s="85"/>
      <c r="E110" s="42">
        <f>COUNTIF('Recommendations'!F:F,"Phase4")-COUNTIFS('Recommendations'!F:F,"Phase4",'Recommendations'!G:G,"Risk Accepted")-COUNTIFS('Recommendations'!F:F,"Phase4",'Recommendations'!G:G,"N/A")</f>
        <v>0</v>
      </c>
      <c r="F110" s="42">
        <f>COUNTIFS('Recommendations'!F:F,"Phase4",'Recommendations'!L:L,"Resolved")</f>
        <v>0</v>
      </c>
      <c r="G110" s="86">
        <f t="shared" si="4"/>
        <v>0</v>
      </c>
      <c r="H110" s="86"/>
      <c r="J110" s="45" t="s">
        <v>276</v>
      </c>
      <c r="K110" s="42">
        <f>COUNTIFS('Recommendations'!F:F,"Phase4",'Recommendations'!D:D,"Must")</f>
        <v>0</v>
      </c>
      <c r="L110" s="42">
        <f>COUNTIFS('Recommendations'!F:F,"Phase4",'Recommendations'!D:D,"Should")</f>
        <v>0</v>
      </c>
      <c r="M110" s="42">
        <f>COUNTIFS('Recommendations'!F:F,"Phase4",'Recommendations'!D:D,"Could")</f>
        <v>0</v>
      </c>
      <c r="N110" s="42">
        <f>COUNTIFS('Recommendations'!F:F,"Phase4",'Recommendations'!D:D,"Won't")</f>
        <v>0</v>
      </c>
      <c r="O110" s="42">
        <f>COUNTIFS('Recommendations'!F:F,"Phase4",'Recommendations'!D:D,"Unassigned")</f>
        <v>0</v>
      </c>
    </row>
    <row r="111" spans="2:15" x14ac:dyDescent="0.35">
      <c r="B111" s="45" t="s">
        <v>277</v>
      </c>
      <c r="C111" s="85" t="s">
        <v>19</v>
      </c>
      <c r="D111" s="85"/>
      <c r="E111" s="42">
        <f>COUNTIF('Recommendations'!F:F,"Phase5")-COUNTIFS('Recommendations'!F:F,"Phase5",'Recommendations'!G:G,"Risk Accepted")-COUNTIFS('Recommendations'!F:F,"Phase5",'Recommendations'!G:G,"N/A")</f>
        <v>0</v>
      </c>
      <c r="F111" s="42">
        <f>COUNTIFS('Recommendations'!F:F,"Phase5",'Recommendations'!L:L,"Resolved")</f>
        <v>0</v>
      </c>
      <c r="G111" s="86">
        <f t="shared" si="4"/>
        <v>0</v>
      </c>
      <c r="H111" s="86"/>
      <c r="J111" s="45" t="s">
        <v>277</v>
      </c>
      <c r="K111" s="42">
        <f>COUNTIFS('Recommendations'!F:F,"Phase5",'Recommendations'!D:D,"Must")</f>
        <v>0</v>
      </c>
      <c r="L111" s="42">
        <f>COUNTIFS('Recommendations'!F:F,"Phase5",'Recommendations'!D:D,"Should")</f>
        <v>0</v>
      </c>
      <c r="M111" s="42">
        <f>COUNTIFS('Recommendations'!F:F,"Phase5",'Recommendations'!D:D,"Could")</f>
        <v>0</v>
      </c>
      <c r="N111" s="42">
        <f>COUNTIFS('Recommendations'!F:F,"Phase5",'Recommendations'!D:D,"Won't")</f>
        <v>0</v>
      </c>
      <c r="O111" s="42">
        <f>COUNTIFS('Recommendations'!F:F,"Phase5",'Recommendations'!D:D,"Unassigned")</f>
        <v>0</v>
      </c>
    </row>
    <row r="112" spans="2:15" x14ac:dyDescent="0.35">
      <c r="B112" s="45" t="s">
        <v>18</v>
      </c>
      <c r="C112" s="85" t="s">
        <v>19</v>
      </c>
      <c r="D112" s="85"/>
      <c r="E112" s="42">
        <f>COUNTIF('Recommendations'!F:F,"Pending")-COUNTIFS('Recommendations'!F:F,"Pending",'Recommendations'!G:G,"Risk Accepted")-COUNTIFS('Recommendations'!F:F,"Pending",'Recommendations'!G:G,"N/A")</f>
        <v>35</v>
      </c>
      <c r="F112" s="42">
        <f>COUNTIFS('Recommendations'!F:F,"Pending",'Recommendations'!L:L,"Resolved")</f>
        <v>0</v>
      </c>
      <c r="G112" s="86">
        <f t="shared" si="4"/>
        <v>0</v>
      </c>
      <c r="H112" s="86"/>
      <c r="J112" s="45" t="s">
        <v>18</v>
      </c>
      <c r="K112" s="42">
        <f>COUNTIFS('Recommendations'!F:F,"Pending",'Recommendations'!D:D,"Must")</f>
        <v>0</v>
      </c>
      <c r="L112" s="42">
        <f>COUNTIFS('Recommendations'!F:F,"Pending",'Recommendations'!D:D,"Should")</f>
        <v>0</v>
      </c>
      <c r="M112" s="42">
        <f>COUNTIFS('Recommendations'!F:F,"Pending",'Recommendations'!D:D,"Could")</f>
        <v>0</v>
      </c>
      <c r="N112" s="42">
        <f>COUNTIFS('Recommendations'!F:F,"Pending",'Recommendations'!D:D,"Won't")</f>
        <v>0</v>
      </c>
      <c r="O112" s="42">
        <f>COUNTIFS('Recommendations'!F:F,"Pending",'Recommendations'!D:D,"Unassigned")</f>
        <v>35</v>
      </c>
    </row>
    <row r="119" spans="2:24" ht="21" x14ac:dyDescent="0.5">
      <c r="B119" s="37" t="s">
        <v>293</v>
      </c>
      <c r="P119" s="54" t="s">
        <v>294</v>
      </c>
    </row>
    <row r="121" spans="2:24" ht="60" customHeight="1" x14ac:dyDescent="0.35">
      <c r="B121" s="87" t="s">
        <v>295</v>
      </c>
      <c r="C121" s="80"/>
      <c r="D121" s="80"/>
      <c r="E121" s="80"/>
      <c r="F121" s="80"/>
      <c r="P121" s="87" t="s">
        <v>296</v>
      </c>
      <c r="Q121" s="80"/>
      <c r="R121" s="80"/>
      <c r="S121" s="80"/>
      <c r="T121" s="80"/>
      <c r="U121" s="80"/>
      <c r="V121" s="80"/>
      <c r="W121" s="80"/>
    </row>
    <row r="123" spans="2:24" ht="30" customHeight="1" x14ac:dyDescent="0.35">
      <c r="P123" s="55" t="s">
        <v>297</v>
      </c>
      <c r="Q123" s="56">
        <f>C16</f>
        <v>0</v>
      </c>
      <c r="R123" s="57"/>
      <c r="S123" s="56">
        <f>C69</f>
        <v>0</v>
      </c>
      <c r="T123" s="57"/>
      <c r="U123" s="56">
        <f>C70</f>
        <v>0</v>
      </c>
      <c r="V123" s="57"/>
      <c r="W123" s="56">
        <f>C71</f>
        <v>0</v>
      </c>
      <c r="X123" s="57"/>
    </row>
    <row r="124" spans="2:24" ht="35" customHeight="1" x14ac:dyDescent="0.35">
      <c r="P124" s="58" t="s">
        <v>298</v>
      </c>
      <c r="Q124" s="58" t="s">
        <v>299</v>
      </c>
      <c r="R124" s="58" t="s">
        <v>300</v>
      </c>
      <c r="S124" s="58" t="s">
        <v>301</v>
      </c>
      <c r="T124" s="58" t="s">
        <v>302</v>
      </c>
      <c r="U124" s="58" t="s">
        <v>303</v>
      </c>
      <c r="V124" s="58" t="s">
        <v>304</v>
      </c>
      <c r="W124" s="58" t="s">
        <v>305</v>
      </c>
      <c r="X124" s="58" t="s">
        <v>306</v>
      </c>
    </row>
    <row r="125" spans="2:24" x14ac:dyDescent="0.35">
      <c r="O125" s="59" t="s">
        <v>307</v>
      </c>
      <c r="P125" s="60" t="s">
        <v>308</v>
      </c>
      <c r="Q125" s="61">
        <v>0</v>
      </c>
      <c r="R125" s="62">
        <f>IF(Dashboard!F16&gt;0, Q125/Dashboard!F16, "")</f>
        <v>0</v>
      </c>
      <c r="S125" s="61">
        <v>0</v>
      </c>
      <c r="T125" s="62" t="str">
        <f>IF(AND(NOT(ISBLANK(S125)),Dashboard!F69&gt;0), S125/Dashboard!F69, "")</f>
        <v/>
      </c>
      <c r="U125" s="61">
        <v>0</v>
      </c>
      <c r="V125" s="62" t="str">
        <f>IF(AND(NOT(ISBLANK(U125)),Dashboard!F70&gt;0), U125/Dashboard!F70, "")</f>
        <v/>
      </c>
      <c r="W125" s="61">
        <v>0</v>
      </c>
      <c r="X125" s="62" t="str">
        <f>IF(AND(NOT(ISBLANK(W125)),Dashboard!F71&gt;0), W125/Dashboard!F71, "")</f>
        <v/>
      </c>
    </row>
    <row r="126" spans="2:24" x14ac:dyDescent="0.35">
      <c r="P126" s="53"/>
      <c r="Q126" s="40"/>
      <c r="R126" s="43" t="str">
        <f>IF(AND(NOT(ISBLANK(Q126)),Dashboard!F16&gt;0), Q126/Dashboard!F16, "")</f>
        <v/>
      </c>
      <c r="S126" s="40"/>
      <c r="T126" s="43" t="str">
        <f>IF(AND(NOT(ISBLANK(S126)),Dashboard!F69&gt;0), S126/Dashboard!F69, "")</f>
        <v/>
      </c>
      <c r="U126" s="40"/>
      <c r="V126" s="43" t="str">
        <f>IF(AND(NOT(ISBLANK(U126)),Dashboard!F70&gt;0), U126/Dashboard!F70, "")</f>
        <v/>
      </c>
      <c r="W126" s="40"/>
      <c r="X126" s="43" t="str">
        <f>IF(AND(NOT(ISBLANK(W126)),Dashboard!F71&gt;0), W126/Dashboard!F71, "")</f>
        <v/>
      </c>
    </row>
    <row r="127" spans="2:24" x14ac:dyDescent="0.35">
      <c r="P127" s="53"/>
      <c r="Q127" s="40"/>
      <c r="R127" s="43" t="str">
        <f>IF(AND(NOT(ISBLANK(Q127)),Dashboard!F16&gt;0), Q127/Dashboard!F16, "")</f>
        <v/>
      </c>
      <c r="S127" s="40"/>
      <c r="T127" s="43" t="str">
        <f>IF(AND(NOT(ISBLANK(S127)),Dashboard!F69&gt;0), S127/Dashboard!F69, "")</f>
        <v/>
      </c>
      <c r="U127" s="40"/>
      <c r="V127" s="43" t="str">
        <f>IF(AND(NOT(ISBLANK(U127)),Dashboard!F70&gt;0), U127/Dashboard!F70, "")</f>
        <v/>
      </c>
      <c r="W127" s="40"/>
      <c r="X127" s="43" t="str">
        <f>IF(AND(NOT(ISBLANK(W127)),Dashboard!F71&gt;0), W127/Dashboard!F71, "")</f>
        <v/>
      </c>
    </row>
    <row r="128" spans="2:24" x14ac:dyDescent="0.35">
      <c r="P128" s="53"/>
      <c r="Q128" s="40"/>
      <c r="R128" s="43" t="str">
        <f>IF(AND(NOT(ISBLANK(Q128)),Dashboard!F16&gt;0), Q128/Dashboard!F16, "")</f>
        <v/>
      </c>
      <c r="S128" s="40"/>
      <c r="T128" s="43" t="str">
        <f>IF(AND(NOT(ISBLANK(S128)),Dashboard!F69&gt;0), S128/Dashboard!F69, "")</f>
        <v/>
      </c>
      <c r="U128" s="40"/>
      <c r="V128" s="43" t="str">
        <f>IF(AND(NOT(ISBLANK(U128)),Dashboard!F70&gt;0), U128/Dashboard!F70, "")</f>
        <v/>
      </c>
      <c r="W128" s="40"/>
      <c r="X128" s="43" t="str">
        <f>IF(AND(NOT(ISBLANK(W128)),Dashboard!F71&gt;0), W128/Dashboard!F71, "")</f>
        <v/>
      </c>
    </row>
    <row r="129" spans="16:24" x14ac:dyDescent="0.35">
      <c r="P129" s="53"/>
      <c r="Q129" s="40"/>
      <c r="R129" s="43" t="str">
        <f>IF(AND(NOT(ISBLANK(Q129)),Dashboard!F16&gt;0), Q129/Dashboard!F16, "")</f>
        <v/>
      </c>
      <c r="S129" s="40"/>
      <c r="T129" s="43" t="str">
        <f>IF(AND(NOT(ISBLANK(S129)),Dashboard!F69&gt;0), S129/Dashboard!F69, "")</f>
        <v/>
      </c>
      <c r="U129" s="40"/>
      <c r="V129" s="43" t="str">
        <f>IF(AND(NOT(ISBLANK(U129)),Dashboard!F70&gt;0), U129/Dashboard!F70, "")</f>
        <v/>
      </c>
      <c r="W129" s="40"/>
      <c r="X129" s="43" t="str">
        <f>IF(AND(NOT(ISBLANK(W129)),Dashboard!F71&gt;0), W129/Dashboard!F71, "")</f>
        <v/>
      </c>
    </row>
    <row r="130" spans="16:24" x14ac:dyDescent="0.35">
      <c r="P130" s="53"/>
      <c r="Q130" s="40"/>
      <c r="R130" s="43" t="str">
        <f>IF(AND(NOT(ISBLANK(Q130)),Dashboard!F16&gt;0), Q130/Dashboard!F16, "")</f>
        <v/>
      </c>
      <c r="S130" s="40"/>
      <c r="T130" s="43" t="str">
        <f>IF(AND(NOT(ISBLANK(S130)),Dashboard!F69&gt;0), S130/Dashboard!F69, "")</f>
        <v/>
      </c>
      <c r="U130" s="40"/>
      <c r="V130" s="43" t="str">
        <f>IF(AND(NOT(ISBLANK(U130)),Dashboard!F70&gt;0), U130/Dashboard!F70, "")</f>
        <v/>
      </c>
      <c r="W130" s="40"/>
      <c r="X130" s="43" t="str">
        <f>IF(AND(NOT(ISBLANK(W130)),Dashboard!F71&gt;0), W130/Dashboard!F71, "")</f>
        <v/>
      </c>
    </row>
    <row r="131" spans="16:24" x14ac:dyDescent="0.35">
      <c r="P131" s="53"/>
      <c r="Q131" s="40"/>
      <c r="R131" s="43" t="str">
        <f>IF(AND(NOT(ISBLANK(Q131)),Dashboard!F16&gt;0), Q131/Dashboard!F16, "")</f>
        <v/>
      </c>
      <c r="S131" s="40"/>
      <c r="T131" s="43" t="str">
        <f>IF(AND(NOT(ISBLANK(S131)),Dashboard!F69&gt;0), S131/Dashboard!F69, "")</f>
        <v/>
      </c>
      <c r="U131" s="40"/>
      <c r="V131" s="43" t="str">
        <f>IF(AND(NOT(ISBLANK(U131)),Dashboard!F70&gt;0), U131/Dashboard!F70, "")</f>
        <v/>
      </c>
      <c r="W131" s="40"/>
      <c r="X131" s="43" t="str">
        <f>IF(AND(NOT(ISBLANK(W131)),Dashboard!F71&gt;0), W131/Dashboard!F71, "")</f>
        <v/>
      </c>
    </row>
    <row r="132" spans="16:24" x14ac:dyDescent="0.35">
      <c r="P132" s="53"/>
      <c r="Q132" s="40"/>
      <c r="R132" s="43" t="str">
        <f>IF(AND(NOT(ISBLANK(Q132)),Dashboard!F16&gt;0), Q132/Dashboard!F16, "")</f>
        <v/>
      </c>
      <c r="S132" s="40"/>
      <c r="T132" s="43" t="str">
        <f>IF(AND(NOT(ISBLANK(S132)),Dashboard!F69&gt;0), S132/Dashboard!F69, "")</f>
        <v/>
      </c>
      <c r="U132" s="40"/>
      <c r="V132" s="43" t="str">
        <f>IF(AND(NOT(ISBLANK(U132)),Dashboard!F70&gt;0), U132/Dashboard!F70, "")</f>
        <v/>
      </c>
      <c r="W132" s="40"/>
      <c r="X132" s="43" t="str">
        <f>IF(AND(NOT(ISBLANK(W132)),Dashboard!F71&gt;0), W132/Dashboard!F71, "")</f>
        <v/>
      </c>
    </row>
    <row r="133" spans="16:24" x14ac:dyDescent="0.35">
      <c r="P133" s="53"/>
      <c r="Q133" s="40"/>
      <c r="R133" s="43" t="str">
        <f>IF(AND(NOT(ISBLANK(Q133)),Dashboard!F16&gt;0), Q133/Dashboard!F16, "")</f>
        <v/>
      </c>
      <c r="S133" s="40"/>
      <c r="T133" s="43" t="str">
        <f>IF(AND(NOT(ISBLANK(S133)),Dashboard!F69&gt;0), S133/Dashboard!F69, "")</f>
        <v/>
      </c>
      <c r="U133" s="40"/>
      <c r="V133" s="43" t="str">
        <f>IF(AND(NOT(ISBLANK(U133)),Dashboard!F70&gt;0), U133/Dashboard!F70, "")</f>
        <v/>
      </c>
      <c r="W133" s="40"/>
      <c r="X133" s="43" t="str">
        <f>IF(AND(NOT(ISBLANK(W133)),Dashboard!F71&gt;0), W133/Dashboard!F71, "")</f>
        <v/>
      </c>
    </row>
    <row r="134" spans="16:24" x14ac:dyDescent="0.35">
      <c r="P134" s="53"/>
      <c r="Q134" s="40"/>
      <c r="R134" s="43" t="str">
        <f>IF(AND(NOT(ISBLANK(Q134)),Dashboard!F16&gt;0), Q134/Dashboard!F16, "")</f>
        <v/>
      </c>
      <c r="S134" s="40"/>
      <c r="T134" s="43" t="str">
        <f>IF(AND(NOT(ISBLANK(S134)),Dashboard!F69&gt;0), S134/Dashboard!F69, "")</f>
        <v/>
      </c>
      <c r="U134" s="40"/>
      <c r="V134" s="43" t="str">
        <f>IF(AND(NOT(ISBLANK(U134)),Dashboard!F70&gt;0), U134/Dashboard!F70, "")</f>
        <v/>
      </c>
      <c r="W134" s="40"/>
      <c r="X134" s="43" t="str">
        <f>IF(AND(NOT(ISBLANK(W134)),Dashboard!F71&gt;0), W134/Dashboard!F71, "")</f>
        <v/>
      </c>
    </row>
    <row r="135" spans="16:24" x14ac:dyDescent="0.35">
      <c r="P135" s="53"/>
      <c r="Q135" s="40"/>
      <c r="R135" s="43" t="str">
        <f>IF(AND(NOT(ISBLANK(Q135)),Dashboard!F16&gt;0), Q135/Dashboard!F16, "")</f>
        <v/>
      </c>
      <c r="S135" s="40"/>
      <c r="T135" s="43" t="str">
        <f>IF(AND(NOT(ISBLANK(S135)),Dashboard!F69&gt;0), S135/Dashboard!F69, "")</f>
        <v/>
      </c>
      <c r="U135" s="40"/>
      <c r="V135" s="43" t="str">
        <f>IF(AND(NOT(ISBLANK(U135)),Dashboard!F70&gt;0), U135/Dashboard!F70, "")</f>
        <v/>
      </c>
      <c r="W135" s="40"/>
      <c r="X135" s="43" t="str">
        <f>IF(AND(NOT(ISBLANK(W135)),Dashboard!F71&gt;0), W135/Dashboard!F71, "")</f>
        <v/>
      </c>
    </row>
    <row r="136" spans="16:24" x14ac:dyDescent="0.35">
      <c r="P136" s="53"/>
      <c r="Q136" s="40"/>
      <c r="R136" s="43" t="str">
        <f>IF(AND(NOT(ISBLANK(Q136)),Dashboard!F16&gt;0), Q136/Dashboard!F16, "")</f>
        <v/>
      </c>
      <c r="S136" s="40"/>
      <c r="T136" s="43" t="str">
        <f>IF(AND(NOT(ISBLANK(S136)),Dashboard!F69&gt;0), S136/Dashboard!F69, "")</f>
        <v/>
      </c>
      <c r="U136" s="40"/>
      <c r="V136" s="43" t="str">
        <f>IF(AND(NOT(ISBLANK(U136)),Dashboard!F70&gt;0), U136/Dashboard!F70, "")</f>
        <v/>
      </c>
      <c r="W136" s="40"/>
      <c r="X136" s="43" t="str">
        <f>IF(AND(NOT(ISBLANK(W136)),Dashboard!F71&gt;0), W136/Dashboard!F71, "")</f>
        <v/>
      </c>
    </row>
    <row r="137" spans="16:24" x14ac:dyDescent="0.35">
      <c r="P137" s="53"/>
      <c r="Q137" s="40"/>
      <c r="R137" s="43" t="str">
        <f>IF(AND(NOT(ISBLANK(Q137)),Dashboard!F16&gt;0), Q137/Dashboard!F16, "")</f>
        <v/>
      </c>
      <c r="S137" s="40"/>
      <c r="T137" s="43" t="str">
        <f>IF(AND(NOT(ISBLANK(S137)),Dashboard!F69&gt;0), S137/Dashboard!F69, "")</f>
        <v/>
      </c>
      <c r="U137" s="40"/>
      <c r="V137" s="43" t="str">
        <f>IF(AND(NOT(ISBLANK(U137)),Dashboard!F70&gt;0), U137/Dashboard!F70, "")</f>
        <v/>
      </c>
      <c r="W137" s="40"/>
      <c r="X137" s="43" t="str">
        <f>IF(AND(NOT(ISBLANK(W137)),Dashboard!F71&gt;0), W137/Dashboard!F71, "")</f>
        <v/>
      </c>
    </row>
    <row r="138" spans="16:24" x14ac:dyDescent="0.35">
      <c r="P138" s="53"/>
      <c r="Q138" s="40"/>
      <c r="R138" s="43" t="str">
        <f>IF(AND(NOT(ISBLANK(Q138)),Dashboard!F16&gt;0), Q138/Dashboard!F16, "")</f>
        <v/>
      </c>
      <c r="S138" s="40"/>
      <c r="T138" s="43" t="str">
        <f>IF(AND(NOT(ISBLANK(S138)),Dashboard!F69&gt;0), S138/Dashboard!F69, "")</f>
        <v/>
      </c>
      <c r="U138" s="40"/>
      <c r="V138" s="43" t="str">
        <f>IF(AND(NOT(ISBLANK(U138)),Dashboard!F70&gt;0), U138/Dashboard!F70, "")</f>
        <v/>
      </c>
      <c r="W138" s="40"/>
      <c r="X138" s="43" t="str">
        <f>IF(AND(NOT(ISBLANK(W138)),Dashboard!F71&gt;0), W138/Dashboard!F71, "")</f>
        <v/>
      </c>
    </row>
    <row r="139" spans="16:24" x14ac:dyDescent="0.35">
      <c r="P139" s="53"/>
      <c r="Q139" s="40"/>
      <c r="R139" s="43" t="str">
        <f>IF(AND(NOT(ISBLANK(Q139)),Dashboard!F16&gt;0), Q139/Dashboard!F16, "")</f>
        <v/>
      </c>
      <c r="S139" s="40"/>
      <c r="T139" s="43" t="str">
        <f>IF(AND(NOT(ISBLANK(S139)),Dashboard!F69&gt;0), S139/Dashboard!F69, "")</f>
        <v/>
      </c>
      <c r="U139" s="40"/>
      <c r="V139" s="43" t="str">
        <f>IF(AND(NOT(ISBLANK(U139)),Dashboard!F70&gt;0), U139/Dashboard!F70, "")</f>
        <v/>
      </c>
      <c r="W139" s="40"/>
      <c r="X139" s="43" t="str">
        <f>IF(AND(NOT(ISBLANK(W139)),Dashboard!F71&gt;0), W139/Dashboard!F71, "")</f>
        <v/>
      </c>
    </row>
    <row r="140" spans="16:24" x14ac:dyDescent="0.35">
      <c r="P140" s="53"/>
      <c r="Q140" s="40"/>
      <c r="R140" s="43" t="str">
        <f>IF(AND(NOT(ISBLANK(Q140)),Dashboard!F16&gt;0), Q140/Dashboard!F16, "")</f>
        <v/>
      </c>
      <c r="S140" s="40"/>
      <c r="T140" s="43" t="str">
        <f>IF(AND(NOT(ISBLANK(S140)),Dashboard!F69&gt;0), S140/Dashboard!F69, "")</f>
        <v/>
      </c>
      <c r="U140" s="40"/>
      <c r="V140" s="43" t="str">
        <f>IF(AND(NOT(ISBLANK(U140)),Dashboard!F70&gt;0), U140/Dashboard!F70, "")</f>
        <v/>
      </c>
      <c r="W140" s="40"/>
      <c r="X140" s="43" t="str">
        <f>IF(AND(NOT(ISBLANK(W140)),Dashboard!F71&gt;0), W140/Dashboard!F71, "")</f>
        <v/>
      </c>
    </row>
    <row r="141" spans="16:24" x14ac:dyDescent="0.35">
      <c r="P141" s="53"/>
      <c r="Q141" s="40"/>
      <c r="R141" s="43" t="str">
        <f>IF(AND(NOT(ISBLANK(Q141)),Dashboard!F16&gt;0), Q141/Dashboard!F16, "")</f>
        <v/>
      </c>
      <c r="S141" s="40"/>
      <c r="T141" s="43" t="str">
        <f>IF(AND(NOT(ISBLANK(S141)),Dashboard!F69&gt;0), S141/Dashboard!F69, "")</f>
        <v/>
      </c>
      <c r="U141" s="40"/>
      <c r="V141" s="43" t="str">
        <f>IF(AND(NOT(ISBLANK(U141)),Dashboard!F70&gt;0), U141/Dashboard!F70, "")</f>
        <v/>
      </c>
      <c r="W141" s="40"/>
      <c r="X141" s="43" t="str">
        <f>IF(AND(NOT(ISBLANK(W141)),Dashboard!F71&gt;0), W141/Dashboard!F71, "")</f>
        <v/>
      </c>
    </row>
    <row r="142" spans="16:24" x14ac:dyDescent="0.35">
      <c r="P142" s="53"/>
      <c r="Q142" s="40"/>
      <c r="R142" s="43" t="str">
        <f>IF(AND(NOT(ISBLANK(Q142)),Dashboard!F16&gt;0), Q142/Dashboard!F16, "")</f>
        <v/>
      </c>
      <c r="S142" s="40"/>
      <c r="T142" s="43" t="str">
        <f>IF(AND(NOT(ISBLANK(S142)),Dashboard!F69&gt;0), S142/Dashboard!F69, "")</f>
        <v/>
      </c>
      <c r="U142" s="40"/>
      <c r="V142" s="43" t="str">
        <f>IF(AND(NOT(ISBLANK(U142)),Dashboard!F70&gt;0), U142/Dashboard!F70, "")</f>
        <v/>
      </c>
      <c r="W142" s="40"/>
      <c r="X142" s="43" t="str">
        <f>IF(AND(NOT(ISBLANK(W142)),Dashboard!F71&gt;0), W142/Dashboard!F71, "")</f>
        <v/>
      </c>
    </row>
    <row r="143" spans="16:24" x14ac:dyDescent="0.35">
      <c r="P143" s="53"/>
      <c r="Q143" s="40"/>
      <c r="R143" s="43" t="str">
        <f>IF(AND(NOT(ISBLANK(Q143)),Dashboard!F16&gt;0), Q143/Dashboard!F16, "")</f>
        <v/>
      </c>
      <c r="S143" s="40"/>
      <c r="T143" s="43" t="str">
        <f>IF(AND(NOT(ISBLANK(S143)),Dashboard!F69&gt;0), S143/Dashboard!F69, "")</f>
        <v/>
      </c>
      <c r="U143" s="40"/>
      <c r="V143" s="43" t="str">
        <f>IF(AND(NOT(ISBLANK(U143)),Dashboard!F70&gt;0), U143/Dashboard!F70, "")</f>
        <v/>
      </c>
      <c r="W143" s="40"/>
      <c r="X143" s="43" t="str">
        <f>IF(AND(NOT(ISBLANK(W143)),Dashboard!F71&gt;0), W143/Dashboard!F71, "")</f>
        <v/>
      </c>
    </row>
    <row r="144" spans="16:24" x14ac:dyDescent="0.35">
      <c r="P144" s="53"/>
      <c r="Q144" s="40"/>
      <c r="R144" s="43" t="str">
        <f>IF(AND(NOT(ISBLANK(Q144)),Dashboard!F16&gt;0), Q144/Dashboard!F16, "")</f>
        <v/>
      </c>
      <c r="S144" s="40"/>
      <c r="T144" s="43" t="str">
        <f>IF(AND(NOT(ISBLANK(S144)),Dashboard!F69&gt;0), S144/Dashboard!F69, "")</f>
        <v/>
      </c>
      <c r="U144" s="40"/>
      <c r="V144" s="43" t="str">
        <f>IF(AND(NOT(ISBLANK(U144)),Dashboard!F70&gt;0), U144/Dashboard!F70, "")</f>
        <v/>
      </c>
      <c r="W144" s="40"/>
      <c r="X144" s="43" t="str">
        <f>IF(AND(NOT(ISBLANK(W144)),Dashboard!F71&gt;0), W144/Dashboard!F71, "")</f>
        <v/>
      </c>
    </row>
    <row r="145" spans="2:24" x14ac:dyDescent="0.35">
      <c r="P145" s="53"/>
      <c r="Q145" s="40"/>
      <c r="R145" s="43" t="str">
        <f>IF(AND(NOT(ISBLANK(Q145)),Dashboard!F16&gt;0), Q145/Dashboard!F16, "")</f>
        <v/>
      </c>
      <c r="S145" s="40"/>
      <c r="T145" s="43" t="str">
        <f>IF(AND(NOT(ISBLANK(S145)),Dashboard!F69&gt;0), S145/Dashboard!F69, "")</f>
        <v/>
      </c>
      <c r="U145" s="40"/>
      <c r="V145" s="43" t="str">
        <f>IF(AND(NOT(ISBLANK(U145)),Dashboard!F70&gt;0), U145/Dashboard!F70, "")</f>
        <v/>
      </c>
      <c r="W145" s="40"/>
      <c r="X145" s="43" t="str">
        <f>IF(AND(NOT(ISBLANK(W145)),Dashboard!F71&gt;0), W145/Dashboard!F71, "")</f>
        <v/>
      </c>
    </row>
    <row r="146" spans="2:24" x14ac:dyDescent="0.35">
      <c r="P146" s="53"/>
      <c r="Q146" s="40"/>
      <c r="R146" s="43" t="str">
        <f>IF(AND(NOT(ISBLANK(Q146)),Dashboard!F16&gt;0), Q146/Dashboard!F16, "")</f>
        <v/>
      </c>
      <c r="S146" s="40"/>
      <c r="T146" s="43" t="str">
        <f>IF(AND(NOT(ISBLANK(S146)),Dashboard!F69&gt;0), S146/Dashboard!F69, "")</f>
        <v/>
      </c>
      <c r="U146" s="40"/>
      <c r="V146" s="43" t="str">
        <f>IF(AND(NOT(ISBLANK(U146)),Dashboard!F70&gt;0), U146/Dashboard!F70, "")</f>
        <v/>
      </c>
      <c r="W146" s="40"/>
      <c r="X146" s="43" t="str">
        <f>IF(AND(NOT(ISBLANK(W146)),Dashboard!F71&gt;0), W146/Dashboard!F71, "")</f>
        <v/>
      </c>
    </row>
    <row r="147" spans="2:24" x14ac:dyDescent="0.35">
      <c r="P147" s="53"/>
      <c r="Q147" s="40"/>
      <c r="R147" s="43" t="str">
        <f>IF(AND(NOT(ISBLANK(Q147)),Dashboard!F16&gt;0), Q147/Dashboard!F16, "")</f>
        <v/>
      </c>
      <c r="S147" s="40"/>
      <c r="T147" s="43" t="str">
        <f>IF(AND(NOT(ISBLANK(S147)),Dashboard!F69&gt;0), S147/Dashboard!F69, "")</f>
        <v/>
      </c>
      <c r="U147" s="40"/>
      <c r="V147" s="43" t="str">
        <f>IF(AND(NOT(ISBLANK(U147)),Dashboard!F70&gt;0), U147/Dashboard!F70, "")</f>
        <v/>
      </c>
      <c r="W147" s="40"/>
      <c r="X147" s="43" t="str">
        <f>IF(AND(NOT(ISBLANK(W147)),Dashboard!F71&gt;0), W147/Dashboard!F71, "")</f>
        <v/>
      </c>
    </row>
    <row r="148" spans="2:24" x14ac:dyDescent="0.35">
      <c r="P148" s="53"/>
      <c r="Q148" s="40"/>
      <c r="R148" s="43" t="str">
        <f>IF(AND(NOT(ISBLANK(Q148)),Dashboard!F16&gt;0), Q148/Dashboard!F16, "")</f>
        <v/>
      </c>
      <c r="S148" s="40"/>
      <c r="T148" s="43" t="str">
        <f>IF(AND(NOT(ISBLANK(S148)),Dashboard!F69&gt;0), S148/Dashboard!F69, "")</f>
        <v/>
      </c>
      <c r="U148" s="40"/>
      <c r="V148" s="43" t="str">
        <f>IF(AND(NOT(ISBLANK(U148)),Dashboard!F70&gt;0), U148/Dashboard!F70, "")</f>
        <v/>
      </c>
      <c r="W148" s="40"/>
      <c r="X148" s="43" t="str">
        <f>IF(AND(NOT(ISBLANK(W148)),Dashboard!F71&gt;0), W148/Dashboard!F71, "")</f>
        <v/>
      </c>
    </row>
    <row r="149" spans="2:24" x14ac:dyDescent="0.35">
      <c r="P149" s="53"/>
      <c r="Q149" s="40"/>
      <c r="R149" s="43" t="str">
        <f>IF(AND(NOT(ISBLANK(Q149)),Dashboard!F16&gt;0), Q149/Dashboard!F16, "")</f>
        <v/>
      </c>
      <c r="S149" s="40"/>
      <c r="T149" s="43" t="str">
        <f>IF(AND(NOT(ISBLANK(S149)),Dashboard!F69&gt;0), S149/Dashboard!F69, "")</f>
        <v/>
      </c>
      <c r="U149" s="40"/>
      <c r="V149" s="43" t="str">
        <f>IF(AND(NOT(ISBLANK(U149)),Dashboard!F70&gt;0), U149/Dashboard!F70, "")</f>
        <v/>
      </c>
      <c r="W149" s="40"/>
      <c r="X149" s="43" t="str">
        <f>IF(AND(NOT(ISBLANK(W149)),Dashboard!F71&gt;0), W149/Dashboard!F71, "")</f>
        <v/>
      </c>
    </row>
    <row r="150" spans="2:24" x14ac:dyDescent="0.35">
      <c r="P150" s="53"/>
      <c r="Q150" s="40"/>
      <c r="R150" s="43" t="str">
        <f>IF(AND(NOT(ISBLANK(Q150)),Dashboard!F16&gt;0), Q150/Dashboard!F16, "")</f>
        <v/>
      </c>
      <c r="S150" s="40"/>
      <c r="T150" s="43" t="str">
        <f>IF(AND(NOT(ISBLANK(S150)),Dashboard!F69&gt;0), S150/Dashboard!F69, "")</f>
        <v/>
      </c>
      <c r="U150" s="40"/>
      <c r="V150" s="43" t="str">
        <f>IF(AND(NOT(ISBLANK(U150)),Dashboard!F70&gt;0), U150/Dashboard!F70, "")</f>
        <v/>
      </c>
      <c r="W150" s="40"/>
      <c r="X150" s="43" t="str">
        <f>IF(AND(NOT(ISBLANK(W150)),Dashboard!F71&gt;0), W150/Dashboard!F71, "")</f>
        <v/>
      </c>
    </row>
    <row r="151" spans="2:24" x14ac:dyDescent="0.35">
      <c r="P151" s="53"/>
      <c r="Q151" s="40"/>
      <c r="R151" s="43" t="str">
        <f>IF(AND(NOT(ISBLANK(Q151)),Dashboard!F16&gt;0), Q151/Dashboard!F16, "")</f>
        <v/>
      </c>
      <c r="S151" s="40"/>
      <c r="T151" s="43" t="str">
        <f>IF(AND(NOT(ISBLANK(S151)),Dashboard!F69&gt;0), S151/Dashboard!F69, "")</f>
        <v/>
      </c>
      <c r="U151" s="40"/>
      <c r="V151" s="43" t="str">
        <f>IF(AND(NOT(ISBLANK(U151)),Dashboard!F70&gt;0), U151/Dashboard!F70, "")</f>
        <v/>
      </c>
      <c r="W151" s="40"/>
      <c r="X151" s="43" t="str">
        <f>IF(AND(NOT(ISBLANK(W151)),Dashboard!F71&gt;0), W151/Dashboard!F71, "")</f>
        <v/>
      </c>
    </row>
    <row r="152" spans="2:24" x14ac:dyDescent="0.35">
      <c r="P152" s="53"/>
      <c r="Q152" s="40"/>
      <c r="R152" s="43" t="str">
        <f>IF(AND(NOT(ISBLANK(Q152)),Dashboard!F16&gt;0), Q152/Dashboard!F16, "")</f>
        <v/>
      </c>
      <c r="S152" s="40"/>
      <c r="T152" s="43" t="str">
        <f>IF(AND(NOT(ISBLANK(S152)),Dashboard!F69&gt;0), S152/Dashboard!F69, "")</f>
        <v/>
      </c>
      <c r="U152" s="40"/>
      <c r="V152" s="43" t="str">
        <f>IF(AND(NOT(ISBLANK(U152)),Dashboard!F70&gt;0), U152/Dashboard!F70, "")</f>
        <v/>
      </c>
      <c r="W152" s="40"/>
      <c r="X152" s="43" t="str">
        <f>IF(AND(NOT(ISBLANK(W152)),Dashboard!F71&gt;0), W152/Dashboard!F71, "")</f>
        <v/>
      </c>
    </row>
    <row r="153" spans="2:24" x14ac:dyDescent="0.35">
      <c r="P153" s="53"/>
      <c r="Q153" s="40"/>
      <c r="R153" s="43" t="str">
        <f>IF(AND(NOT(ISBLANK(Q153)),Dashboard!F16&gt;0), Q153/Dashboard!F16, "")</f>
        <v/>
      </c>
      <c r="S153" s="40"/>
      <c r="T153" s="43" t="str">
        <f>IF(AND(NOT(ISBLANK(S153)),Dashboard!F69&gt;0), S153/Dashboard!F69, "")</f>
        <v/>
      </c>
      <c r="U153" s="40"/>
      <c r="V153" s="43" t="str">
        <f>IF(AND(NOT(ISBLANK(U153)),Dashboard!F70&gt;0), U153/Dashboard!F70, "")</f>
        <v/>
      </c>
      <c r="W153" s="40"/>
      <c r="X153" s="43" t="str">
        <f>IF(AND(NOT(ISBLANK(W153)),Dashboard!F71&gt;0), W153/Dashboard!F71, "")</f>
        <v/>
      </c>
    </row>
    <row r="154" spans="2:24" x14ac:dyDescent="0.35">
      <c r="P154" s="53"/>
      <c r="Q154" s="40"/>
      <c r="R154" s="43" t="str">
        <f>IF(AND(NOT(ISBLANK(Q154)),Dashboard!F16&gt;0), Q154/Dashboard!F16, "")</f>
        <v/>
      </c>
      <c r="S154" s="40"/>
      <c r="T154" s="43" t="str">
        <f>IF(AND(NOT(ISBLANK(S154)),Dashboard!F69&gt;0), S154/Dashboard!F69, "")</f>
        <v/>
      </c>
      <c r="U154" s="40"/>
      <c r="V154" s="43" t="str">
        <f>IF(AND(NOT(ISBLANK(U154)),Dashboard!F70&gt;0), U154/Dashboard!F70, "")</f>
        <v/>
      </c>
      <c r="W154" s="40"/>
      <c r="X154" s="43" t="str">
        <f>IF(AND(NOT(ISBLANK(W154)),Dashboard!F71&gt;0), W154/Dashboard!F71, "")</f>
        <v/>
      </c>
    </row>
    <row r="155" spans="2:24" x14ac:dyDescent="0.35">
      <c r="P155" s="53"/>
      <c r="Q155" s="40"/>
      <c r="R155" s="43" t="str">
        <f>IF(AND(NOT(ISBLANK(Q155)),Dashboard!F16&gt;0), Q155/Dashboard!F16, "")</f>
        <v/>
      </c>
      <c r="S155" s="40"/>
      <c r="T155" s="43" t="str">
        <f>IF(AND(NOT(ISBLANK(S155)),Dashboard!F69&gt;0), S155/Dashboard!F69, "")</f>
        <v/>
      </c>
      <c r="U155" s="40"/>
      <c r="V155" s="43" t="str">
        <f>IF(AND(NOT(ISBLANK(U155)),Dashboard!F70&gt;0), U155/Dashboard!F70, "")</f>
        <v/>
      </c>
      <c r="W155" s="40"/>
      <c r="X155" s="43" t="str">
        <f>IF(AND(NOT(ISBLANK(W155)),Dashboard!F71&gt;0), W155/Dashboard!F71, "")</f>
        <v/>
      </c>
    </row>
    <row r="160" spans="2:24" ht="21" x14ac:dyDescent="0.5">
      <c r="B160" s="37" t="s">
        <v>309</v>
      </c>
      <c r="P160" s="54" t="s">
        <v>310</v>
      </c>
    </row>
    <row r="162" spans="2:22" ht="45" customHeight="1" x14ac:dyDescent="0.35">
      <c r="B162" s="87" t="s">
        <v>311</v>
      </c>
      <c r="C162" s="80"/>
      <c r="D162" s="80"/>
      <c r="E162" s="80"/>
      <c r="F162" s="80"/>
      <c r="P162" s="87" t="s">
        <v>312</v>
      </c>
      <c r="Q162" s="80"/>
      <c r="R162" s="80"/>
      <c r="S162" s="80"/>
      <c r="T162" s="80"/>
      <c r="U162" s="80"/>
    </row>
    <row r="163" spans="2:22" ht="35" customHeight="1" x14ac:dyDescent="0.35">
      <c r="P163" s="84" t="s">
        <v>313</v>
      </c>
      <c r="Q163" s="84"/>
      <c r="R163" s="84" t="s">
        <v>314</v>
      </c>
      <c r="S163" s="84"/>
      <c r="T163" s="84"/>
    </row>
    <row r="164" spans="2:22" ht="30" customHeight="1" x14ac:dyDescent="0.35">
      <c r="P164" s="88">
        <v>0</v>
      </c>
      <c r="Q164" s="89"/>
      <c r="R164" s="90" t="s">
        <v>315</v>
      </c>
      <c r="S164" s="91"/>
      <c r="T164" s="91"/>
    </row>
    <row r="167" spans="2:22" ht="25" customHeight="1" x14ac:dyDescent="0.35">
      <c r="P167" s="63" t="s">
        <v>298</v>
      </c>
      <c r="Q167" s="63" t="s">
        <v>316</v>
      </c>
      <c r="R167" s="63" t="s">
        <v>317</v>
      </c>
      <c r="S167" s="92" t="s">
        <v>7</v>
      </c>
      <c r="T167" s="92"/>
      <c r="U167" s="92"/>
      <c r="V167" s="80"/>
    </row>
    <row r="168" spans="2:22" ht="20" customHeight="1" x14ac:dyDescent="0.35">
      <c r="P168" s="65"/>
      <c r="Q168" s="66"/>
      <c r="R168" s="67" t="str">
        <f>IF(AND(NOT(ISBLANK(Q168)), Dashboard!$P164&gt;0), Q168/Dashboard!$P164, "")</f>
        <v/>
      </c>
      <c r="S168" s="93"/>
      <c r="T168" s="94"/>
      <c r="U168" s="94"/>
      <c r="V168" s="94"/>
    </row>
    <row r="169" spans="2:22" ht="20" customHeight="1" x14ac:dyDescent="0.35">
      <c r="P169" s="65"/>
      <c r="Q169" s="66"/>
      <c r="R169" s="67" t="str">
        <f>IF(AND(NOT(ISBLANK(Q169)), Dashboard!$P164&gt;0), Q169/Dashboard!$P164, "")</f>
        <v/>
      </c>
      <c r="S169" s="93"/>
      <c r="T169" s="94"/>
      <c r="U169" s="94"/>
      <c r="V169" s="94"/>
    </row>
    <row r="170" spans="2:22" ht="20" customHeight="1" x14ac:dyDescent="0.35">
      <c r="P170" s="65"/>
      <c r="Q170" s="66"/>
      <c r="R170" s="67" t="str">
        <f>IF(AND(NOT(ISBLANK(Q170)), Dashboard!$P164&gt;0), Q170/Dashboard!$P164, "")</f>
        <v/>
      </c>
      <c r="S170" s="93"/>
      <c r="T170" s="94"/>
      <c r="U170" s="94"/>
      <c r="V170" s="94"/>
    </row>
    <row r="171" spans="2:22" ht="20" customHeight="1" x14ac:dyDescent="0.35">
      <c r="P171" s="65"/>
      <c r="Q171" s="66"/>
      <c r="R171" s="67" t="str">
        <f>IF(AND(NOT(ISBLANK(Q171)), Dashboard!$P164&gt;0), Q171/Dashboard!$P164, "")</f>
        <v/>
      </c>
      <c r="S171" s="93"/>
      <c r="T171" s="94"/>
      <c r="U171" s="94"/>
      <c r="V171" s="94"/>
    </row>
    <row r="172" spans="2:22" ht="20" customHeight="1" x14ac:dyDescent="0.35">
      <c r="P172" s="65"/>
      <c r="Q172" s="66"/>
      <c r="R172" s="67" t="str">
        <f>IF(AND(NOT(ISBLANK(Q172)), Dashboard!$P164&gt;0), Q172/Dashboard!$P164, "")</f>
        <v/>
      </c>
      <c r="S172" s="93"/>
      <c r="T172" s="94"/>
      <c r="U172" s="94"/>
      <c r="V172" s="94"/>
    </row>
    <row r="173" spans="2:22" ht="20" customHeight="1" x14ac:dyDescent="0.35">
      <c r="P173" s="65"/>
      <c r="Q173" s="66"/>
      <c r="R173" s="67" t="str">
        <f>IF(AND(NOT(ISBLANK(Q173)), Dashboard!$P164&gt;0), Q173/Dashboard!$P164, "")</f>
        <v/>
      </c>
      <c r="S173" s="93"/>
      <c r="T173" s="94"/>
      <c r="U173" s="94"/>
      <c r="V173" s="94"/>
    </row>
    <row r="174" spans="2:22" ht="20" customHeight="1" x14ac:dyDescent="0.35">
      <c r="P174" s="65"/>
      <c r="Q174" s="66"/>
      <c r="R174" s="67" t="str">
        <f>IF(AND(NOT(ISBLANK(Q174)), Dashboard!$P164&gt;0), Q174/Dashboard!$P164, "")</f>
        <v/>
      </c>
      <c r="S174" s="93"/>
      <c r="T174" s="94"/>
      <c r="U174" s="94"/>
      <c r="V174" s="94"/>
    </row>
    <row r="175" spans="2:22" ht="20" customHeight="1" x14ac:dyDescent="0.35">
      <c r="P175" s="65"/>
      <c r="Q175" s="66"/>
      <c r="R175" s="67" t="str">
        <f>IF(AND(NOT(ISBLANK(Q175)), Dashboard!$P164&gt;0), Q175/Dashboard!$P164, "")</f>
        <v/>
      </c>
      <c r="S175" s="93"/>
      <c r="T175" s="94"/>
      <c r="U175" s="94"/>
      <c r="V175" s="94"/>
    </row>
    <row r="176" spans="2:22" ht="20" customHeight="1" x14ac:dyDescent="0.35">
      <c r="P176" s="65"/>
      <c r="Q176" s="66"/>
      <c r="R176" s="67" t="str">
        <f>IF(AND(NOT(ISBLANK(Q176)), Dashboard!$P164&gt;0), Q176/Dashboard!$P164, "")</f>
        <v/>
      </c>
      <c r="S176" s="93"/>
      <c r="T176" s="94"/>
      <c r="U176" s="94"/>
      <c r="V176" s="94"/>
    </row>
    <row r="177" spans="2:22" ht="20" customHeight="1" x14ac:dyDescent="0.35">
      <c r="P177" s="65"/>
      <c r="Q177" s="66"/>
      <c r="R177" s="67" t="str">
        <f>IF(AND(NOT(ISBLANK(Q177)), Dashboard!$P164&gt;0), Q177/Dashboard!$P164, "")</f>
        <v/>
      </c>
      <c r="S177" s="93"/>
      <c r="T177" s="94"/>
      <c r="U177" s="94"/>
      <c r="V177" s="94"/>
    </row>
    <row r="178" spans="2:22" ht="20" customHeight="1" x14ac:dyDescent="0.35">
      <c r="P178" s="65"/>
      <c r="Q178" s="66"/>
      <c r="R178" s="67" t="str">
        <f>IF(AND(NOT(ISBLANK(Q178)), Dashboard!$P164&gt;0), Q178/Dashboard!$P164, "")</f>
        <v/>
      </c>
      <c r="S178" s="93"/>
      <c r="T178" s="94"/>
      <c r="U178" s="94"/>
      <c r="V178" s="94"/>
    </row>
    <row r="179" spans="2:22" ht="20" customHeight="1" x14ac:dyDescent="0.35">
      <c r="P179" s="65"/>
      <c r="Q179" s="66"/>
      <c r="R179" s="67" t="str">
        <f>IF(AND(NOT(ISBLANK(Q179)), Dashboard!$P164&gt;0), Q179/Dashboard!$P164, "")</f>
        <v/>
      </c>
      <c r="S179" s="93"/>
      <c r="T179" s="94"/>
      <c r="U179" s="94"/>
      <c r="V179" s="94"/>
    </row>
    <row r="180" spans="2:22" ht="20" customHeight="1" x14ac:dyDescent="0.35">
      <c r="P180" s="65"/>
      <c r="Q180" s="66"/>
      <c r="R180" s="67" t="str">
        <f>IF(AND(NOT(ISBLANK(Q180)), Dashboard!$P164&gt;0), Q180/Dashboard!$P164, "")</f>
        <v/>
      </c>
      <c r="S180" s="93"/>
      <c r="T180" s="94"/>
      <c r="U180" s="94"/>
      <c r="V180" s="94"/>
    </row>
    <row r="181" spans="2:22" ht="20" customHeight="1" x14ac:dyDescent="0.35">
      <c r="P181" s="65"/>
      <c r="Q181" s="66"/>
      <c r="R181" s="67" t="str">
        <f>IF(AND(NOT(ISBLANK(Q181)), Dashboard!$P164&gt;0), Q181/Dashboard!$P164, "")</f>
        <v/>
      </c>
      <c r="S181" s="93"/>
      <c r="T181" s="94"/>
      <c r="U181" s="94"/>
      <c r="V181" s="94"/>
    </row>
    <row r="182" spans="2:22" ht="20" customHeight="1" x14ac:dyDescent="0.35">
      <c r="P182" s="65"/>
      <c r="Q182" s="66"/>
      <c r="R182" s="67" t="str">
        <f>IF(AND(NOT(ISBLANK(Q182)), Dashboard!$P164&gt;0), Q182/Dashboard!$P164, "")</f>
        <v/>
      </c>
      <c r="S182" s="93"/>
      <c r="T182" s="94"/>
      <c r="U182" s="94"/>
      <c r="V182" s="94"/>
    </row>
    <row r="183" spans="2:22" ht="20" customHeight="1" x14ac:dyDescent="0.35">
      <c r="P183" s="65"/>
      <c r="Q183" s="66"/>
      <c r="R183" s="67" t="str">
        <f>IF(AND(NOT(ISBLANK(Q183)), Dashboard!$P164&gt;0), Q183/Dashboard!$P164, "")</f>
        <v/>
      </c>
      <c r="S183" s="93"/>
      <c r="T183" s="94"/>
      <c r="U183" s="94"/>
      <c r="V183" s="94"/>
    </row>
    <row r="184" spans="2:22" ht="20" customHeight="1" x14ac:dyDescent="0.35">
      <c r="P184" s="65"/>
      <c r="Q184" s="66"/>
      <c r="R184" s="67" t="str">
        <f>IF(AND(NOT(ISBLANK(Q184)), Dashboard!$P164&gt;0), Q184/Dashboard!$P164, "")</f>
        <v/>
      </c>
      <c r="S184" s="93"/>
      <c r="T184" s="94"/>
      <c r="U184" s="94"/>
      <c r="V184" s="94"/>
    </row>
    <row r="185" spans="2:22" ht="20" customHeight="1" x14ac:dyDescent="0.35">
      <c r="P185" s="65"/>
      <c r="Q185" s="66"/>
      <c r="R185" s="67" t="str">
        <f>IF(AND(NOT(ISBLANK(Q185)), Dashboard!$P164&gt;0), Q185/Dashboard!$P164, "")</f>
        <v/>
      </c>
      <c r="S185" s="93"/>
      <c r="T185" s="94"/>
      <c r="U185" s="94"/>
      <c r="V185" s="94"/>
    </row>
    <row r="186" spans="2:22" ht="20" customHeight="1" x14ac:dyDescent="0.35">
      <c r="P186" s="65"/>
      <c r="Q186" s="66"/>
      <c r="R186" s="67" t="str">
        <f>IF(AND(NOT(ISBLANK(Q186)), Dashboard!$P164&gt;0), Q186/Dashboard!$P164, "")</f>
        <v/>
      </c>
      <c r="S186" s="93"/>
      <c r="T186" s="94"/>
      <c r="U186" s="94"/>
      <c r="V186" s="94"/>
    </row>
    <row r="187" spans="2:22" ht="20" customHeight="1" x14ac:dyDescent="0.35">
      <c r="P187" s="65"/>
      <c r="Q187" s="66"/>
      <c r="R187" s="67" t="str">
        <f>IF(AND(NOT(ISBLANK(Q187)), Dashboard!$P164&gt;0), Q187/Dashboard!$P164, "")</f>
        <v/>
      </c>
      <c r="S187" s="93"/>
      <c r="T187" s="94"/>
      <c r="U187" s="94"/>
      <c r="V187" s="94"/>
    </row>
    <row r="191" spans="2:22" ht="32" customHeight="1" x14ac:dyDescent="0.35">
      <c r="B191" s="78" t="s">
        <v>194</v>
      </c>
      <c r="C191" s="78"/>
      <c r="D191" s="78"/>
      <c r="E191" s="78"/>
      <c r="F191" s="78"/>
      <c r="G191" s="78"/>
      <c r="H191" s="78"/>
      <c r="I191" s="7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7:H112">
    <cfRule type="expression" dxfId="32" priority="4">
      <formula>$G107&gt;=0.8</formula>
    </cfRule>
    <cfRule type="expression" dxfId="31" priority="5">
      <formula>AND($G107&gt;=0.5,$G107&lt;0.8)</formula>
    </cfRule>
    <cfRule type="expression" dxfId="30" priority="6">
      <formula>$G107&lt;0.5</formula>
    </cfRule>
  </conditionalFormatting>
  <conditionalFormatting sqref="K107:K112">
    <cfRule type="cellIs" dxfId="29" priority="7" operator="greaterThan">
      <formula>0</formula>
    </cfRule>
  </conditionalFormatting>
  <conditionalFormatting sqref="L107:L112">
    <cfRule type="cellIs" dxfId="28" priority="8" operator="greaterThan">
      <formula>0</formula>
    </cfRule>
  </conditionalFormatting>
  <conditionalFormatting sqref="M107:M112">
    <cfRule type="cellIs" dxfId="27" priority="9" operator="greaterThan">
      <formula>0</formula>
    </cfRule>
  </conditionalFormatting>
  <conditionalFormatting sqref="N107:N112">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40"/>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36" si="0">IF(OR(G2="Implemented",G2="Compensated"),"Resolved",IF(OR(G2="Risk Accepted",G2="N/A"),"Excluded",IF(G2="Testing","Testing","Outstanding")))</f>
        <v>Outstanding</v>
      </c>
      <c r="M2" s="11" t="s">
        <v>19</v>
      </c>
    </row>
    <row r="3" spans="1:13" ht="60" customHeight="1" x14ac:dyDescent="0.35">
      <c r="A3" s="9" t="s">
        <v>23</v>
      </c>
      <c r="B3" s="1" t="s">
        <v>24</v>
      </c>
      <c r="C3" s="2" t="s">
        <v>25</v>
      </c>
      <c r="D3" s="3" t="s">
        <v>16</v>
      </c>
      <c r="E3" s="3" t="s">
        <v>17</v>
      </c>
      <c r="F3" s="3" t="s">
        <v>18</v>
      </c>
      <c r="G3" s="3" t="s">
        <v>19</v>
      </c>
      <c r="H3" s="4" t="s">
        <v>19</v>
      </c>
      <c r="I3" s="1" t="s">
        <v>26</v>
      </c>
      <c r="J3" s="1" t="s">
        <v>27</v>
      </c>
      <c r="K3" s="1" t="s">
        <v>28</v>
      </c>
      <c r="L3" s="3" t="str">
        <f t="shared" si="0"/>
        <v>Outstanding</v>
      </c>
      <c r="M3" s="11" t="s">
        <v>19</v>
      </c>
    </row>
    <row r="4" spans="1:13" ht="60" customHeight="1" x14ac:dyDescent="0.35">
      <c r="A4" s="9" t="s">
        <v>29</v>
      </c>
      <c r="B4" s="1" t="s">
        <v>30</v>
      </c>
      <c r="C4" s="2" t="s">
        <v>25</v>
      </c>
      <c r="D4" s="3" t="s">
        <v>16</v>
      </c>
      <c r="E4" s="3" t="s">
        <v>17</v>
      </c>
      <c r="F4" s="3" t="s">
        <v>18</v>
      </c>
      <c r="G4" s="3" t="s">
        <v>19</v>
      </c>
      <c r="H4" s="4" t="s">
        <v>19</v>
      </c>
      <c r="I4" s="1" t="s">
        <v>31</v>
      </c>
      <c r="J4" s="1" t="s">
        <v>32</v>
      </c>
      <c r="K4" s="1" t="s">
        <v>33</v>
      </c>
      <c r="L4" s="3" t="str">
        <f t="shared" si="0"/>
        <v>Outstanding</v>
      </c>
      <c r="M4" s="11" t="s">
        <v>19</v>
      </c>
    </row>
    <row r="5" spans="1:13" ht="60" customHeight="1" x14ac:dyDescent="0.35">
      <c r="A5" s="9" t="s">
        <v>34</v>
      </c>
      <c r="B5" s="1" t="s">
        <v>35</v>
      </c>
      <c r="C5" s="2" t="s">
        <v>25</v>
      </c>
      <c r="D5" s="3" t="s">
        <v>16</v>
      </c>
      <c r="E5" s="3" t="s">
        <v>17</v>
      </c>
      <c r="F5" s="3" t="s">
        <v>18</v>
      </c>
      <c r="G5" s="3" t="s">
        <v>19</v>
      </c>
      <c r="H5" s="4" t="s">
        <v>19</v>
      </c>
      <c r="I5" s="1" t="s">
        <v>36</v>
      </c>
      <c r="J5" s="1" t="s">
        <v>37</v>
      </c>
      <c r="K5" s="1" t="s">
        <v>38</v>
      </c>
      <c r="L5" s="3" t="str">
        <f t="shared" si="0"/>
        <v>Outstanding</v>
      </c>
      <c r="M5" s="11" t="s">
        <v>19</v>
      </c>
    </row>
    <row r="6" spans="1:13" ht="60" customHeight="1" x14ac:dyDescent="0.35">
      <c r="A6" s="9" t="s">
        <v>39</v>
      </c>
      <c r="B6" s="1" t="s">
        <v>40</v>
      </c>
      <c r="C6" s="2" t="s">
        <v>25</v>
      </c>
      <c r="D6" s="3" t="s">
        <v>16</v>
      </c>
      <c r="E6" s="3" t="s">
        <v>17</v>
      </c>
      <c r="F6" s="3" t="s">
        <v>18</v>
      </c>
      <c r="G6" s="3" t="s">
        <v>19</v>
      </c>
      <c r="H6" s="4" t="s">
        <v>19</v>
      </c>
      <c r="I6" s="1" t="s">
        <v>41</v>
      </c>
      <c r="J6" s="1" t="s">
        <v>42</v>
      </c>
      <c r="K6" s="1" t="s">
        <v>43</v>
      </c>
      <c r="L6" s="3" t="str">
        <f t="shared" si="0"/>
        <v>Outstanding</v>
      </c>
      <c r="M6" s="11" t="s">
        <v>19</v>
      </c>
    </row>
    <row r="7" spans="1:13" ht="60" customHeight="1" x14ac:dyDescent="0.35">
      <c r="A7" s="9" t="s">
        <v>44</v>
      </c>
      <c r="B7" s="1" t="s">
        <v>45</v>
      </c>
      <c r="C7" s="2" t="s">
        <v>25</v>
      </c>
      <c r="D7" s="3" t="s">
        <v>16</v>
      </c>
      <c r="E7" s="3" t="s">
        <v>17</v>
      </c>
      <c r="F7" s="3" t="s">
        <v>18</v>
      </c>
      <c r="G7" s="3" t="s">
        <v>19</v>
      </c>
      <c r="H7" s="4" t="s">
        <v>19</v>
      </c>
      <c r="I7" s="1" t="s">
        <v>46</v>
      </c>
      <c r="J7" s="1" t="s">
        <v>47</v>
      </c>
      <c r="K7" s="1" t="s">
        <v>48</v>
      </c>
      <c r="L7" s="3" t="str">
        <f t="shared" si="0"/>
        <v>Outstanding</v>
      </c>
      <c r="M7" s="11" t="s">
        <v>19</v>
      </c>
    </row>
    <row r="8" spans="1:13" ht="60" customHeight="1" x14ac:dyDescent="0.35">
      <c r="A8" s="9" t="s">
        <v>49</v>
      </c>
      <c r="B8" s="1" t="s">
        <v>50</v>
      </c>
      <c r="C8" s="2" t="s">
        <v>51</v>
      </c>
      <c r="D8" s="3" t="s">
        <v>16</v>
      </c>
      <c r="E8" s="3" t="s">
        <v>17</v>
      </c>
      <c r="F8" s="3" t="s">
        <v>18</v>
      </c>
      <c r="G8" s="3" t="s">
        <v>19</v>
      </c>
      <c r="H8" s="4" t="s">
        <v>19</v>
      </c>
      <c r="I8" s="1" t="s">
        <v>52</v>
      </c>
      <c r="J8" s="1" t="s">
        <v>53</v>
      </c>
      <c r="K8" s="1" t="s">
        <v>54</v>
      </c>
      <c r="L8" s="3" t="str">
        <f t="shared" si="0"/>
        <v>Outstanding</v>
      </c>
      <c r="M8" s="11" t="s">
        <v>19</v>
      </c>
    </row>
    <row r="9" spans="1:13" ht="60" customHeight="1" x14ac:dyDescent="0.35">
      <c r="A9" s="9" t="s">
        <v>55</v>
      </c>
      <c r="B9" s="1" t="s">
        <v>56</v>
      </c>
      <c r="C9" s="2" t="s">
        <v>25</v>
      </c>
      <c r="D9" s="3" t="s">
        <v>16</v>
      </c>
      <c r="E9" s="3" t="s">
        <v>17</v>
      </c>
      <c r="F9" s="3" t="s">
        <v>18</v>
      </c>
      <c r="G9" s="3" t="s">
        <v>19</v>
      </c>
      <c r="H9" s="4" t="s">
        <v>19</v>
      </c>
      <c r="I9" s="1" t="s">
        <v>57</v>
      </c>
      <c r="J9" s="1" t="s">
        <v>58</v>
      </c>
      <c r="K9" s="1" t="s">
        <v>59</v>
      </c>
      <c r="L9" s="3" t="str">
        <f t="shared" si="0"/>
        <v>Outstanding</v>
      </c>
      <c r="M9" s="11" t="s">
        <v>19</v>
      </c>
    </row>
    <row r="10" spans="1:13" ht="60" customHeight="1" x14ac:dyDescent="0.35">
      <c r="A10" s="9" t="s">
        <v>60</v>
      </c>
      <c r="B10" s="1" t="s">
        <v>61</v>
      </c>
      <c r="C10" s="2" t="s">
        <v>25</v>
      </c>
      <c r="D10" s="3" t="s">
        <v>16</v>
      </c>
      <c r="E10" s="3" t="s">
        <v>17</v>
      </c>
      <c r="F10" s="3" t="s">
        <v>18</v>
      </c>
      <c r="G10" s="3" t="s">
        <v>19</v>
      </c>
      <c r="H10" s="4" t="s">
        <v>19</v>
      </c>
      <c r="I10" s="1" t="s">
        <v>62</v>
      </c>
      <c r="J10" s="1" t="s">
        <v>63</v>
      </c>
      <c r="K10" s="1" t="s">
        <v>64</v>
      </c>
      <c r="L10" s="3" t="str">
        <f t="shared" si="0"/>
        <v>Outstanding</v>
      </c>
      <c r="M10" s="11" t="s">
        <v>19</v>
      </c>
    </row>
    <row r="11" spans="1:13" ht="60" customHeight="1" x14ac:dyDescent="0.35">
      <c r="A11" s="9" t="s">
        <v>65</v>
      </c>
      <c r="B11" s="1" t="s">
        <v>66</v>
      </c>
      <c r="C11" s="2" t="s">
        <v>25</v>
      </c>
      <c r="D11" s="3" t="s">
        <v>16</v>
      </c>
      <c r="E11" s="3" t="s">
        <v>17</v>
      </c>
      <c r="F11" s="3" t="s">
        <v>18</v>
      </c>
      <c r="G11" s="3" t="s">
        <v>19</v>
      </c>
      <c r="H11" s="4" t="s">
        <v>19</v>
      </c>
      <c r="I11" s="1" t="s">
        <v>67</v>
      </c>
      <c r="J11" s="1" t="s">
        <v>68</v>
      </c>
      <c r="K11" s="1" t="s">
        <v>69</v>
      </c>
      <c r="L11" s="3" t="str">
        <f t="shared" si="0"/>
        <v>Outstanding</v>
      </c>
      <c r="M11" s="11" t="s">
        <v>19</v>
      </c>
    </row>
    <row r="12" spans="1:13" ht="60" customHeight="1" x14ac:dyDescent="0.35">
      <c r="A12" s="9" t="s">
        <v>70</v>
      </c>
      <c r="B12" s="1" t="s">
        <v>71</v>
      </c>
      <c r="C12" s="2" t="s">
        <v>25</v>
      </c>
      <c r="D12" s="3" t="s">
        <v>16</v>
      </c>
      <c r="E12" s="3" t="s">
        <v>17</v>
      </c>
      <c r="F12" s="3" t="s">
        <v>18</v>
      </c>
      <c r="G12" s="3" t="s">
        <v>19</v>
      </c>
      <c r="H12" s="4" t="s">
        <v>19</v>
      </c>
      <c r="I12" s="1" t="s">
        <v>72</v>
      </c>
      <c r="J12" s="1" t="s">
        <v>73</v>
      </c>
      <c r="K12" s="1" t="s">
        <v>74</v>
      </c>
      <c r="L12" s="3" t="str">
        <f t="shared" si="0"/>
        <v>Outstanding</v>
      </c>
      <c r="M12" s="11" t="s">
        <v>19</v>
      </c>
    </row>
    <row r="13" spans="1:13" ht="60" customHeight="1" x14ac:dyDescent="0.35">
      <c r="A13" s="9" t="s">
        <v>75</v>
      </c>
      <c r="B13" s="1" t="s">
        <v>76</v>
      </c>
      <c r="C13" s="2" t="s">
        <v>25</v>
      </c>
      <c r="D13" s="3" t="s">
        <v>16</v>
      </c>
      <c r="E13" s="3" t="s">
        <v>17</v>
      </c>
      <c r="F13" s="3" t="s">
        <v>18</v>
      </c>
      <c r="G13" s="3" t="s">
        <v>19</v>
      </c>
      <c r="H13" s="4" t="s">
        <v>19</v>
      </c>
      <c r="I13" s="1" t="s">
        <v>77</v>
      </c>
      <c r="J13" s="1" t="s">
        <v>78</v>
      </c>
      <c r="K13" s="1" t="s">
        <v>79</v>
      </c>
      <c r="L13" s="3" t="str">
        <f t="shared" si="0"/>
        <v>Outstanding</v>
      </c>
      <c r="M13" s="11" t="s">
        <v>19</v>
      </c>
    </row>
    <row r="14" spans="1:13" ht="60" customHeight="1" x14ac:dyDescent="0.35">
      <c r="A14" s="9" t="s">
        <v>80</v>
      </c>
      <c r="B14" s="1" t="s">
        <v>81</v>
      </c>
      <c r="C14" s="2" t="s">
        <v>25</v>
      </c>
      <c r="D14" s="3" t="s">
        <v>16</v>
      </c>
      <c r="E14" s="3" t="s">
        <v>17</v>
      </c>
      <c r="F14" s="3" t="s">
        <v>18</v>
      </c>
      <c r="G14" s="3" t="s">
        <v>19</v>
      </c>
      <c r="H14" s="4" t="s">
        <v>19</v>
      </c>
      <c r="I14" s="1" t="s">
        <v>82</v>
      </c>
      <c r="J14" s="1" t="s">
        <v>83</v>
      </c>
      <c r="K14" s="1" t="s">
        <v>84</v>
      </c>
      <c r="L14" s="3" t="str">
        <f t="shared" si="0"/>
        <v>Outstanding</v>
      </c>
      <c r="M14" s="11" t="s">
        <v>19</v>
      </c>
    </row>
    <row r="15" spans="1:13" ht="60" customHeight="1" x14ac:dyDescent="0.35">
      <c r="A15" s="9" t="s">
        <v>85</v>
      </c>
      <c r="B15" s="1" t="s">
        <v>86</v>
      </c>
      <c r="C15" s="2" t="s">
        <v>25</v>
      </c>
      <c r="D15" s="3" t="s">
        <v>16</v>
      </c>
      <c r="E15" s="3" t="s">
        <v>17</v>
      </c>
      <c r="F15" s="3" t="s">
        <v>18</v>
      </c>
      <c r="G15" s="3" t="s">
        <v>19</v>
      </c>
      <c r="H15" s="4" t="s">
        <v>19</v>
      </c>
      <c r="I15" s="1" t="s">
        <v>87</v>
      </c>
      <c r="J15" s="1" t="s">
        <v>88</v>
      </c>
      <c r="K15" s="1" t="s">
        <v>89</v>
      </c>
      <c r="L15" s="3" t="str">
        <f t="shared" si="0"/>
        <v>Outstanding</v>
      </c>
      <c r="M15" s="11" t="s">
        <v>19</v>
      </c>
    </row>
    <row r="16" spans="1:13" ht="60" customHeight="1" x14ac:dyDescent="0.35">
      <c r="A16" s="9" t="s">
        <v>90</v>
      </c>
      <c r="B16" s="1" t="s">
        <v>91</v>
      </c>
      <c r="C16" s="2" t="s">
        <v>15</v>
      </c>
      <c r="D16" s="3" t="s">
        <v>16</v>
      </c>
      <c r="E16" s="3" t="s">
        <v>17</v>
      </c>
      <c r="F16" s="3" t="s">
        <v>18</v>
      </c>
      <c r="G16" s="3" t="s">
        <v>19</v>
      </c>
      <c r="H16" s="4" t="s">
        <v>19</v>
      </c>
      <c r="I16" s="1" t="s">
        <v>92</v>
      </c>
      <c r="J16" s="1" t="s">
        <v>93</v>
      </c>
      <c r="K16" s="1" t="s">
        <v>94</v>
      </c>
      <c r="L16" s="3" t="str">
        <f t="shared" si="0"/>
        <v>Outstanding</v>
      </c>
      <c r="M16" s="11" t="s">
        <v>19</v>
      </c>
    </row>
    <row r="17" spans="1:13" ht="60" customHeight="1" x14ac:dyDescent="0.35">
      <c r="A17" s="9" t="s">
        <v>95</v>
      </c>
      <c r="B17" s="1" t="s">
        <v>96</v>
      </c>
      <c r="C17" s="2" t="s">
        <v>25</v>
      </c>
      <c r="D17" s="3" t="s">
        <v>16</v>
      </c>
      <c r="E17" s="3" t="s">
        <v>17</v>
      </c>
      <c r="F17" s="3" t="s">
        <v>18</v>
      </c>
      <c r="G17" s="3" t="s">
        <v>19</v>
      </c>
      <c r="H17" s="4" t="s">
        <v>19</v>
      </c>
      <c r="I17" s="1" t="s">
        <v>97</v>
      </c>
      <c r="J17" s="1" t="s">
        <v>98</v>
      </c>
      <c r="K17" s="1" t="s">
        <v>99</v>
      </c>
      <c r="L17" s="3" t="str">
        <f t="shared" si="0"/>
        <v>Outstanding</v>
      </c>
      <c r="M17" s="11" t="s">
        <v>19</v>
      </c>
    </row>
    <row r="18" spans="1:13" ht="60" customHeight="1" x14ac:dyDescent="0.35">
      <c r="A18" s="9" t="s">
        <v>100</v>
      </c>
      <c r="B18" s="1" t="s">
        <v>101</v>
      </c>
      <c r="C18" s="2" t="s">
        <v>25</v>
      </c>
      <c r="D18" s="3" t="s">
        <v>16</v>
      </c>
      <c r="E18" s="3" t="s">
        <v>17</v>
      </c>
      <c r="F18" s="3" t="s">
        <v>18</v>
      </c>
      <c r="G18" s="3" t="s">
        <v>19</v>
      </c>
      <c r="H18" s="4" t="s">
        <v>19</v>
      </c>
      <c r="I18" s="1" t="s">
        <v>102</v>
      </c>
      <c r="J18" s="1" t="s">
        <v>103</v>
      </c>
      <c r="K18" s="1" t="s">
        <v>104</v>
      </c>
      <c r="L18" s="3" t="str">
        <f t="shared" si="0"/>
        <v>Outstanding</v>
      </c>
      <c r="M18" s="11" t="s">
        <v>19</v>
      </c>
    </row>
    <row r="19" spans="1:13" ht="60" customHeight="1" x14ac:dyDescent="0.35">
      <c r="A19" s="9" t="s">
        <v>105</v>
      </c>
      <c r="B19" s="1" t="s">
        <v>106</v>
      </c>
      <c r="C19" s="2" t="s">
        <v>25</v>
      </c>
      <c r="D19" s="3" t="s">
        <v>16</v>
      </c>
      <c r="E19" s="3" t="s">
        <v>17</v>
      </c>
      <c r="F19" s="3" t="s">
        <v>18</v>
      </c>
      <c r="G19" s="3" t="s">
        <v>19</v>
      </c>
      <c r="H19" s="4" t="s">
        <v>19</v>
      </c>
      <c r="I19" s="1" t="s">
        <v>107</v>
      </c>
      <c r="J19" s="1" t="s">
        <v>108</v>
      </c>
      <c r="K19" s="1" t="s">
        <v>109</v>
      </c>
      <c r="L19" s="3" t="str">
        <f t="shared" si="0"/>
        <v>Outstanding</v>
      </c>
      <c r="M19" s="11" t="s">
        <v>19</v>
      </c>
    </row>
    <row r="20" spans="1:13" ht="60" customHeight="1" x14ac:dyDescent="0.35">
      <c r="A20" s="9" t="s">
        <v>110</v>
      </c>
      <c r="B20" s="1" t="s">
        <v>111</v>
      </c>
      <c r="C20" s="2" t="s">
        <v>25</v>
      </c>
      <c r="D20" s="3" t="s">
        <v>16</v>
      </c>
      <c r="E20" s="3" t="s">
        <v>17</v>
      </c>
      <c r="F20" s="3" t="s">
        <v>18</v>
      </c>
      <c r="G20" s="3" t="s">
        <v>19</v>
      </c>
      <c r="H20" s="4" t="s">
        <v>19</v>
      </c>
      <c r="I20" s="1" t="s">
        <v>112</v>
      </c>
      <c r="J20" s="1" t="s">
        <v>113</v>
      </c>
      <c r="K20" s="1" t="s">
        <v>114</v>
      </c>
      <c r="L20" s="3" t="str">
        <f t="shared" si="0"/>
        <v>Outstanding</v>
      </c>
      <c r="M20" s="11" t="s">
        <v>19</v>
      </c>
    </row>
    <row r="21" spans="1:13" ht="60" customHeight="1" x14ac:dyDescent="0.35">
      <c r="A21" s="9" t="s">
        <v>115</v>
      </c>
      <c r="B21" s="1" t="s">
        <v>116</v>
      </c>
      <c r="C21" s="2" t="s">
        <v>25</v>
      </c>
      <c r="D21" s="3" t="s">
        <v>16</v>
      </c>
      <c r="E21" s="3" t="s">
        <v>17</v>
      </c>
      <c r="F21" s="3" t="s">
        <v>18</v>
      </c>
      <c r="G21" s="3" t="s">
        <v>19</v>
      </c>
      <c r="H21" s="4" t="s">
        <v>19</v>
      </c>
      <c r="I21" s="1" t="s">
        <v>117</v>
      </c>
      <c r="J21" s="1" t="s">
        <v>118</v>
      </c>
      <c r="K21" s="1" t="s">
        <v>119</v>
      </c>
      <c r="L21" s="3" t="str">
        <f t="shared" si="0"/>
        <v>Outstanding</v>
      </c>
      <c r="M21" s="11" t="s">
        <v>19</v>
      </c>
    </row>
    <row r="22" spans="1:13" ht="60" customHeight="1" x14ac:dyDescent="0.35">
      <c r="A22" s="9" t="s">
        <v>120</v>
      </c>
      <c r="B22" s="1" t="s">
        <v>121</v>
      </c>
      <c r="C22" s="2" t="s">
        <v>15</v>
      </c>
      <c r="D22" s="3" t="s">
        <v>16</v>
      </c>
      <c r="E22" s="3" t="s">
        <v>17</v>
      </c>
      <c r="F22" s="3" t="s">
        <v>18</v>
      </c>
      <c r="G22" s="3" t="s">
        <v>19</v>
      </c>
      <c r="H22" s="4" t="s">
        <v>19</v>
      </c>
      <c r="I22" s="1" t="s">
        <v>122</v>
      </c>
      <c r="J22" s="1" t="s">
        <v>123</v>
      </c>
      <c r="K22" s="1" t="s">
        <v>124</v>
      </c>
      <c r="L22" s="3" t="str">
        <f t="shared" si="0"/>
        <v>Outstanding</v>
      </c>
      <c r="M22" s="11" t="s">
        <v>19</v>
      </c>
    </row>
    <row r="23" spans="1:13" ht="60" customHeight="1" x14ac:dyDescent="0.35">
      <c r="A23" s="9" t="s">
        <v>125</v>
      </c>
      <c r="B23" s="1" t="s">
        <v>126</v>
      </c>
      <c r="C23" s="2" t="s">
        <v>25</v>
      </c>
      <c r="D23" s="3" t="s">
        <v>16</v>
      </c>
      <c r="E23" s="3" t="s">
        <v>17</v>
      </c>
      <c r="F23" s="3" t="s">
        <v>18</v>
      </c>
      <c r="G23" s="3" t="s">
        <v>19</v>
      </c>
      <c r="H23" s="4" t="s">
        <v>19</v>
      </c>
      <c r="I23" s="1" t="s">
        <v>127</v>
      </c>
      <c r="J23" s="1" t="s">
        <v>128</v>
      </c>
      <c r="K23" s="1" t="s">
        <v>129</v>
      </c>
      <c r="L23" s="3" t="str">
        <f t="shared" si="0"/>
        <v>Outstanding</v>
      </c>
      <c r="M23" s="11" t="s">
        <v>19</v>
      </c>
    </row>
    <row r="24" spans="1:13" ht="60" customHeight="1" x14ac:dyDescent="0.35">
      <c r="A24" s="9" t="s">
        <v>130</v>
      </c>
      <c r="B24" s="1" t="s">
        <v>131</v>
      </c>
      <c r="C24" s="2" t="s">
        <v>25</v>
      </c>
      <c r="D24" s="3" t="s">
        <v>16</v>
      </c>
      <c r="E24" s="3" t="s">
        <v>17</v>
      </c>
      <c r="F24" s="3" t="s">
        <v>18</v>
      </c>
      <c r="G24" s="3" t="s">
        <v>19</v>
      </c>
      <c r="H24" s="4" t="s">
        <v>19</v>
      </c>
      <c r="I24" s="1" t="s">
        <v>132</v>
      </c>
      <c r="J24" s="1" t="s">
        <v>133</v>
      </c>
      <c r="K24" s="1" t="s">
        <v>134</v>
      </c>
      <c r="L24" s="3" t="str">
        <f t="shared" si="0"/>
        <v>Outstanding</v>
      </c>
      <c r="M24" s="11" t="s">
        <v>19</v>
      </c>
    </row>
    <row r="25" spans="1:13" ht="60" customHeight="1" x14ac:dyDescent="0.35">
      <c r="A25" s="9" t="s">
        <v>135</v>
      </c>
      <c r="B25" s="1" t="s">
        <v>136</v>
      </c>
      <c r="C25" s="2" t="s">
        <v>25</v>
      </c>
      <c r="D25" s="3" t="s">
        <v>16</v>
      </c>
      <c r="E25" s="3" t="s">
        <v>17</v>
      </c>
      <c r="F25" s="3" t="s">
        <v>18</v>
      </c>
      <c r="G25" s="3" t="s">
        <v>19</v>
      </c>
      <c r="H25" s="4" t="s">
        <v>19</v>
      </c>
      <c r="I25" s="1" t="s">
        <v>137</v>
      </c>
      <c r="J25" s="1" t="s">
        <v>138</v>
      </c>
      <c r="K25" s="1" t="s">
        <v>139</v>
      </c>
      <c r="L25" s="3" t="str">
        <f t="shared" si="0"/>
        <v>Outstanding</v>
      </c>
      <c r="M25" s="11" t="s">
        <v>19</v>
      </c>
    </row>
    <row r="26" spans="1:13" ht="60" customHeight="1" x14ac:dyDescent="0.35">
      <c r="A26" s="9" t="s">
        <v>140</v>
      </c>
      <c r="B26" s="1" t="s">
        <v>141</v>
      </c>
      <c r="C26" s="2" t="s">
        <v>25</v>
      </c>
      <c r="D26" s="3" t="s">
        <v>16</v>
      </c>
      <c r="E26" s="3" t="s">
        <v>17</v>
      </c>
      <c r="F26" s="3" t="s">
        <v>18</v>
      </c>
      <c r="G26" s="3" t="s">
        <v>19</v>
      </c>
      <c r="H26" s="4" t="s">
        <v>19</v>
      </c>
      <c r="I26" s="1" t="s">
        <v>142</v>
      </c>
      <c r="J26" s="1" t="s">
        <v>143</v>
      </c>
      <c r="K26" s="1" t="s">
        <v>144</v>
      </c>
      <c r="L26" s="3" t="str">
        <f t="shared" si="0"/>
        <v>Outstanding</v>
      </c>
      <c r="M26" s="11" t="s">
        <v>19</v>
      </c>
    </row>
    <row r="27" spans="1:13" ht="60" customHeight="1" x14ac:dyDescent="0.35">
      <c r="A27" s="9" t="s">
        <v>145</v>
      </c>
      <c r="B27" s="1" t="s">
        <v>146</v>
      </c>
      <c r="C27" s="2" t="s">
        <v>51</v>
      </c>
      <c r="D27" s="3" t="s">
        <v>16</v>
      </c>
      <c r="E27" s="3" t="s">
        <v>17</v>
      </c>
      <c r="F27" s="3" t="s">
        <v>18</v>
      </c>
      <c r="G27" s="3" t="s">
        <v>19</v>
      </c>
      <c r="H27" s="4" t="s">
        <v>19</v>
      </c>
      <c r="I27" s="1" t="s">
        <v>147</v>
      </c>
      <c r="J27" s="1" t="s">
        <v>148</v>
      </c>
      <c r="K27" s="1" t="s">
        <v>149</v>
      </c>
      <c r="L27" s="3" t="str">
        <f t="shared" si="0"/>
        <v>Outstanding</v>
      </c>
      <c r="M27" s="11" t="s">
        <v>19</v>
      </c>
    </row>
    <row r="28" spans="1:13" ht="60" customHeight="1" x14ac:dyDescent="0.35">
      <c r="A28" s="9" t="s">
        <v>150</v>
      </c>
      <c r="B28" s="1" t="s">
        <v>151</v>
      </c>
      <c r="C28" s="2" t="s">
        <v>25</v>
      </c>
      <c r="D28" s="3" t="s">
        <v>16</v>
      </c>
      <c r="E28" s="3" t="s">
        <v>17</v>
      </c>
      <c r="F28" s="3" t="s">
        <v>18</v>
      </c>
      <c r="G28" s="3" t="s">
        <v>19</v>
      </c>
      <c r="H28" s="4" t="s">
        <v>19</v>
      </c>
      <c r="I28" s="1" t="s">
        <v>152</v>
      </c>
      <c r="J28" s="1" t="s">
        <v>153</v>
      </c>
      <c r="K28" s="1" t="s">
        <v>154</v>
      </c>
      <c r="L28" s="3" t="str">
        <f t="shared" si="0"/>
        <v>Outstanding</v>
      </c>
      <c r="M28" s="11" t="s">
        <v>19</v>
      </c>
    </row>
    <row r="29" spans="1:13" ht="60" customHeight="1" x14ac:dyDescent="0.35">
      <c r="A29" s="9" t="s">
        <v>155</v>
      </c>
      <c r="B29" s="1" t="s">
        <v>156</v>
      </c>
      <c r="C29" s="2" t="s">
        <v>25</v>
      </c>
      <c r="D29" s="3" t="s">
        <v>16</v>
      </c>
      <c r="E29" s="3" t="s">
        <v>17</v>
      </c>
      <c r="F29" s="3" t="s">
        <v>18</v>
      </c>
      <c r="G29" s="3" t="s">
        <v>19</v>
      </c>
      <c r="H29" s="4" t="s">
        <v>19</v>
      </c>
      <c r="I29" s="1" t="s">
        <v>157</v>
      </c>
      <c r="J29" s="1" t="s">
        <v>158</v>
      </c>
      <c r="K29" s="1" t="s">
        <v>159</v>
      </c>
      <c r="L29" s="3" t="str">
        <f t="shared" si="0"/>
        <v>Outstanding</v>
      </c>
      <c r="M29" s="11" t="s">
        <v>19</v>
      </c>
    </row>
    <row r="30" spans="1:13" ht="60" customHeight="1" x14ac:dyDescent="0.35">
      <c r="A30" s="9" t="s">
        <v>160</v>
      </c>
      <c r="B30" s="1" t="s">
        <v>161</v>
      </c>
      <c r="C30" s="2" t="s">
        <v>25</v>
      </c>
      <c r="D30" s="3" t="s">
        <v>16</v>
      </c>
      <c r="E30" s="3" t="s">
        <v>17</v>
      </c>
      <c r="F30" s="3" t="s">
        <v>18</v>
      </c>
      <c r="G30" s="3" t="s">
        <v>19</v>
      </c>
      <c r="H30" s="4" t="s">
        <v>19</v>
      </c>
      <c r="I30" s="1" t="s">
        <v>162</v>
      </c>
      <c r="J30" s="1" t="s">
        <v>163</v>
      </c>
      <c r="K30" s="1" t="s">
        <v>164</v>
      </c>
      <c r="L30" s="3" t="str">
        <f t="shared" si="0"/>
        <v>Outstanding</v>
      </c>
      <c r="M30" s="11" t="s">
        <v>19</v>
      </c>
    </row>
    <row r="31" spans="1:13" ht="60" customHeight="1" x14ac:dyDescent="0.35">
      <c r="A31" s="9" t="s">
        <v>165</v>
      </c>
      <c r="B31" s="1" t="s">
        <v>166</v>
      </c>
      <c r="C31" s="2" t="s">
        <v>25</v>
      </c>
      <c r="D31" s="3" t="s">
        <v>16</v>
      </c>
      <c r="E31" s="3" t="s">
        <v>17</v>
      </c>
      <c r="F31" s="3" t="s">
        <v>18</v>
      </c>
      <c r="G31" s="3" t="s">
        <v>19</v>
      </c>
      <c r="H31" s="4" t="s">
        <v>19</v>
      </c>
      <c r="I31" s="1" t="s">
        <v>162</v>
      </c>
      <c r="J31" s="1" t="s">
        <v>167</v>
      </c>
      <c r="K31" s="1" t="s">
        <v>168</v>
      </c>
      <c r="L31" s="3" t="str">
        <f t="shared" si="0"/>
        <v>Outstanding</v>
      </c>
      <c r="M31" s="11" t="s">
        <v>19</v>
      </c>
    </row>
    <row r="32" spans="1:13" ht="60" customHeight="1" x14ac:dyDescent="0.35">
      <c r="A32" s="9" t="s">
        <v>169</v>
      </c>
      <c r="B32" s="1" t="s">
        <v>170</v>
      </c>
      <c r="C32" s="2" t="s">
        <v>25</v>
      </c>
      <c r="D32" s="3" t="s">
        <v>16</v>
      </c>
      <c r="E32" s="3" t="s">
        <v>17</v>
      </c>
      <c r="F32" s="3" t="s">
        <v>18</v>
      </c>
      <c r="G32" s="3" t="s">
        <v>19</v>
      </c>
      <c r="H32" s="4" t="s">
        <v>19</v>
      </c>
      <c r="I32" s="1" t="s">
        <v>171</v>
      </c>
      <c r="J32" s="1" t="s">
        <v>172</v>
      </c>
      <c r="K32" s="1" t="s">
        <v>173</v>
      </c>
      <c r="L32" s="3" t="str">
        <f t="shared" si="0"/>
        <v>Outstanding</v>
      </c>
      <c r="M32" s="11" t="s">
        <v>19</v>
      </c>
    </row>
    <row r="33" spans="1:13" ht="60" customHeight="1" x14ac:dyDescent="0.35">
      <c r="A33" s="9" t="s">
        <v>174</v>
      </c>
      <c r="B33" s="1" t="s">
        <v>175</v>
      </c>
      <c r="C33" s="2" t="s">
        <v>25</v>
      </c>
      <c r="D33" s="3" t="s">
        <v>16</v>
      </c>
      <c r="E33" s="3" t="s">
        <v>17</v>
      </c>
      <c r="F33" s="3" t="s">
        <v>18</v>
      </c>
      <c r="G33" s="3" t="s">
        <v>19</v>
      </c>
      <c r="H33" s="4" t="s">
        <v>19</v>
      </c>
      <c r="I33" s="1" t="s">
        <v>176</v>
      </c>
      <c r="J33" s="1" t="s">
        <v>177</v>
      </c>
      <c r="K33" s="1" t="s">
        <v>178</v>
      </c>
      <c r="L33" s="3" t="str">
        <f t="shared" si="0"/>
        <v>Outstanding</v>
      </c>
      <c r="M33" s="11" t="s">
        <v>19</v>
      </c>
    </row>
    <row r="34" spans="1:13" ht="60" customHeight="1" x14ac:dyDescent="0.35">
      <c r="A34" s="9" t="s">
        <v>179</v>
      </c>
      <c r="B34" s="1" t="s">
        <v>180</v>
      </c>
      <c r="C34" s="2" t="s">
        <v>25</v>
      </c>
      <c r="D34" s="3" t="s">
        <v>16</v>
      </c>
      <c r="E34" s="3" t="s">
        <v>17</v>
      </c>
      <c r="F34" s="3" t="s">
        <v>18</v>
      </c>
      <c r="G34" s="3" t="s">
        <v>19</v>
      </c>
      <c r="H34" s="4" t="s">
        <v>19</v>
      </c>
      <c r="I34" s="1" t="s">
        <v>181</v>
      </c>
      <c r="J34" s="1" t="s">
        <v>182</v>
      </c>
      <c r="K34" s="1" t="s">
        <v>183</v>
      </c>
      <c r="L34" s="3" t="str">
        <f t="shared" si="0"/>
        <v>Outstanding</v>
      </c>
      <c r="M34" s="11" t="s">
        <v>19</v>
      </c>
    </row>
    <row r="35" spans="1:13" ht="60" customHeight="1" x14ac:dyDescent="0.35">
      <c r="A35" s="9" t="s">
        <v>184</v>
      </c>
      <c r="B35" s="1" t="s">
        <v>185</v>
      </c>
      <c r="C35" s="2" t="s">
        <v>25</v>
      </c>
      <c r="D35" s="3" t="s">
        <v>16</v>
      </c>
      <c r="E35" s="3" t="s">
        <v>17</v>
      </c>
      <c r="F35" s="3" t="s">
        <v>18</v>
      </c>
      <c r="G35" s="3" t="s">
        <v>19</v>
      </c>
      <c r="H35" s="4" t="s">
        <v>19</v>
      </c>
      <c r="I35" s="1" t="s">
        <v>186</v>
      </c>
      <c r="J35" s="1" t="s">
        <v>187</v>
      </c>
      <c r="K35" s="1" t="s">
        <v>188</v>
      </c>
      <c r="L35" s="3" t="str">
        <f t="shared" si="0"/>
        <v>Outstanding</v>
      </c>
      <c r="M35" s="11" t="s">
        <v>19</v>
      </c>
    </row>
    <row r="36" spans="1:13" ht="60" customHeight="1" x14ac:dyDescent="0.35">
      <c r="A36" s="10" t="s">
        <v>189</v>
      </c>
      <c r="B36" s="5" t="s">
        <v>190</v>
      </c>
      <c r="C36" s="6" t="s">
        <v>25</v>
      </c>
      <c r="D36" s="7" t="s">
        <v>16</v>
      </c>
      <c r="E36" s="7" t="s">
        <v>17</v>
      </c>
      <c r="F36" s="7" t="s">
        <v>18</v>
      </c>
      <c r="G36" s="7" t="s">
        <v>19</v>
      </c>
      <c r="H36" s="8" t="s">
        <v>19</v>
      </c>
      <c r="I36" s="5" t="s">
        <v>191</v>
      </c>
      <c r="J36" s="5" t="s">
        <v>192</v>
      </c>
      <c r="K36" s="5" t="s">
        <v>193</v>
      </c>
      <c r="L36" s="7" t="str">
        <f t="shared" si="0"/>
        <v>Outstanding</v>
      </c>
      <c r="M36" s="12" t="s">
        <v>19</v>
      </c>
    </row>
    <row r="40" spans="1:13" ht="32" customHeight="1" x14ac:dyDescent="0.35">
      <c r="A40" s="78" t="s">
        <v>194</v>
      </c>
      <c r="B40" s="78"/>
      <c r="C40" s="78"/>
      <c r="D40" s="78"/>
    </row>
  </sheetData>
  <mergeCells count="1">
    <mergeCell ref="A40:D40"/>
  </mergeCells>
  <conditionalFormatting sqref="C2:C36">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36">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36">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36">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36" xr:uid="{00000000-0002-0000-0200-000000000000}">
      <formula1>"Must,Should,Could,Won't,Unassigned"</formula1>
    </dataValidation>
    <dataValidation type="list" showErrorMessage="1" errorTitle="Invalid Value" error="Please select a value from the list: Low, Medium, High, Unassessed." sqref="E2:E36" xr:uid="{00000000-0002-0000-0200-000001000000}">
      <formula1>"Low,Medium,High,Unassessed"</formula1>
    </dataValidation>
    <dataValidation type="list" showErrorMessage="1" errorTitle="Invalid Value" error="Please select a value from the list: Phase1, Phase2, Phase3, Phase4, Phase5, Pending." sqref="F2:F36"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36" xr:uid="{00000000-0002-0000-0200-000003000000}">
      <formula1>"Implemented,Testing,Failed,Compensated,Risk Accepted,N/A"</formula1>
    </dataValidation>
  </dataValidations>
  <hyperlinks>
    <hyperlink ref="A40"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318</v>
      </c>
      <c r="C2" s="95" t="s">
        <v>318</v>
      </c>
      <c r="D2" s="95" t="s">
        <v>318</v>
      </c>
      <c r="E2" s="95" t="s">
        <v>318</v>
      </c>
      <c r="F2" s="95" t="s">
        <v>318</v>
      </c>
      <c r="G2" s="95" t="s">
        <v>318</v>
      </c>
      <c r="H2" s="99" t="s">
        <v>319</v>
      </c>
      <c r="I2" s="99" t="s">
        <v>319</v>
      </c>
      <c r="J2" s="99" t="s">
        <v>319</v>
      </c>
      <c r="K2" s="99" t="s">
        <v>319</v>
      </c>
      <c r="L2" s="99" t="s">
        <v>319</v>
      </c>
      <c r="M2" s="98" t="s">
        <v>320</v>
      </c>
      <c r="N2" s="98" t="s">
        <v>320</v>
      </c>
      <c r="O2" s="100" t="s">
        <v>321</v>
      </c>
      <c r="P2" s="100" t="s">
        <v>321</v>
      </c>
      <c r="Q2" s="96" t="s">
        <v>11</v>
      </c>
      <c r="R2" s="96" t="s">
        <v>11</v>
      </c>
      <c r="S2" s="96" t="s">
        <v>11</v>
      </c>
      <c r="T2" s="97" t="s">
        <v>322</v>
      </c>
    </row>
    <row r="3" spans="2:20" ht="35" customHeight="1" x14ac:dyDescent="0.35">
      <c r="B3" s="68" t="s">
        <v>323</v>
      </c>
      <c r="C3" s="68" t="s">
        <v>324</v>
      </c>
      <c r="D3" s="68" t="s">
        <v>325</v>
      </c>
      <c r="E3" s="68" t="s">
        <v>326</v>
      </c>
      <c r="F3" s="68" t="s">
        <v>327</v>
      </c>
      <c r="G3" s="68" t="s">
        <v>9</v>
      </c>
      <c r="H3" s="69" t="s">
        <v>328</v>
      </c>
      <c r="I3" s="69" t="s">
        <v>329</v>
      </c>
      <c r="J3" s="69" t="s">
        <v>330</v>
      </c>
      <c r="K3" s="69" t="s">
        <v>331</v>
      </c>
      <c r="L3" s="69" t="s">
        <v>263</v>
      </c>
      <c r="M3" s="70" t="s">
        <v>332</v>
      </c>
      <c r="N3" s="70" t="s">
        <v>333</v>
      </c>
      <c r="O3" s="71" t="s">
        <v>334</v>
      </c>
      <c r="P3" s="71" t="s">
        <v>335</v>
      </c>
      <c r="Q3" s="72" t="s">
        <v>11</v>
      </c>
      <c r="R3" s="72" t="s">
        <v>336</v>
      </c>
      <c r="S3" s="72" t="s">
        <v>337</v>
      </c>
      <c r="T3" s="73" t="s">
        <v>338</v>
      </c>
    </row>
    <row r="4" spans="2:20" ht="60" customHeight="1" x14ac:dyDescent="0.35">
      <c r="B4" s="74" t="s">
        <v>339</v>
      </c>
      <c r="C4" s="74" t="s">
        <v>340</v>
      </c>
      <c r="D4" s="74" t="s">
        <v>341</v>
      </c>
      <c r="E4" s="74" t="s">
        <v>342</v>
      </c>
      <c r="F4" s="74" t="s">
        <v>343</v>
      </c>
      <c r="G4" s="74" t="s">
        <v>344</v>
      </c>
      <c r="H4" s="74" t="s">
        <v>345</v>
      </c>
      <c r="I4" s="74" t="s">
        <v>346</v>
      </c>
      <c r="J4" s="74" t="s">
        <v>347</v>
      </c>
      <c r="K4" s="74" t="s">
        <v>348</v>
      </c>
      <c r="L4" s="74" t="s">
        <v>349</v>
      </c>
      <c r="M4" s="74" t="s">
        <v>350</v>
      </c>
      <c r="N4" s="74" t="s">
        <v>351</v>
      </c>
      <c r="O4" s="74" t="s">
        <v>352</v>
      </c>
      <c r="P4" s="74" t="s">
        <v>353</v>
      </c>
      <c r="Q4" s="74" t="s">
        <v>354</v>
      </c>
      <c r="R4" s="74" t="s">
        <v>355</v>
      </c>
      <c r="S4" s="74" t="s">
        <v>356</v>
      </c>
      <c r="T4" s="74" t="s">
        <v>357</v>
      </c>
    </row>
    <row r="5" spans="2:20" ht="60" customHeight="1" x14ac:dyDescent="0.35">
      <c r="B5" s="36" t="s">
        <v>358</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359</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360</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361</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362</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363</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364</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365</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366</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367</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368</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369</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370</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371</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372</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373</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374</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375</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376</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377</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378</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379</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380</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381</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382</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383</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384</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385</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386</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387</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388</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389</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390</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391</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392</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393</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394</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395</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396</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397</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398</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399</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400</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401</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402</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403</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404</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405</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406</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407</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194</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Firewall Security Requirements Guide - SHGIR</dc:title>
  <dc:subject>Generated on: 2026-06-08 11:51:37</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2026-06-08T10:51:42Z</dcterms:modified>
  <cp:category>DISA-STIG</cp:category>
  <cp:contentStatus>Draft</cp:contentStatus>
</cp:coreProperties>
</file>