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1E0AB2611900E9E8E87E6FA981F17D2DA823236E" xr6:coauthVersionLast="47" xr6:coauthVersionMax="47" xr10:uidLastSave="{A724E381-B494-4EA2-BF03-9A9D8788FE6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 i="1"/>
  <c r="M26" i="1"/>
  <c r="M25" i="1"/>
  <c r="M24" i="1"/>
  <c r="M23" i="1"/>
  <c r="M22" i="1"/>
  <c r="M21" i="1"/>
  <c r="M20" i="1"/>
  <c r="M19" i="1"/>
  <c r="M18" i="1"/>
  <c r="F125" i="3" s="1"/>
  <c r="M17" i="1"/>
  <c r="M16" i="1"/>
  <c r="M15" i="1"/>
  <c r="M14" i="1"/>
  <c r="M13" i="1"/>
  <c r="M12" i="1"/>
  <c r="M11" i="1"/>
  <c r="M10" i="1"/>
  <c r="M9" i="1"/>
  <c r="M8" i="1"/>
  <c r="M7" i="1"/>
  <c r="M6" i="1"/>
  <c r="M5" i="1"/>
  <c r="M4" i="1"/>
  <c r="M3" i="1"/>
  <c r="M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E83" i="3"/>
  <c r="D83" i="3"/>
  <c r="C83" i="3"/>
  <c r="U136"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34" i="3" l="1"/>
  <c r="D34" i="3"/>
  <c r="C34" i="3"/>
  <c r="R167" i="3"/>
  <c r="R162" i="3"/>
  <c r="R157" i="3"/>
  <c r="R152" i="3"/>
  <c r="R147" i="3"/>
  <c r="R142" i="3"/>
  <c r="D20" i="3"/>
  <c r="R166" i="3"/>
  <c r="R161" i="3"/>
  <c r="R156" i="3"/>
  <c r="R151" i="3"/>
  <c r="R146" i="3"/>
  <c r="R141" i="3"/>
  <c r="R165" i="3"/>
  <c r="R160" i="3"/>
  <c r="R155" i="3"/>
  <c r="R150" i="3"/>
  <c r="R145" i="3"/>
  <c r="R140" i="3"/>
  <c r="R164" i="3"/>
  <c r="R159" i="3"/>
  <c r="R154" i="3"/>
  <c r="R149" i="3"/>
  <c r="R144" i="3"/>
  <c r="R139" i="3"/>
  <c r="E20" i="3"/>
  <c r="C20" i="3"/>
  <c r="R168" i="3"/>
  <c r="R163" i="3"/>
  <c r="R158" i="3"/>
  <c r="R153" i="3"/>
  <c r="R148" i="3"/>
  <c r="R143" i="3"/>
  <c r="R138" i="3"/>
  <c r="E93" i="3"/>
  <c r="D93" i="3"/>
  <c r="C93" i="3"/>
  <c r="D35" i="3"/>
  <c r="C35" i="3"/>
  <c r="E35" i="3"/>
  <c r="C111" i="3"/>
  <c r="E111" i="3"/>
  <c r="D111" i="3"/>
  <c r="C72" i="3"/>
  <c r="D72" i="3"/>
  <c r="E72" i="3"/>
  <c r="E53" i="3"/>
  <c r="D53" i="3"/>
  <c r="C53" i="3"/>
  <c r="C55" i="3"/>
  <c r="D55" i="3"/>
  <c r="E55" i="3"/>
  <c r="E113" i="3"/>
  <c r="D113" i="3"/>
  <c r="C113" i="3"/>
  <c r="E110" i="3"/>
  <c r="D110" i="3"/>
  <c r="C110" i="3"/>
  <c r="E73" i="3"/>
  <c r="D73" i="3"/>
  <c r="C73" i="3"/>
  <c r="G125" i="3"/>
  <c r="E56" i="3"/>
  <c r="D56" i="3"/>
  <c r="C56" i="3"/>
  <c r="D58" i="3"/>
  <c r="E58" i="3"/>
  <c r="C58" i="3"/>
  <c r="E94" i="3"/>
  <c r="D94" i="3"/>
  <c r="C94" i="3"/>
  <c r="E54" i="3"/>
  <c r="D54" i="3"/>
  <c r="C54" i="3"/>
  <c r="E112" i="3"/>
  <c r="D112" i="3"/>
  <c r="C112" i="3"/>
  <c r="F82" i="3"/>
  <c r="C57" i="3"/>
  <c r="D57" i="3"/>
  <c r="F83" i="3"/>
  <c r="F84" i="3"/>
  <c r="Q136" i="3"/>
  <c r="V167" i="3" l="1"/>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V168" i="3"/>
  <c r="V163" i="3"/>
  <c r="V158" i="3"/>
  <c r="V153" i="3"/>
  <c r="V148" i="3"/>
  <c r="V143" i="3"/>
  <c r="V138" i="3"/>
  <c r="X167" i="3"/>
  <c r="X162" i="3"/>
  <c r="X157" i="3"/>
  <c r="X152" i="3"/>
  <c r="X147" i="3"/>
  <c r="X142" i="3"/>
  <c r="X166" i="3"/>
  <c r="X161" i="3"/>
  <c r="X156" i="3"/>
  <c r="X151" i="3"/>
  <c r="X146" i="3"/>
  <c r="X141" i="3"/>
  <c r="D92" i="3"/>
  <c r="X165" i="3"/>
  <c r="X160" i="3"/>
  <c r="X155" i="3"/>
  <c r="X150" i="3"/>
  <c r="X145" i="3"/>
  <c r="X140" i="3"/>
  <c r="C92" i="3"/>
  <c r="X164" i="3"/>
  <c r="X159" i="3"/>
  <c r="X154" i="3"/>
  <c r="X149" i="3"/>
  <c r="X144" i="3"/>
  <c r="X139" i="3"/>
  <c r="X168" i="3"/>
  <c r="X163" i="3"/>
  <c r="X158" i="3"/>
  <c r="X153" i="3"/>
  <c r="X148" i="3"/>
  <c r="X143" i="3"/>
  <c r="X138" i="3"/>
  <c r="E92" i="3"/>
  <c r="T167" i="3"/>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T168" i="3"/>
  <c r="T163" i="3"/>
  <c r="T158" i="3"/>
  <c r="T153" i="3"/>
  <c r="T148" i="3"/>
  <c r="T143" i="3"/>
  <c r="T138" i="3"/>
</calcChain>
</file>

<file path=xl/sharedStrings.xml><?xml version="1.0" encoding="utf-8"?>
<sst xmlns="http://schemas.openxmlformats.org/spreadsheetml/2006/main" count="855" uniqueCount="371">
  <si>
    <t>Id</t>
  </si>
  <si>
    <t>Title</t>
  </si>
  <si>
    <t>Severity</t>
  </si>
  <si>
    <t>Component</t>
  </si>
  <si>
    <t>MoSCoW</t>
  </si>
  <si>
    <t>OpsImpact</t>
  </si>
  <si>
    <t>Phase</t>
  </si>
  <si>
    <t>ImplStatus</t>
  </si>
  <si>
    <t>Notes</t>
  </si>
  <si>
    <t>Remediation</t>
  </si>
  <si>
    <t>Description</t>
  </si>
  <si>
    <t>Audit</t>
  </si>
  <si>
    <t>Status</t>
  </si>
  <si>
    <t>LogID</t>
  </si>
  <si>
    <t>V-259863</t>
  </si>
  <si>
    <r>
      <rPr>
        <sz val="11"/>
        <rFont val="Calibri"/>
      </rPr>
      <t>The Infrastructure as a Service (IaaS)/Platform as a Service (PaaS) must implement a security stack that restricts traffic flow inbound and outbound between the IaaS and the Boundary Cloud Access Point (BCAP) or Internal Cloud Access Point (ICAP) connection.</t>
    </r>
  </si>
  <si>
    <t>CAT I (High)</t>
  </si>
  <si>
    <t>Network</t>
  </si>
  <si>
    <t>Unassigned</t>
  </si>
  <si>
    <t>Unassessed</t>
  </si>
  <si>
    <t>Pending</t>
  </si>
  <si>
    <t/>
  </si>
  <si>
    <r>
      <rPr>
        <sz val="11"/>
        <color rgb="FF000000"/>
        <rFont val="Calibri"/>
      </rPr>
      <t>FedRAMP Moderate, High.</t>
    </r>
    <r>
      <rPr>
        <sz val="11"/>
        <color rgb="FF000000"/>
        <rFont val="Calibri"/>
      </rPr>
      <t xml:space="preserve">
</t>
    </r>
    <r>
      <rPr>
        <sz val="11"/>
        <color rgb="FF000000"/>
        <rFont val="Calibri"/>
      </rPr>
      <t>For dedicated infrastructure with an ICAP/BCAP connection (Levels 4–5 and on-premise Impact Level 2), ensure the IaaS/PaaS implements a security stack that restricts traffic flow inbound and outbound between the IaaS/PaaS and the BCAP or ICAP connection.</t>
    </r>
  </si>
  <si>
    <r>
      <rPr>
        <sz val="11"/>
        <color rgb="FF000000"/>
        <rFont val="Calibri"/>
      </rPr>
      <t>DOD users on the internet may first connect to their assigned Defense Information Systems Network (DISN) Virtual Private Network (VPN) before accessing DOD private applications. The virtual environment may be composed of an array of cloud service offerings from a particular cloud service provider (CSP). The DISN security architecture provides the users with connectivity to the cloud service environment. The architecture mitigates potential damages to the DISN and provides the ability to detect and prevent an attack before it reaches the DISN.</t>
    </r>
    <r>
      <rPr>
        <sz val="11"/>
        <color rgb="FF000000"/>
        <rFont val="Calibri"/>
      </rPr>
      <t xml:space="preserve">
</t>
    </r>
    <r>
      <rPr>
        <sz val="11"/>
        <color rgb="FF000000"/>
        <rFont val="Calibri"/>
      </rPr>
      <t>Note: Off-premise CSP infrastructure having a Level 2 Provisional Authorization (PA) is directly connected to the internet. All traffic to and from a Level 2 cloud service offering (CSO) serving Level 2 missions and their mission virtual networks will connect via the internet.</t>
    </r>
    <r>
      <rPr>
        <sz val="11"/>
        <color rgb="FF000000"/>
        <rFont val="Calibri"/>
      </rPr>
      <t xml:space="preserve">
</t>
    </r>
    <r>
      <rPr>
        <sz val="11"/>
        <color rgb="FF000000"/>
        <rFont val="Calibri"/>
      </rPr>
      <t>CSP infrastructure (dedicated to DOD) located inside the Base, Camp, Post, and Station (B/C/P/S) "fence line" (i.e., on premise) connects via an ICAP. The architecture of ICAPs may vary and may leverage existing capabilities, such as the information assurance stack protecting a DOD data center or a Joint Regional Security Stack (JRSS). An ICAP may also have special capabilities to support specific missions, CSP types (commercial or DOD), or cloud services.</t>
    </r>
    <r>
      <rPr>
        <sz val="11"/>
        <color rgb="FF000000"/>
        <rFont val="Calibri"/>
      </rPr>
      <t xml:space="preserve">
</t>
    </r>
    <r>
      <rPr>
        <sz val="11"/>
        <color rgb="FF000000"/>
        <rFont val="Calibri"/>
      </rPr>
      <t>CSP infrastructure (shared with non-DOD or dedicated to the DOD) located outside the B/C/P/S fence line that connects to the DODIN/NIPRNet does so via one or more BCAPs. The BCAP terminates dedicated circuits and VPN connections originating within the CSP's network infrastructure and/or Mission Owner's virtual networks. All connections between a CSP's network infrastructure or Mission Owner's virtual networks that is accessed via or from the NIPRNet/SIPRNet must connect to the DODIN via a BCAP. For dedicated infrastructure with a DODIN connection (Levels 4–6), the Mission Owner will ensure a virtual security stack is configured in accordance with DODI 8551.</t>
    </r>
  </si>
  <si>
    <r>
      <rPr>
        <sz val="11"/>
        <color rgb="FF000000"/>
        <rFont val="Calibri"/>
      </rPr>
      <t xml:space="preserve">If this is an Impact Level 2 IaaS/PaaS implementation, this requirement is not applicable. </t>
    </r>
    <r>
      <rPr>
        <sz val="11"/>
        <color rgb="FF000000"/>
        <rFont val="Calibri"/>
      </rPr>
      <t xml:space="preserve">
</t>
    </r>
    <r>
      <rPr>
        <sz val="11"/>
        <color rgb="FF000000"/>
        <rFont val="Calibri"/>
      </rPr>
      <t>Review the architecture for the IaaS.</t>
    </r>
    <r>
      <rPr>
        <sz val="11"/>
        <color rgb="FF000000"/>
        <rFont val="Calibri"/>
      </rPr>
      <t xml:space="preserve">
</t>
    </r>
    <r>
      <rPr>
        <sz val="11"/>
        <color rgb="FF000000"/>
        <rFont val="Calibri"/>
      </rPr>
      <t>Verify that for dedicated infrastructure mission Impact Levels 4–5, the IaaS implements a security stack that restricts traffic flow inbound and outbound between the IaaS/PaaS and the BCAP or ICAP connection.</t>
    </r>
    <r>
      <rPr>
        <sz val="11"/>
        <color rgb="FF000000"/>
        <rFont val="Calibri"/>
      </rPr>
      <t xml:space="preserve">
</t>
    </r>
    <r>
      <rPr>
        <sz val="11"/>
        <color rgb="FF000000"/>
        <rFont val="Calibri"/>
      </rPr>
      <t>For IaaS Levels 4–5, if the IaaS does not implement a security stack that restricts traffic flow inbound and outbound between the IaaS/PaaS and the BCAP or ICAP connection, this is a finding.</t>
    </r>
  </si>
  <si>
    <t>V-259864</t>
  </si>
  <si>
    <r>
      <rPr>
        <sz val="11"/>
        <rFont val="Calibri"/>
      </rPr>
      <t>The Mission Owner</t>
    </r>
    <r>
      <rPr>
        <sz val="11"/>
        <color rgb="FF000000"/>
        <rFont val="Calibri"/>
      </rPr>
      <t>'</t>
    </r>
    <r>
      <rPr>
        <sz val="11"/>
        <color rgb="FF000000"/>
        <rFont val="Calibri"/>
      </rPr>
      <t>s internet-facing applications must be configured to traverse the Cloud Access Point (CAP) and Virtual Datacenter Security Stack (VDSS) prior to communicating with the internet.</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</si>
  <si>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virtual internet-facing applications to traverse the CAP and VDSS prior to communicating with the internet.</t>
    </r>
  </si>
  <si>
    <r>
      <rPr>
        <sz val="11"/>
        <color rgb="FF000000"/>
        <rFont val="Calibri"/>
      </rPr>
      <t xml:space="preserve">The CAP and VDSS architectures mitigate potential damages to the Defense Information Systems Network (DISN) and provide the ability to detect and prevent an attack before it reaches the DISN. </t>
    </r>
    <r>
      <rPr>
        <sz val="11"/>
        <color rgb="FF000000"/>
        <rFont val="Calibri"/>
      </rPr>
      <t xml:space="preserve">
</t>
    </r>
    <r>
      <rPr>
        <sz val="11"/>
        <color rgb="FF000000"/>
        <rFont val="Calibri"/>
      </rPr>
      <t>All traffic bound for the internet will traverse the BCAP/ICAP and IAP. Mission applications may be internet facing; internet-facing applications can be unrestricted or restricted (requiring CAC authentication). DOD users on the internet may first connect to their assigned DISN Virtual Private Network (VPN) before accessing Mission Owner enclave or private applications.</t>
    </r>
  </si>
  <si>
    <r>
      <rPr>
        <sz val="11"/>
        <color rgb="FF000000"/>
        <rFont val="Calibri"/>
      </rPr>
      <t>If this is a Software as a Service (SaaS), this is not a finding.</t>
    </r>
    <r>
      <rPr>
        <sz val="11"/>
        <color rgb="FF000000"/>
        <rFont val="Calibri"/>
      </rPr>
      <t xml:space="preserve">
</t>
    </r>
    <r>
      <rPr>
        <sz val="11"/>
        <color rgb="FF000000"/>
        <rFont val="Calibri"/>
      </rPr>
      <t>If Impact Level 2, but the cloud service provider (CSP) has control over the environment, this is not a finding.</t>
    </r>
    <r>
      <rPr>
        <sz val="11"/>
        <color rgb="FF000000"/>
        <rFont val="Calibri"/>
      </rPr>
      <t xml:space="preserve">
</t>
    </r>
    <r>
      <rPr>
        <sz val="11"/>
        <color rgb="FF000000"/>
        <rFont val="Calibri"/>
      </rPr>
      <t>Verify that virtual internet-facing applications are configured to traverse the CAP and VDSS prior to communicating with the internet.</t>
    </r>
    <r>
      <rPr>
        <sz val="11"/>
        <color rgb="FF000000"/>
        <rFont val="Calibri"/>
      </rPr>
      <t xml:space="preserve">
</t>
    </r>
    <r>
      <rPr>
        <sz val="11"/>
        <color rgb="FF000000"/>
        <rFont val="Calibri"/>
      </rPr>
      <t>If virtual internet-facing applications permit direct access to the CSP or the internet, this is a finding.</t>
    </r>
  </si>
  <si>
    <t>V-259865</t>
  </si>
  <si>
    <r>
      <rPr>
        <sz val="11"/>
        <rFont val="Calibri"/>
      </rPr>
      <t>The Mission Owner of the Infrastructure as a Service (IaaS)/Platform as a Service (PaaS) must configure scanning using an Assured Compliance Assessment Solution (ACAS) server or solution that meets DOD scanning and reporting requirements.</t>
    </r>
  </si>
  <si>
    <t>CAT II (Medium)</t>
  </si>
  <si>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IP address of an ACAS server or another solution that meets DOD scanning and reporting requirements.</t>
    </r>
  </si>
  <si>
    <r>
      <rPr>
        <sz val="11"/>
        <color rgb="FF000000"/>
        <rFont val="Calibri"/>
      </rPr>
      <t>Without the use of automated mechanisms to scan for security flaws on a continuous and/or periodic basis, the operating system or other system components may remain vulnerable to the exploits presented by undetected software flaws.</t>
    </r>
    <r>
      <rPr>
        <sz val="11"/>
        <color rgb="FF000000"/>
        <rFont val="Calibri"/>
      </rPr>
      <t xml:space="preserve">
</t>
    </r>
    <r>
      <rPr>
        <sz val="11"/>
        <color rgb="FF000000"/>
        <rFont val="Calibri"/>
      </rPr>
      <t>Implement scanning using an ACAS server in accordance with USCYBERCOM TASKORD 13-670.</t>
    </r>
    <r>
      <rPr>
        <sz val="11"/>
        <color rgb="FF000000"/>
        <rFont val="Calibri"/>
      </rPr>
      <t xml:space="preserve">
</t>
    </r>
    <r>
      <rPr>
        <sz val="11"/>
        <color rgb="FF000000"/>
        <rFont val="Calibri"/>
      </rPr>
      <t>- Use an ACAS Security Center server within NIPRNet or within an associated common virtual services environment in the same cloud service offering (CSO).</t>
    </r>
    <r>
      <rPr>
        <sz val="11"/>
        <color rgb="FF000000"/>
        <rFont val="Calibri"/>
      </rPr>
      <t xml:space="preserve">
</t>
    </r>
    <r>
      <rPr>
        <sz val="11"/>
        <color rgb="FF000000"/>
        <rFont val="Calibri"/>
      </rPr>
      <t>- Implement a secure (encrypted) connection or path between the ACAS server and its assigned ACAS Security Center.</t>
    </r>
    <r>
      <rPr>
        <sz val="11"/>
        <color rgb="FF000000"/>
        <rFont val="Calibri"/>
      </rPr>
      <t xml:space="preserve">
</t>
    </r>
    <r>
      <rPr>
        <sz val="11"/>
        <color rgb="FF000000"/>
        <rFont val="Calibri"/>
      </rPr>
      <t>Impact Level 2: Applies to IaaS/PaaS CSOs where the Mission Owner has control over the environment. In this case, Mission Owners must provide their own enclave boundary protections or leverage an enterprise-level application protection service instantiated within the same CSO.</t>
    </r>
  </si>
  <si>
    <r>
      <rPr>
        <sz val="11"/>
        <color rgb="FF000000"/>
        <rFont val="Calibri"/>
      </rPr>
      <t>If this is a Software as a Service (SaaS), this is not applicable.</t>
    </r>
    <r>
      <rPr>
        <sz val="11"/>
        <color rgb="FF000000"/>
        <rFont val="Calibri"/>
      </rPr>
      <t xml:space="preserve">
</t>
    </r>
    <r>
      <rPr>
        <sz val="11"/>
        <color rgb="FF000000"/>
        <rFont val="Calibri"/>
      </rPr>
      <t>This applies to all Impact Levels.</t>
    </r>
    <r>
      <rPr>
        <sz val="11"/>
        <color rgb="FF000000"/>
        <rFont val="Calibri"/>
      </rPr>
      <t xml:space="preserve">
</t>
    </r>
    <r>
      <rPr>
        <sz val="11"/>
        <color rgb="FF000000"/>
        <rFont val="Calibri"/>
      </rPr>
      <t>Review the configuration of the IaaS/PaaS. Verify that the IP address of an ACAS server is configured. Verify the flaw remediation data is also being communicated to the cybersecurity service provider (CSSP).</t>
    </r>
    <r>
      <rPr>
        <sz val="11"/>
        <color rgb="FF000000"/>
        <rFont val="Calibri"/>
      </rPr>
      <t xml:space="preserve">
</t>
    </r>
    <r>
      <rPr>
        <sz val="11"/>
        <color rgb="FF000000"/>
        <rFont val="Calibri"/>
      </rPr>
      <t>If the PaaS/IaaS does not implement scanning using an ACAS server or CSP-provided solution that meets DOD scanning and reporting requirements, this is a finding.</t>
    </r>
  </si>
  <si>
    <t>V-259866</t>
  </si>
  <si>
    <r>
      <rPr>
        <sz val="11"/>
        <rFont val="Calibri"/>
      </rPr>
      <t>The Infrastructure as a Service (IaaS)/Platform as a Service (PaaS) must be configured to maintain separation of all management and data traffic.</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</si>
  <si>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IaaS/PaaS to maintain separation of all management and data traffic.</t>
    </r>
  </si>
  <si>
    <r>
      <rPr>
        <sz val="11"/>
        <color rgb="FF000000"/>
        <rFont val="Calibri"/>
      </rPr>
      <t xml:space="preserve">The Virtual Datacenter Management system provides a management plane for privileged access and communications. Separation of management and user traffic, including access to the customer service portal, is provided to the DOD Mission Owner by the cloud service provider (CSP) to provision and configure cloud service offerings. </t>
    </r>
    <r>
      <rPr>
        <sz val="11"/>
        <color rgb="FF000000"/>
        <rFont val="Calibri"/>
      </rPr>
      <t xml:space="preserve">
</t>
    </r>
    <r>
      <rPr>
        <sz val="11"/>
        <color rgb="FF000000"/>
        <rFont val="Calibri"/>
      </rPr>
      <t>Additionally, service endpoints for application program interfaces (APIs) and command line interfaces (CLIs) are available as part of the Customer Portal network. These systems can be accessed through the internet by DOD privileged users only (e.g., DOD system and network administrators).</t>
    </r>
  </si>
  <si>
    <r>
      <rPr>
        <sz val="11"/>
        <color rgb="FF000000"/>
        <rFont val="Calibri"/>
      </rPr>
      <t>This applies to all Impact Levels.</t>
    </r>
    <r>
      <rPr>
        <sz val="11"/>
        <color rgb="FF000000"/>
        <rFont val="Calibri"/>
      </rPr>
      <t xml:space="preserve">
</t>
    </r>
    <r>
      <rPr>
        <sz val="11"/>
        <color rgb="FF000000"/>
        <rFont val="Calibri"/>
      </rPr>
      <t>If this is a Software as a Service (SaaS) implementation, this is not a finding.</t>
    </r>
    <r>
      <rPr>
        <sz val="11"/>
        <color rgb="FF000000"/>
        <rFont val="Calibri"/>
      </rPr>
      <t xml:space="preserve">
</t>
    </r>
    <r>
      <rPr>
        <sz val="11"/>
        <color rgb="FF000000"/>
        <rFont val="Calibri"/>
      </rPr>
      <t>Verify the IaaS/PaaS is configured to maintain logical separation of all management and data traffic.</t>
    </r>
    <r>
      <rPr>
        <sz val="11"/>
        <color rgb="FF000000"/>
        <rFont val="Calibri"/>
      </rPr>
      <t xml:space="preserve">
</t>
    </r>
    <r>
      <rPr>
        <sz val="11"/>
        <color rgb="FF000000"/>
        <rFont val="Calibri"/>
      </rPr>
      <t>If the IaaS/PaaS does not maintain separation of all management and data traffic, this is a finding.</t>
    </r>
  </si>
  <si>
    <t>V-259867</t>
  </si>
  <si>
    <r>
      <rPr>
        <sz val="11"/>
        <rFont val="Calibri"/>
      </rPr>
      <t>For Infrastructure as a Service (IaaS)/Platform as a Service (PaaS), the Mission Owner must configure an intrusion detection and prevention system (IDPS) to protect DOD virtual machines (VMs), services, and applications.</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</si>
  <si>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a virtual IDPS to monitor and protect the DOD VMs, services, and applications.</t>
    </r>
  </si>
  <si>
    <r>
      <rPr>
        <sz val="11"/>
        <color rgb="FF000000"/>
        <rFont val="Calibri"/>
      </rPr>
      <t>Network environments and applications installed using an IaaS/PaaS cloud service offering where the Mission Owner has control over the environment must comply with DOD network infrastructure and host policies. Putting an application in the cloud does not take care of all security responsibilities.</t>
    </r>
    <r>
      <rPr>
        <sz val="11"/>
        <color rgb="FF000000"/>
        <rFont val="Calibri"/>
      </rPr>
      <t xml:space="preserve">
</t>
    </r>
    <r>
      <rPr>
        <sz val="11"/>
        <color rgb="FF000000"/>
        <rFont val="Calibri"/>
      </rPr>
      <t>Without coordinated reporting between cloud service environments used for the DOD mission, it is not possible to identify the true scale and possible target of an attack. An IDPS protects Mission Owner enclaves and applications hosted in an off-premise cloud service offering and may be deployed within the cloud service environment, cloud access point, or supporting Core Data Center (CDC). Additionally, an IDPS facilitates the reporting of incidents and aids in the coordination of response actions between all stakeholders of the cloud service offering and/or mission owner applications.</t>
    </r>
    <r>
      <rPr>
        <sz val="11"/>
        <color rgb="FF000000"/>
        <rFont val="Calibri"/>
      </rPr>
      <t xml:space="preserve">
</t>
    </r>
    <r>
      <rPr>
        <sz val="11"/>
        <color rgb="FF000000"/>
        <rFont val="Calibri"/>
      </rPr>
      <t>The Mission Owner and/or their cybersecurity service provider (CSSP) must be able to monitor the virtual network boundary. For dedicated infrastructure with a DODIN connection (Levels 4–6), implement an IDPS that monitors and works with the virtual security infrastructure (e.g., firewall, routing tables, web application firewall, etc.) to protect traffic flow inbound and outbound to/from the virtual network to the DODIN connection.</t>
    </r>
  </si>
  <si>
    <r>
      <rPr>
        <sz val="11"/>
        <color rgb="FF000000"/>
        <rFont val="Calibri"/>
      </rPr>
      <t>If this is a Software as a Service (SaaS), this is not applicable.</t>
    </r>
    <r>
      <rPr>
        <sz val="11"/>
        <color rgb="FF000000"/>
        <rFont val="Calibri"/>
      </rPr>
      <t xml:space="preserve">
</t>
    </r>
    <r>
      <rPr>
        <sz val="11"/>
        <color rgb="FF000000"/>
        <rFont val="Calibri"/>
      </rPr>
      <t>Review the Service Level Agreement and architecture documentation. Verify the virtual IDPS is in place by inspecting the architecture diagrams. Verify it is placed to monitor and protect the IaaS, PaaS, and interconnected host VMs.</t>
    </r>
    <r>
      <rPr>
        <sz val="11"/>
        <color rgb="FF000000"/>
        <rFont val="Calibri"/>
      </rPr>
      <t xml:space="preserve">
</t>
    </r>
    <r>
      <rPr>
        <sz val="11"/>
        <color rgb="FF000000"/>
        <rFont val="Calibri"/>
      </rPr>
      <t>Verify a secure (encrypted) connection exists between the virtual IDPS capabilities and the CSSP responsible for the mission system/application.</t>
    </r>
    <r>
      <rPr>
        <sz val="11"/>
        <color rgb="FF000000"/>
        <rFont val="Calibri"/>
      </rPr>
      <t xml:space="preserve">
</t>
    </r>
    <r>
      <rPr>
        <sz val="11"/>
        <color rgb="FF000000"/>
        <rFont val="Calibri"/>
      </rPr>
      <t>If the Mission Owner has not configured the IaaS or PaaS IDPS to monitor and protect the IaaS and interconnected VMs, this is a finding.</t>
    </r>
  </si>
  <si>
    <t>V-259868</t>
  </si>
  <si>
    <r>
      <rPr>
        <sz val="11"/>
        <rFont val="Calibri"/>
      </rPr>
      <t>The Mission Owner of the Infrastructure as a Service (IaaS) or Platform as a Service (PaaS) must continuously monitor and protect inbound communications from external systems, other IaaS within the same cloud service environment, or collocated mission applications for unusual or unauthorized activities or conditions.</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</si>
  <si>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firewall and/or IDPS for continuous monitoring of all communications inbound to the virtual IaaS or PaaS.</t>
    </r>
    <r>
      <rPr>
        <sz val="11"/>
        <color rgb="FF000000"/>
        <rFont val="Calibri"/>
      </rPr>
      <t xml:space="preserve">
</t>
    </r>
    <r>
      <rPr>
        <sz val="11"/>
        <color rgb="FF000000"/>
        <rFont val="Calibri"/>
      </rPr>
      <t>Configure the ACLs and security rules to detect and filter unusual or unauthorized activities or conditions such as large file transfers, persistent connections, unusual protocols and ports in use, communication with unauthorized entities, or unusually high traffic from particular segments or devices.</t>
    </r>
  </si>
  <si>
    <r>
      <rPr>
        <sz val="11"/>
        <color rgb="FF000000"/>
        <rFont val="Calibri"/>
      </rPr>
      <t xml:space="preserve">Evidence of malicious code is used to identify potentially compromised information systems or information system components. </t>
    </r>
    <r>
      <rPr>
        <sz val="11"/>
        <color rgb="FF000000"/>
        <rFont val="Calibri"/>
      </rPr>
      <t xml:space="preserve">
</t>
    </r>
    <r>
      <rPr>
        <sz val="11"/>
        <color rgb="FF000000"/>
        <rFont val="Calibri"/>
      </rPr>
      <t xml:space="preserve">Unusual/unauthorized activities or conditions related to information system inbound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t>
    </r>
    <r>
      <rPr>
        <sz val="11"/>
        <color rgb="FF000000"/>
        <rFont val="Calibri"/>
      </rPr>
      <t xml:space="preserve">
</t>
    </r>
    <r>
      <rPr>
        <sz val="11"/>
        <color rgb="FF000000"/>
        <rFont val="Calibri"/>
      </rPr>
      <t>Anomalies within organizational information systems include, for example, large file transfers, long-time persistent connections, unusual protocols and ports in use, and attempted communications with suspected malicious external addresses.</t>
    </r>
    <r>
      <rPr>
        <sz val="11"/>
        <color rgb="FF000000"/>
        <rFont val="Calibri"/>
      </rPr>
      <t xml:space="preserve">
</t>
    </r>
    <r>
      <rPr>
        <sz val="11"/>
        <color rgb="FF000000"/>
        <rFont val="Calibri"/>
      </rPr>
      <t>This function may be deployed within the cloud service environment cloud access point or supporting Core Data Center (CDC).</t>
    </r>
  </si>
  <si>
    <r>
      <rPr>
        <sz val="11"/>
        <color rgb="FF000000"/>
        <rFont val="Calibri"/>
      </rPr>
      <t>If this is a Software as a Service (SaaS), this is not applicable.</t>
    </r>
    <r>
      <rPr>
        <sz val="11"/>
        <color rgb="FF000000"/>
        <rFont val="Calibri"/>
      </rPr>
      <t xml:space="preserve">
</t>
    </r>
    <r>
      <rPr>
        <sz val="11"/>
        <color rgb="FF000000"/>
        <rFont val="Calibri"/>
      </rPr>
      <t xml:space="preserve">Inspect the firewall and/or intrusion detection and prevention system (IDPS) access control lists (ACLs) and filters on the firewall inbound interfaces. </t>
    </r>
    <r>
      <rPr>
        <sz val="11"/>
        <color rgb="FF000000"/>
        <rFont val="Calibri"/>
      </rPr>
      <t xml:space="preserve">
</t>
    </r>
    <r>
      <rPr>
        <sz val="11"/>
        <color rgb="FF000000"/>
        <rFont val="Calibri"/>
      </rPr>
      <t xml:space="preserve">Verify these rules are configured for continuous monitoring. </t>
    </r>
    <r>
      <rPr>
        <sz val="11"/>
        <color rgb="FF000000"/>
        <rFont val="Calibri"/>
      </rPr>
      <t xml:space="preserve">
</t>
    </r>
    <r>
      <rPr>
        <sz val="11"/>
        <color rgb="FF000000"/>
        <rFont val="Calibri"/>
      </rPr>
      <t>Verify the ACLs and security rules include rules and ACLs that detect and filter unusual or unauthorized activities or conditions such as large file transfers, persistent connections, unusual protocols and ports in use, communication with unauthorized entities, or unusually high traffic from particular segments or devices.</t>
    </r>
    <r>
      <rPr>
        <sz val="11"/>
        <color rgb="FF000000"/>
        <rFont val="Calibri"/>
      </rPr>
      <t xml:space="preserve">
</t>
    </r>
    <r>
      <rPr>
        <sz val="11"/>
        <color rgb="FF000000"/>
        <rFont val="Calibri"/>
      </rPr>
      <t>If the IaaS/PaaS does not continuously monitor inbound communications from external systems, other IaaS, or collocated mission applications within the same cloud service environment for unusual or unauthorized activities or conditions, this is a finding.</t>
    </r>
  </si>
  <si>
    <t>V-259869</t>
  </si>
  <si>
    <r>
      <rPr>
        <sz val="11"/>
        <rFont val="Calibri"/>
      </rPr>
      <t>The Mission Owner of the Infrastructure as a Service (IaaS) must continuously monitor outbound communications to other systems and enclaves for unusual or unauthorized activities or conditions.</t>
    </r>
  </si>
  <si>
    <r>
      <rPr>
        <sz val="11"/>
        <color rgb="FF000000"/>
        <rFont val="Calibri"/>
      </rPr>
      <t xml:space="preserve">This applies to all Impact Levels. </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firewall and/or IDPS for continuous monitoring of all communications outbound from the virtual IaaS or PaaS.</t>
    </r>
    <r>
      <rPr>
        <sz val="11"/>
        <color rgb="FF000000"/>
        <rFont val="Calibri"/>
      </rPr>
      <t xml:space="preserve">
</t>
    </r>
    <r>
      <rPr>
        <sz val="11"/>
        <color rgb="FF000000"/>
        <rFont val="Calibri"/>
      </rPr>
      <t>Configure any ACLs and filtering rules on outbound interfaces to detect and filter unusual or unauthorized activities or conditions such as large file transfers, persistent connections, unusual protocols and ports in use, communication with unauthorized entities, or other unusually high traffic from particular segments or devices.</t>
    </r>
  </si>
  <si>
    <r>
      <rPr>
        <sz val="11"/>
        <color rgb="FF000000"/>
        <rFont val="Calibri"/>
      </rPr>
      <t>Evidence of malicious code is used to identify potentially compromised information systems or information system components.</t>
    </r>
    <r>
      <rPr>
        <sz val="11"/>
        <color rgb="FF000000"/>
        <rFont val="Calibri"/>
      </rPr>
      <t xml:space="preserve">
</t>
    </r>
    <r>
      <rPr>
        <sz val="11"/>
        <color rgb="FF000000"/>
        <rFont val="Calibri"/>
      </rPr>
      <t xml:space="preserve">Unusual/unauthorized activities or conditions related to outbound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t>
    </r>
    <r>
      <rPr>
        <sz val="11"/>
        <color rgb="FF000000"/>
        <rFont val="Calibri"/>
      </rPr>
      <t xml:space="preserve">
</t>
    </r>
    <r>
      <rPr>
        <sz val="11"/>
        <color rgb="FF000000"/>
        <rFont val="Calibri"/>
      </rPr>
      <t>Anomalies within organizational information systems include, for example, large file transfers, long-time persistent connections, unusual protocols and ports in use, and attempted communications with suspected malicious external addresses.</t>
    </r>
    <r>
      <rPr>
        <sz val="11"/>
        <color rgb="FF000000"/>
        <rFont val="Calibri"/>
      </rPr>
      <t xml:space="preserve">
</t>
    </r>
    <r>
      <rPr>
        <sz val="11"/>
        <color rgb="FF000000"/>
        <rFont val="Calibri"/>
      </rPr>
      <t>This function may be deployed within the cloud service environment, the meet-me point, cloud access point, or supporting Core Data Center (CDC).</t>
    </r>
  </si>
  <si>
    <r>
      <rPr>
        <sz val="11"/>
        <color rgb="FF000000"/>
        <rFont val="Calibri"/>
      </rPr>
      <t>If this is a Software as a Service (SaaS), this is not applicable.</t>
    </r>
    <r>
      <rPr>
        <sz val="11"/>
        <color rgb="FF000000"/>
        <rFont val="Calibri"/>
      </rPr>
      <t xml:space="preserve">
</t>
    </r>
    <r>
      <rPr>
        <sz val="11"/>
        <color rgb="FF000000"/>
        <rFont val="Calibri"/>
      </rPr>
      <t xml:space="preserve">Inspect the firewall and/or or intrusion detection and prevention system (IDPS) access control lists (ACLs) and filtering rules that filter traffic on any outbound interface from the IaaS and systems. </t>
    </r>
    <r>
      <rPr>
        <sz val="11"/>
        <color rgb="FF000000"/>
        <rFont val="Calibri"/>
      </rPr>
      <t xml:space="preserve">
</t>
    </r>
    <r>
      <rPr>
        <sz val="11"/>
        <color rgb="FF000000"/>
        <rFont val="Calibri"/>
      </rPr>
      <t xml:space="preserve">Verify these rules are configured for continuous monitoring. </t>
    </r>
    <r>
      <rPr>
        <sz val="11"/>
        <color rgb="FF000000"/>
        <rFont val="Calibri"/>
      </rPr>
      <t xml:space="preserve">
</t>
    </r>
    <r>
      <rPr>
        <sz val="11"/>
        <color rgb="FF000000"/>
        <rFont val="Calibri"/>
      </rPr>
      <t>Verify the ACLs and security rules include rules and ACLs that detect and filter unusual or unauthorized activities or conditions such as large file transfers, persistent connections, unusual protocols and ports in use, communication with unauthorized entities, or other unusually high traffic from particular segments or devices.</t>
    </r>
    <r>
      <rPr>
        <sz val="11"/>
        <color rgb="FF000000"/>
        <rFont val="Calibri"/>
      </rPr>
      <t xml:space="preserve">
</t>
    </r>
    <r>
      <rPr>
        <sz val="11"/>
        <color rgb="FF000000"/>
        <rFont val="Calibri"/>
      </rPr>
      <t>If the IaaS/PaaS does not continuously monitor outbound communications to other enclaves and systems for unusual or unauthorized activities or conditions, this is a finding.</t>
    </r>
  </si>
  <si>
    <t>V-259870</t>
  </si>
  <si>
    <r>
      <rPr>
        <sz val="11"/>
        <rFont val="Calibri"/>
      </rPr>
      <t>The Mission Owner must configure the Infrastructure as a Service (IaaS)/Platform to use certificate path validation to ensure revoked user credentials are prohibited from establishing a user or machine session.</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</si>
  <si>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IaaS/PaaS to use OCSP or CRLDP to ensure revoked credentials are prohibited from establishing an allowed session. This requirement applies to the use of both user and machine credentials.</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</si>
  <si>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</si>
  <si>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This applies to all Impact Levels.</t>
    </r>
    <r>
      <rPr>
        <sz val="11"/>
        <color rgb="FF000000"/>
        <rFont val="Calibri"/>
      </rPr>
      <t xml:space="preserve">
</t>
    </r>
    <r>
      <rPr>
        <sz val="11"/>
        <color rgb="FF000000"/>
        <rFont val="Calibri"/>
      </rPr>
      <t>If this is a Software as a Service (SaaS) implementation, this is not a finding.</t>
    </r>
    <r>
      <rPr>
        <sz val="11"/>
        <color rgb="FF000000"/>
        <rFont val="Calibri"/>
      </rPr>
      <t xml:space="preserve">
</t>
    </r>
    <r>
      <rPr>
        <sz val="11"/>
        <color rgb="FF000000"/>
        <rFont val="Calibri"/>
      </rPr>
      <t>Verify that certificate path validation is implemented to ensure revoked user and/or machine credentials are prohibited from establishing a user or machine session.</t>
    </r>
    <r>
      <rPr>
        <sz val="11"/>
        <color rgb="FF000000"/>
        <rFont val="Calibri"/>
      </rPr>
      <t xml:space="preserve">
</t>
    </r>
    <r>
      <rPr>
        <sz val="11"/>
        <color rgb="FF000000"/>
        <rFont val="Calibri"/>
      </rPr>
      <t>If the cloud IaaS/PaaS is not configured to use OCSP or CRLDP to ensure revoked credentials are prohibited from establishing an allowed session, this is a finding.</t>
    </r>
  </si>
  <si>
    <t>V-259871</t>
  </si>
  <si>
    <r>
      <rPr>
        <sz val="11"/>
        <rFont val="Calibri"/>
      </rPr>
      <t>The Mission Owner must configure the Infrastructure as a Service (IaaS)/Platform as a Service (PaaS) Cloud Service to use DOD-approved OCSP responder or CRL to validate certificates used for PKI-based authentication.</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</si>
  <si>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IaaS/PaaS to use DOD-approved OCSP responder or CRL to validate certificates used for PKI-based authentication.</t>
    </r>
    <r>
      <rPr>
        <sz val="11"/>
        <color rgb="FF000000"/>
        <rFont val="Calibri"/>
      </rPr>
      <t xml:space="preserve">
</t>
    </r>
    <r>
      <rPr>
        <sz val="11"/>
        <color rgb="FF000000"/>
        <rFont val="Calibri"/>
      </rPr>
      <t>Configure the system to implement the following access policy:</t>
    </r>
    <r>
      <rPr>
        <sz val="11"/>
        <color rgb="FF000000"/>
        <rFont val="Calibri"/>
      </rPr>
      <t xml:space="preserve">
</t>
    </r>
    <r>
      <rPr>
        <sz val="11"/>
        <color rgb="FF000000"/>
        <rFont val="Calibri"/>
      </rPr>
      <t>- Configure CAC/PKI for remote access for privileged users at all Impact Levels. CAC/PKI access is required for nonprivileged users of access to Impact Levels 4–6.</t>
    </r>
    <r>
      <rPr>
        <sz val="11"/>
        <color rgb="FF000000"/>
        <rFont val="Calibri"/>
      </rPr>
      <t xml:space="preserve">
</t>
    </r>
    <r>
      <rPr>
        <sz val="11"/>
        <color rgb="FF000000"/>
        <rFont val="Calibri"/>
      </rPr>
      <t>- Impact Level 6: When an on-premises, use NSS PKI. Enforce the use of a physical token referred to as the CNSS NSS Hardware Token for the authentication of DOD Mission Owner and CSP privileged and nonprivileged end users. When implementing NSS PKI, use NSS OCSP or CRL resources for checking revocation of NSS certificates and NSS Certificate Authorities and must follow CNSS/NSA instructions for the management and protection of cryptographic keys. CNSS-issued PKI server certificates will be used to identify the CSP’s DOD customer ordering/service management portals and SaaS applications and services contracted by and dedicated to DOD use.</t>
    </r>
  </si>
  <si>
    <r>
      <rPr>
        <sz val="11"/>
        <color rgb="FF000000"/>
        <rFont val="Calibri"/>
      </rPr>
      <t>To provide assurances that certificates are validated by the correct responders, the Mission Owner must ensure they are using a valid DOD OCSP responder for remote system DOD Common Access Card (CAC) two-factor authentication of DOD privileged users to systems instantiated within the cloud service environment.</t>
    </r>
    <r>
      <rPr>
        <sz val="11"/>
        <color rgb="FF000000"/>
        <rFont val="Calibri"/>
      </rPr>
      <t xml:space="preserve">
</t>
    </r>
    <r>
      <rPr>
        <sz val="11"/>
        <color rgb="FF000000"/>
        <rFont val="Calibri"/>
      </rPr>
      <t>When a Mission Owner is responsible for authenticating entities and/or identifying a hosted DOD information system, the Mission Owner must configure CAC/PKI for remote access for privileged users at all Impact Levels. CAC/PKI access is required for nonprivileged users of access to Impact Levels 4–6.</t>
    </r>
    <r>
      <rPr>
        <sz val="11"/>
        <color rgb="FF000000"/>
        <rFont val="Calibri"/>
      </rPr>
      <t xml:space="preserve">
</t>
    </r>
    <r>
      <rPr>
        <sz val="11"/>
        <color rgb="FF000000"/>
        <rFont val="Calibri"/>
      </rPr>
      <t>Impact Level 6: When an on-premises, use NSS PKI. Enforce the use of a physical token referred to as the CNSS NSS Hardware Token for the authentication of DOD Mission Owner and CSP privileged and nonprivileged end users. When implementing NSS PKI, use NSS OCSP or CRL resources for checking revocation of NSS certificates and NSS Certificate Authorities and follow CNSS/NSA instructions for the management and protection of cryptographic keys. CNSS-issued PKI server certificates will be used to identify the CSP's DOD customer ordering/service management portals and SaaS applications and services contracted by and dedicated to DOD use.</t>
    </r>
  </si>
  <si>
    <r>
      <rPr>
        <sz val="11"/>
        <color rgb="FF000000"/>
        <rFont val="Calibri"/>
      </rPr>
      <t>This applies to all Impact Levels.</t>
    </r>
    <r>
      <rPr>
        <sz val="11"/>
        <color rgb="FF000000"/>
        <rFont val="Calibri"/>
      </rPr>
      <t xml:space="preserve">
</t>
    </r>
    <r>
      <rPr>
        <sz val="11"/>
        <color rgb="FF000000"/>
        <rFont val="Calibri"/>
      </rPr>
      <t>If this is a Software as a Service (SaaS) implementation, this is not a finding.</t>
    </r>
    <r>
      <rPr>
        <sz val="11"/>
        <color rgb="FF000000"/>
        <rFont val="Calibri"/>
      </rPr>
      <t xml:space="preserve">
</t>
    </r>
    <r>
      <rPr>
        <sz val="11"/>
        <color rgb="FF000000"/>
        <rFont val="Calibri"/>
      </rPr>
      <t>Verify that a DOD-approved OCSP responder or CRL is used to validate certificates used for PKI-based authentication.</t>
    </r>
    <r>
      <rPr>
        <sz val="11"/>
        <color rgb="FF000000"/>
        <rFont val="Calibri"/>
      </rPr>
      <t xml:space="preserve">
</t>
    </r>
    <r>
      <rPr>
        <sz val="11"/>
        <color rgb="FF000000"/>
        <rFont val="Calibri"/>
      </rPr>
      <t>If the cloud IaaS/PaaS is not configured to use DOD-approved OCSP responder or CRL to validate certificates used for PKI-based authentication, this is a finding.</t>
    </r>
  </si>
  <si>
    <t>V-259872</t>
  </si>
  <si>
    <r>
      <rPr>
        <sz val="11"/>
        <rFont val="Calibri"/>
      </rPr>
      <t>The Mission Owner must configure the customer service portal credentials for least privilege.</t>
    </r>
  </si>
  <si>
    <t>Operating System</t>
  </si>
  <si>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 xml:space="preserve">Appoint an individual or entity to manage portal services. Application and enclave administrators should also be appointed. </t>
    </r>
    <r>
      <rPr>
        <sz val="11"/>
        <color rgb="FF000000"/>
        <rFont val="Calibri"/>
      </rPr>
      <t xml:space="preserve">
</t>
    </r>
    <r>
      <rPr>
        <sz val="11"/>
        <color rgb="FF000000"/>
        <rFont val="Calibri"/>
      </rPr>
      <t>Configure access for these individuals to access and configure services and virtual instances.</t>
    </r>
  </si>
  <si>
    <r>
      <rPr>
        <sz val="11"/>
        <color rgb="FF000000"/>
        <rFont val="Calibri"/>
      </rPr>
      <t xml:space="preserve">The Mission Owner must appoint specific individuals or entities to establish plans and policies for the control of privileged user access (including root account credentials) used to establish, configure, and control a Mission Owner's Virtual Private Cloud (VPC) configuration once connected to the DISA Information Systems Network (DISN). These individuals or entities establish and manage accounts and credentials used by privileged DOD users and systems to administer and control DOD cloud service offering configurations. </t>
    </r>
    <r>
      <rPr>
        <sz val="11"/>
        <color rgb="FF000000"/>
        <rFont val="Calibri"/>
      </rPr>
      <t xml:space="preserve">
</t>
    </r>
    <r>
      <rPr>
        <sz val="11"/>
        <color rgb="FF000000"/>
        <rFont val="Calibri"/>
      </rPr>
      <t>This role is intended to operate at all DOD information Impact Levels. However, it may not apply to some Software-as-a-Service (SaaS) solutions where DOD account owners are not required to use the cloud service provider's (CSP's) Identity and Access Management (IdAM) system to administer user accounts and service configurations.</t>
    </r>
  </si>
  <si>
    <r>
      <rPr>
        <sz val="11"/>
        <color rgb="FF000000"/>
        <rFont val="Calibri"/>
      </rPr>
      <t>Review the site's approval documentation to verify that an individual or entity has been appointed to manage the cloud management service portal. This may be a group or contracted service. Verify the cloud service offering has been configured to allow only these individuals for portal service and virtual instance configuration.</t>
    </r>
    <r>
      <rPr>
        <sz val="11"/>
        <color rgb="FF000000"/>
        <rFont val="Calibri"/>
      </rPr>
      <t xml:space="preserve">
</t>
    </r>
    <r>
      <rPr>
        <sz val="11"/>
        <color rgb="FF000000"/>
        <rFont val="Calibri"/>
      </rPr>
      <t>If the Mission Owner has not configured the customer service portal credentials and the Mission Owner application/system privileged accounts for least privilege, this is a finding.</t>
    </r>
  </si>
  <si>
    <t>V-259873</t>
  </si>
  <si>
    <r>
      <rPr>
        <sz val="11"/>
        <rFont val="Calibri"/>
      </rPr>
      <t>The Mission Owner must configure the cloud service offering (CSO)-provided customer logon banner to display the Standard Mandatory DOD Notice and Consent Banner before granting access to users that must log on.</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</si>
  <si>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CSO provided customer logon banner capability and any Mission Owner provided logon capability to virtual machines in accordance with DTM-08-060 for all privileged and nonprivileged customer users that must logon.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</si>
  <si>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operating system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</si>
  <si>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Determine if the CSO login function is configured to present a DOD-approved banner that is formatted in accordance with DTM-08-060. Verify the use of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Verify use of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such a banner is not presented for all virtual machines and applications, this is a finding.</t>
    </r>
  </si>
  <si>
    <t>V-259874</t>
  </si>
  <si>
    <r>
      <rPr>
        <sz val="11"/>
        <rFont val="Calibri"/>
      </rPr>
      <t>The Mission Owner must configure the Infrastructure as a Service (IaaS)/Platform as a Service (PaaS) to prohibit or restrict the use of functions, ports, protocols, and/or services.</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</si>
  <si>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For dedicated infrastructure with a DODIN connection (Impact Levels 2–6), configure the IaaS/PaaS virtual firewall that restricts traffic flow inbound and outbound to/from the cloud service to the DODIN connection and block all traffic from all other sources.</t>
    </r>
    <r>
      <rPr>
        <sz val="11"/>
        <color rgb="FF000000"/>
        <rFont val="Calibri"/>
      </rPr>
      <t xml:space="preserve">
</t>
    </r>
    <r>
      <rPr>
        <sz val="11"/>
        <color rgb="FF000000"/>
        <rFont val="Calibri"/>
      </rPr>
      <t>To ensure protocols and services are not blocked by the above configuration, register them along with their related UDP/TCP IP ports used by the SaaS service that will traverse the Defense Information Systems Network (DISN) in the DOD PPSM registry. This includes all user and management plane traffic for Impact Levels 4, 5, and 6, as well as management plane traffic for Impact Level 2 if managed/monitored from within a DOD network.</t>
    </r>
  </si>
  <si>
    <r>
      <rPr>
        <sz val="11"/>
        <color rgb="FF000000"/>
        <rFont val="Calibri"/>
      </rPr>
      <t>To prevent unauthorized connection of devices, unauthorized transfer of information, or unauthorized tunneling (i.e., embedding of data types within data types), Mission Owners must disable or restrict unused or unnecessary physical and logical ports/protocols on information systems.</t>
    </r>
  </si>
  <si>
    <r>
      <rPr>
        <sz val="11"/>
        <color rgb="FF000000"/>
        <rFont val="Calibri"/>
      </rPr>
      <t xml:space="preserve">For dedicated infrastructure with a DOD Information Network (DODIN) connection, review the architecture diagrams. This includes all user and management plane traffic for Impact Levels 4, 5, and 6, as well as management plane traffic for Impact Level 2 if managed/monitored from within a DOD network. </t>
    </r>
    <r>
      <rPr>
        <sz val="11"/>
        <color rgb="FF000000"/>
        <rFont val="Calibri"/>
      </rPr>
      <t xml:space="preserve">
</t>
    </r>
    <r>
      <rPr>
        <sz val="11"/>
        <color rgb="FF000000"/>
        <rFont val="Calibri"/>
      </rPr>
      <t>Verify that the virtual firewall access control lists that restrict traffic flow inbound and outbound to/from the cloud service to the DODIN connection comply with the boundary requirements. Verify that all traffic from the cloud service provider (CSP) enclave and other sources are blocked by these methods.</t>
    </r>
    <r>
      <rPr>
        <sz val="11"/>
        <color rgb="FF000000"/>
        <rFont val="Calibri"/>
      </rPr>
      <t xml:space="preserve">
</t>
    </r>
    <r>
      <rPr>
        <sz val="11"/>
        <color rgb="FF000000"/>
        <rFont val="Calibri"/>
      </rPr>
      <t>If the cloud service offering is not configured to prohibit or restrict the use of functions, ports, protocols, and/or services as defined in the Ports, Protocols, and Services Management (PPSM) Category Assurance List (CAL) and vulnerability assessments, this is a finding.</t>
    </r>
  </si>
  <si>
    <t>V-259875</t>
  </si>
  <si>
    <r>
      <rPr>
        <sz val="11"/>
        <rFont val="Calibri"/>
      </rPr>
      <t>The cloud service offering (CSO) must be configured to use DOD public key infrastructure (PKI) to uniquely identify and authenticate organizational users (or processes acting on behalf of organizational users).</t>
    </r>
  </si>
  <si>
    <r>
      <rPr>
        <sz val="11"/>
        <color rgb="FF000000"/>
        <rFont val="Calibri"/>
      </rPr>
      <t>This applies to Impact Level 4/5/6.</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Mission Owners may choose to use the CSP's CAC services (based on level), use a DOD federated offering, or install a virtual Directory Service.</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</si>
  <si>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Identity Federation requirements to enable Common Access Card (CAC) authentication of nonprivileged DOD users to cloud-hosted DOD (e.g., Infrastructure as a Service [IaaS] and Platform as a Service [PaaS]) or Software as a Service (SaaS) provided systems and services is the responsibility of the CSO, procuring DOD Component, or Program Office. Mission Owners may choose to use the cloud service providers (CSP's) CAC services (based on Level), use a DOD federated offering, or install a virtual Directory Service.</t>
    </r>
    <r>
      <rPr>
        <sz val="11"/>
        <color rgb="FF000000"/>
        <rFont val="Calibri"/>
      </rPr>
      <t xml:space="preserve">
</t>
    </r>
    <r>
      <rPr>
        <sz val="11"/>
        <color rgb="FF000000"/>
        <rFont val="Calibri"/>
      </rPr>
      <t>For Impact Levels 2–5, the CSPs must have either a DOD PKI certificate or a DOD-approved External Certification Authority (ECA) medium-assurance PKI Certificate for each person who needs to communicate with DOD via encrypted email and for admin accounts. CSPs serving Level 6 systems will already have SIPRNet tokens/NSS PKI certificates for their system administrators by virtue of the connection to SIPRNet.</t>
    </r>
    <r>
      <rPr>
        <sz val="11"/>
        <color rgb="FF000000"/>
        <rFont val="Calibri"/>
      </rPr>
      <t xml:space="preserve">
</t>
    </r>
    <r>
      <rPr>
        <sz val="11"/>
        <color rgb="FF000000"/>
        <rFont val="Calibri"/>
      </rPr>
      <t>Satisfies: SRG-OS-000104,SRG-OS-000377</t>
    </r>
  </si>
  <si>
    <r>
      <rPr>
        <sz val="11"/>
        <color rgb="FF000000"/>
        <rFont val="Calibri"/>
      </rPr>
      <t>This is not applicable for Impact Level 2 public clouds with nonprivileged user access to publicly releasable information unless the information owner requires authenticated access.</t>
    </r>
    <r>
      <rPr>
        <sz val="11"/>
        <color rgb="FF000000"/>
        <rFont val="Calibri"/>
      </rPr>
      <t xml:space="preserve">
</t>
    </r>
    <r>
      <rPr>
        <sz val="11"/>
        <color rgb="FF000000"/>
        <rFont val="Calibri"/>
      </rPr>
      <t>Verify the CSO is configured to use DOD PKI to uniquely identify and authenticate organizational users (or processes acting on behalf of organizational users).</t>
    </r>
    <r>
      <rPr>
        <sz val="11"/>
        <color rgb="FF000000"/>
        <rFont val="Calibri"/>
      </rPr>
      <t xml:space="preserve">
</t>
    </r>
    <r>
      <rPr>
        <sz val="11"/>
        <color rgb="FF000000"/>
        <rFont val="Calibri"/>
      </rPr>
      <t>If the CSO does not use DOD PKI to uniquely identify and authenticate organizational users (or processes acting on behalf of organizational users), this is a finding.</t>
    </r>
  </si>
  <si>
    <t>V-259876</t>
  </si>
  <si>
    <r>
      <rPr>
        <sz val="11"/>
        <rFont val="Calibri"/>
      </rPr>
      <t>The Infrastructure as a Service (IaaS)/Platform as a Service (PaaS) must perform centralized logging to capture and store log records.</t>
    </r>
  </si>
  <si>
    <r>
      <rPr>
        <sz val="11"/>
        <color rgb="FF000000"/>
        <rFont val="Calibri"/>
      </rPr>
      <t>This applies to all Impact Levels.</t>
    </r>
    <r>
      <rPr>
        <sz val="11"/>
        <color rgb="FF000000"/>
        <rFont val="Calibri"/>
      </rPr>
      <t xml:space="preserve">
</t>
    </r>
    <r>
      <rPr>
        <sz val="11"/>
        <color rgb="FF000000"/>
        <rFont val="Calibri"/>
      </rPr>
      <t>FedRAMP - Does not match DOD requirement explicitly. Allows up to seven days for offloading. Moderate, High.</t>
    </r>
    <r>
      <rPr>
        <sz val="11"/>
        <color rgb="FF000000"/>
        <rFont val="Calibri"/>
      </rPr>
      <t xml:space="preserve">
</t>
    </r>
    <r>
      <rPr>
        <sz val="11"/>
        <color rgb="FF000000"/>
        <rFont val="Calibri"/>
      </rPr>
      <t>Implement a solution for centralized logging to capture and store the log records produced on the IaaS/PaaS.</t>
    </r>
  </si>
  <si>
    <r>
      <rPr>
        <sz val="11"/>
        <color rgb="FF000000"/>
        <rFont val="Calibri"/>
      </rPr>
      <t xml:space="preserve">Protection of log data includes ensuring log data is not accidentally lost or deleted. Backing up audit records to a different system or onto separate media than the system being audited on an organizationally defined frequency helps to ensure that in the event of a catastrophic system failure, the audit records will be retained. </t>
    </r>
    <r>
      <rPr>
        <sz val="11"/>
        <color rgb="FF000000"/>
        <rFont val="Calibri"/>
      </rPr>
      <t xml:space="preserve">
</t>
    </r>
    <r>
      <rPr>
        <sz val="11"/>
        <color rgb="FF000000"/>
        <rFont val="Calibri"/>
      </rPr>
      <t>This helps to ensure that a compromise of the information system being audited does not also result in a compromise of the audit records.</t>
    </r>
    <r>
      <rPr>
        <sz val="11"/>
        <color rgb="FF000000"/>
        <rFont val="Calibri"/>
      </rPr>
      <t xml:space="preserve">
</t>
    </r>
    <r>
      <rPr>
        <sz val="11"/>
        <color rgb="FF000000"/>
        <rFont val="Calibri"/>
      </rPr>
      <t>For cloud service environments, security information and event management (SIEM) or syslog capability must be implemented by both Boundary and Mission Computer Network Defense (CND) service providers to log audit information.</t>
    </r>
    <r>
      <rPr>
        <sz val="11"/>
        <color rgb="FF000000"/>
        <rFont val="Calibri"/>
      </rPr>
      <t xml:space="preserve">
</t>
    </r>
    <r>
      <rPr>
        <sz val="11"/>
        <color rgb="FF000000"/>
        <rFont val="Calibri"/>
      </rPr>
      <t>This requirement can be met by the operating system continuously sending records to a centralized logging server.</t>
    </r>
  </si>
  <si>
    <r>
      <rPr>
        <sz val="11"/>
        <color rgb="FF000000"/>
        <rFont val="Calibri"/>
      </rPr>
      <t>If this is a Software as a Service (SaaS) implementation, this is not a finding.</t>
    </r>
    <r>
      <rPr>
        <sz val="11"/>
        <color rgb="FF000000"/>
        <rFont val="Calibri"/>
      </rPr>
      <t xml:space="preserve">
</t>
    </r>
    <r>
      <rPr>
        <sz val="11"/>
        <color rgb="FF000000"/>
        <rFont val="Calibri"/>
      </rPr>
      <t>Verify the IaaS/PaaS is configured to use centralized logging to capture and store the log records produced by the virtual machine (VM) management on the IaaS/PaaS.</t>
    </r>
    <r>
      <rPr>
        <sz val="11"/>
        <color rgb="FF000000"/>
        <rFont val="Calibri"/>
      </rPr>
      <t xml:space="preserve">
</t>
    </r>
    <r>
      <rPr>
        <sz val="11"/>
        <color rgb="FF000000"/>
        <rFont val="Calibri"/>
      </rPr>
      <t>If the IaaS/PaaS does not perform centralized logging to capture and store the log records produced by the VM management, this is a finding.</t>
    </r>
  </si>
  <si>
    <t>V-259877</t>
  </si>
  <si>
    <r>
      <rPr>
        <sz val="11"/>
        <rFont val="Calibri"/>
      </rPr>
      <t>For Impact Levels 4 and 5, the Mission Owner must register all cloud-based services, their CSP/CSO, and connection method in the DISA Systems/Network Approval Process (SNAP) database Cloud Module.</t>
    </r>
  </si>
  <si>
    <r>
      <rPr>
        <sz val="11"/>
        <color rgb="FF000000"/>
        <rFont val="Calibri"/>
      </rPr>
      <t>This applies to Impact Levels 4 and 5.</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 xml:space="preserve">Register the Infrastructure as a Service (IaaS)/Platform as a Service (PaaS) CSP's cloud service offering in SNAP for the connection approval. </t>
    </r>
    <r>
      <rPr>
        <sz val="11"/>
        <color rgb="FF000000"/>
        <rFont val="Calibri"/>
      </rPr>
      <t xml:space="preserve">
</t>
    </r>
    <r>
      <rPr>
        <sz val="11"/>
        <color rgb="FF000000"/>
        <rFont val="Calibri"/>
      </rPr>
      <t>Register the IP address that the cloud service offering uses for the cloud management portal.</t>
    </r>
  </si>
  <si>
    <r>
      <rPr>
        <sz val="11"/>
        <color rgb="FF000000"/>
        <rFont val="Calibri"/>
      </rPr>
      <t xml:space="preserve">Register all cloud-based systems and applications, including the cloud service provider (CSP)/cloud service offering (CSO) name, Mission Cyberspace Defense (MCD), and connection method in the DISA SNAP database Cloud Module. SNAP registration will enable cloud services to be connected to the DISA Information Systems Network (DISN) and is crucial for situational awareness. </t>
    </r>
    <r>
      <rPr>
        <sz val="11"/>
        <color rgb="FF000000"/>
        <rFont val="Calibri"/>
      </rPr>
      <t xml:space="preserve">
</t>
    </r>
    <r>
      <rPr>
        <sz val="11"/>
        <color rgb="FF000000"/>
        <rFont val="Calibri"/>
      </rPr>
      <t>SNAP registration documentation must include designating a certified cybersecurity service provider (CSSP) as the Tier 2 Computer Network Defense (CND). If applicable, the IP address of the cloud service must be configured in accordance with the Mission Owner's IP registration in SNAP so they do not repurpose an already registered IP for new services without updating the SNAP registration.</t>
    </r>
    <r>
      <rPr>
        <sz val="11"/>
        <color rgb="FF000000"/>
        <rFont val="Calibri"/>
      </rPr>
      <t xml:space="preserve">
</t>
    </r>
    <r>
      <rPr>
        <sz val="11"/>
        <color rgb="FF000000"/>
        <rFont val="Calibri"/>
      </rPr>
      <t xml:space="preserve">SNAP: https://snap.dod.mil/gcap/home.do </t>
    </r>
    <r>
      <rPr>
        <sz val="11"/>
        <color rgb="FF000000"/>
        <rFont val="Calibri"/>
      </rPr>
      <t xml:space="preserve">
</t>
    </r>
    <r>
      <rPr>
        <sz val="11"/>
        <color rgb="FF000000"/>
        <rFont val="Calibri"/>
      </rPr>
      <t>Connection Approval: https://www.disa.mil/Network-Services/Enterprise-Connections/Connection-Approval</t>
    </r>
  </si>
  <si>
    <r>
      <rPr>
        <sz val="11"/>
        <color rgb="FF000000"/>
        <rFont val="Calibri"/>
      </rPr>
      <t>If this is a Software as a Service (SaaS) Impact Level 2 implementation, this is not applicable.</t>
    </r>
    <r>
      <rPr>
        <sz val="11"/>
        <color rgb="FF000000"/>
        <rFont val="Calibri"/>
      </rPr>
      <t xml:space="preserve">
</t>
    </r>
    <r>
      <rPr>
        <sz val="11"/>
        <color rgb="FF000000"/>
        <rFont val="Calibri"/>
      </rPr>
      <t>Verify the CSP's cloud service offering is registered in SNAP for the connection approval, and it is the one being used in the cloud management portal.</t>
    </r>
    <r>
      <rPr>
        <sz val="11"/>
        <color rgb="FF000000"/>
        <rFont val="Calibri"/>
      </rPr>
      <t xml:space="preserve">
</t>
    </r>
    <r>
      <rPr>
        <sz val="11"/>
        <color rgb="FF000000"/>
        <rFont val="Calibri"/>
      </rPr>
      <t>If the IP address registered in SNAP is not configured for use with the approved cloud environment, this is a finding.</t>
    </r>
  </si>
  <si>
    <t>V-259878</t>
  </si>
  <si>
    <r>
      <rPr>
        <sz val="11"/>
        <rFont val="Calibri"/>
      </rPr>
      <t>For Impact Level 6, the Mission Owner must process connection approval to the SIPRNet through the DISA classified connection approval process.</t>
    </r>
  </si>
  <si>
    <r>
      <rPr>
        <sz val="11"/>
        <color rgb="FF000000"/>
        <rFont val="Calibri"/>
      </rPr>
      <t>This applies to Impact Level 6.</t>
    </r>
    <r>
      <rPr>
        <sz val="11"/>
        <color rgb="FF000000"/>
        <rFont val="Calibri"/>
      </rPr>
      <t xml:space="preserve">
</t>
    </r>
    <r>
      <rPr>
        <sz val="11"/>
        <color rgb="FF000000"/>
        <rFont val="Calibri"/>
      </rPr>
      <t>FedRAMP High.</t>
    </r>
    <r>
      <rPr>
        <sz val="11"/>
        <color rgb="FF000000"/>
        <rFont val="Calibri"/>
      </rPr>
      <t xml:space="preserve">
</t>
    </r>
    <r>
      <rPr>
        <sz val="11"/>
        <color rgb="FF000000"/>
        <rFont val="Calibri"/>
      </rPr>
      <t xml:space="preserve">Register the IaaS/PaaS CSP's cloud service offering in SNAP for the connection approval. </t>
    </r>
    <r>
      <rPr>
        <sz val="11"/>
        <color rgb="FF000000"/>
        <rFont val="Calibri"/>
      </rPr>
      <t xml:space="preserve">
</t>
    </r>
    <r>
      <rPr>
        <sz val="11"/>
        <color rgb="FF000000"/>
        <rFont val="Calibri"/>
      </rPr>
      <t>Register the IP address that the cloud service offering uses for the cloud management portal.</t>
    </r>
  </si>
  <si>
    <r>
      <rPr>
        <sz val="11"/>
        <color rgb="FF000000"/>
        <rFont val="Calibri"/>
      </rPr>
      <t>The DOD Mission Owner systems/applications instantiated in these Impact Level 6 CSO enclaves will be assessed and authorized in the same way as any other DOD SIPRNet enclave connection in accordance with the DISA CPG. Approval for connection to the SIPRNet will be processed through the DISA classified connection approval process as with any other SIPRNet enclave.</t>
    </r>
  </si>
  <si>
    <r>
      <rPr>
        <sz val="11"/>
        <color rgb="FF000000"/>
        <rFont val="Calibri"/>
      </rPr>
      <t>If this is not Impact Level 6, this is not applicable.</t>
    </r>
    <r>
      <rPr>
        <sz val="11"/>
        <color rgb="FF000000"/>
        <rFont val="Calibri"/>
      </rPr>
      <t xml:space="preserve">
</t>
    </r>
    <r>
      <rPr>
        <sz val="11"/>
        <color rgb="FF000000"/>
        <rFont val="Calibri"/>
      </rPr>
      <t>Verify with the site personnel that the CSO is registered in SNAP.</t>
    </r>
    <r>
      <rPr>
        <sz val="11"/>
        <color rgb="FF000000"/>
        <rFont val="Calibri"/>
      </rPr>
      <t xml:space="preserve">
</t>
    </r>
    <r>
      <rPr>
        <sz val="11"/>
        <color rgb="FF000000"/>
        <rFont val="Calibri"/>
      </rPr>
      <t>If the Mission Owner does not process connection approval to the SIPRNet through the DISA classified connection approval process. this is a finding.</t>
    </r>
  </si>
  <si>
    <t>V-259879</t>
  </si>
  <si>
    <r>
      <rPr>
        <sz val="11"/>
        <rFont val="Calibri"/>
      </rPr>
      <t>The Mission Owner of the Infrastructure as a Service (IaaS)/Platform as a Service (PaaS) must remove orphaned or unused virtual machine (VM) instances.</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</si>
  <si>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For IaaS/PaaS, disable or remove cloud services and helper VMs that are no longer required based on mission requirements. Cloud services and VMs are added, removed, and updated by the cloud service portal management entity via the management plane.</t>
    </r>
  </si>
  <si>
    <r>
      <rPr>
        <sz val="11"/>
        <color rgb="FF000000"/>
        <rFont val="Calibri"/>
      </rPr>
      <t>Control of program execution is a mechanism used to prevent execution of unauthorized programs. Some VMs may provide a capability that runs counter to the mission or provides users with functionality that exceeds mission requirements. This includes functions and services installed at the VM level.</t>
    </r>
    <r>
      <rPr>
        <sz val="11"/>
        <color rgb="FF000000"/>
        <rFont val="Calibri"/>
      </rPr>
      <t xml:space="preserve">
</t>
    </r>
    <r>
      <rPr>
        <sz val="11"/>
        <color rgb="FF000000"/>
        <rFont val="Calibri"/>
      </rPr>
      <t>Some of the service and helper VMs, installed by default, may be harmful or may not be necessary to support essential organizational operations (e.g., key missions, functions). Removal of such VMs is not always possible; therefore, establishing a method of preventing VM activation is critical to maintaining a secure system baseline.</t>
    </r>
    <r>
      <rPr>
        <sz val="11"/>
        <color rgb="FF000000"/>
        <rFont val="Calibri"/>
      </rPr>
      <t xml:space="preserve">
</t>
    </r>
    <r>
      <rPr>
        <sz val="11"/>
        <color rgb="FF000000"/>
        <rFont val="Calibri"/>
      </rPr>
      <t>Methods for complying with this requirement include restricting execution of VMs in certain environments while preventing execution in other environments or limiting execution of certain VM functionality based on organizationally defined criteria (e.g., privileges, subnets, sandboxed environments, or roles).</t>
    </r>
  </si>
  <si>
    <r>
      <rPr>
        <sz val="11"/>
        <color rgb="FF000000"/>
        <rFont val="Calibri"/>
      </rPr>
      <t>If this is a Software as a Service (SaaS) implementation, this is not a finding.</t>
    </r>
    <r>
      <rPr>
        <sz val="11"/>
        <color rgb="FF000000"/>
        <rFont val="Calibri"/>
      </rPr>
      <t xml:space="preserve">
</t>
    </r>
    <r>
      <rPr>
        <sz val="11"/>
        <color rgb="FF000000"/>
        <rFont val="Calibri"/>
      </rPr>
      <t>If cloud VMs are managed by the cloud service provider (CSP), verify separation requirements are addressed in the Service Level Agreement (SLA).</t>
    </r>
    <r>
      <rPr>
        <sz val="11"/>
        <color rgb="FF000000"/>
        <rFont val="Calibri"/>
      </rPr>
      <t xml:space="preserve">
</t>
    </r>
    <r>
      <rPr>
        <sz val="11"/>
        <color rgb="FF000000"/>
        <rFont val="Calibri"/>
      </rPr>
      <t>Verify the IaaS/PaaS is configured to disable or remove cloud services and helper VMs that are no longer required based on mission requirements.</t>
    </r>
    <r>
      <rPr>
        <sz val="11"/>
        <color rgb="FF000000"/>
        <rFont val="Calibri"/>
      </rPr>
      <t xml:space="preserve">
</t>
    </r>
    <r>
      <rPr>
        <sz val="11"/>
        <color rgb="FF000000"/>
        <rFont val="Calibri"/>
      </rPr>
      <t>If the IaaS/PaaS has not been configured to disable or remove cloud services and helper VMs that are no longer required based on mission requirements, this is a finding.</t>
    </r>
  </si>
  <si>
    <t>V-259880</t>
  </si>
  <si>
    <r>
      <rPr>
        <sz val="11"/>
        <rFont val="Calibri"/>
      </rPr>
      <t>The Infrastructure as a Service (IaaS)/Platform as a Service (PaaS)/Software as a Service (SaaS) must register the service/application with the DOD DMZ/IAP allowlist for internet-facing inbound and outbound traffic.</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</si>
  <si>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Coordinate with the cybersecurity service provider (CSSP) during cloud architecture development to ensure required security-relevant data will be accessible via the cloud service provider/cloud service offering, third-party security service subscription, and/or native application programming interface capability.</t>
    </r>
    <r>
      <rPr>
        <sz val="11"/>
        <color rgb="FF000000"/>
        <rFont val="Calibri"/>
      </rPr>
      <t xml:space="preserve">
</t>
    </r>
    <r>
      <rPr>
        <sz val="11"/>
        <color rgb="FF000000"/>
        <rFont val="Calibri"/>
      </rPr>
      <t>Register the IaaS/PaaS/SaaS service/application with the DOD allowlist for both inbound and outbound traffic. Configure the DOD allowlist with the ports and protocols needed to support applications and services used in the cloud environment.</t>
    </r>
  </si>
  <si>
    <r>
      <rPr>
        <sz val="11"/>
        <color rgb="FF000000"/>
        <rFont val="Calibri"/>
      </rPr>
      <t xml:space="preserve">Register the service/application with the DOD DMZ/IAP allowlist for both inbound and outbound traffic if traffic will cross the internet access points (IAPs). </t>
    </r>
    <r>
      <rPr>
        <sz val="11"/>
        <color rgb="FF000000"/>
        <rFont val="Calibri"/>
      </rPr>
      <t xml:space="preserve">
</t>
    </r>
    <r>
      <rPr>
        <sz val="11"/>
        <color rgb="FF000000"/>
        <rFont val="Calibri"/>
      </rPr>
      <t>Using an allowlist provides a configuration management method for allowing the execution of only authorized software, ports, protocols, and guest virtual machines (VMs). Using only authorized software decreases risk by limiting the number of potential vulnerabilities and preventing the execution of malware. Cloud approval documentation should include allowed approved ports and protocols communications, including allowlisted mission application traffic and services access from the internet via the Defense Information Systems Network (DISN) IAP.</t>
    </r>
    <r>
      <rPr>
        <sz val="11"/>
        <color rgb="FF000000"/>
        <rFont val="Calibri"/>
      </rPr>
      <t xml:space="preserve">
</t>
    </r>
    <r>
      <rPr>
        <sz val="11"/>
        <color rgb="FF000000"/>
        <rFont val="Calibri"/>
      </rPr>
      <t>If all or a portion of the mission owners cloud-based Level 4/5 systems/applications connected through the BCAP are to be internet accessible, traffic is required to traverse the DISN IAPs. The system's/application's URLs/IP addresses must be registered with the DOD DMZ allowlist. Traffic that will typically traverse the IAP is management traffic for Level 2 off-premises systems/applications and for user plane traffic to/from Level 4/5 systems/applications that are internet-facing. Such traffic and IP addresses may be blocked if not registered in the allowlist.</t>
    </r>
  </si>
  <si>
    <r>
      <rPr>
        <sz val="11"/>
        <color rgb="FF000000"/>
        <rFont val="Calibri"/>
      </rPr>
      <t xml:space="preserve">Request the cloud service Provisional Authorization (PA) and registration documentation. </t>
    </r>
    <r>
      <rPr>
        <sz val="11"/>
        <color rgb="FF000000"/>
        <rFont val="Calibri"/>
      </rPr>
      <t xml:space="preserve">
</t>
    </r>
    <r>
      <rPr>
        <sz val="11"/>
        <color rgb="FF000000"/>
        <rFont val="Calibri"/>
      </rPr>
      <t xml:space="preserve">Verify the IaaS/PaaS/software is registered in the service/application with the DOD DMZ/IAP allowlist for both inbound and outbound traffic when traffic will cross the IAPs. </t>
    </r>
    <r>
      <rPr>
        <sz val="11"/>
        <color rgb="FF000000"/>
        <rFont val="Calibri"/>
      </rPr>
      <t xml:space="preserve">
</t>
    </r>
    <r>
      <rPr>
        <sz val="11"/>
        <color rgb="FF000000"/>
        <rFont val="Calibri"/>
      </rPr>
      <t>If the system/service/application is not registered with the DOD DMZ/IAP allowlist for both inbound and outbound internet-facing traffic, this is a finding.</t>
    </r>
  </si>
  <si>
    <t>V-259881</t>
  </si>
  <si>
    <r>
      <rPr>
        <sz val="11"/>
        <rFont val="Calibri"/>
      </rPr>
      <t>For storage service offerings, the Mission Owner must configure or ensure the cloud instance uses encryption to protect all DOD files housed in the cloud instance.</t>
    </r>
  </si>
  <si>
    <r>
      <rPr>
        <sz val="11"/>
        <color rgb="FF000000"/>
        <rFont val="Calibri"/>
      </rPr>
      <t>This applies to Impact Levels 4/5/6 and applies to Impact Level 2 where the Mission Owner has control of the environment.</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Configure the cloud instance to use encryption to protect all DOD files housed in the virtual storage service.</t>
    </r>
  </si>
  <si>
    <r>
      <rPr>
        <sz val="11"/>
        <color rgb="FF000000"/>
        <rFont val="Calibri"/>
      </rPr>
      <t>Mission systems at all Impact Levels must have the capability for DOD data to be encrypted at rest with exclusive DOD control of encryption keys and key management. Some cloud service offerings (CSOs) may facilitate this by providing a Hardware Security Module (HSM) or offering customer-dedicated HSM devices as a service. CSOs that do not provide such a capability may require Mission Owners to use encryption hardware/software on the Defense Information Systems Network (DISN) or a cloud encryption service that provides DOD control of keys and key management. Some CSOs may offer a key management service that can suffice for management of customer keys by the customer while preventing cloud service provider (CSP) access to the keys. An NSA-validated CSP key management service is required.</t>
    </r>
    <r>
      <rPr>
        <sz val="11"/>
        <color rgb="FF000000"/>
        <rFont val="Calibri"/>
      </rPr>
      <t xml:space="preserve">
</t>
    </r>
    <r>
      <rPr>
        <sz val="11"/>
        <color rgb="FF000000"/>
        <rFont val="Calibri"/>
      </rPr>
      <t>Data-at-rest (DAR) encryption with customer-controlled keys and key management protects the DOD data stored in CSOs with the following benefits:</t>
    </r>
    <r>
      <rPr>
        <sz val="11"/>
        <color rgb="FF000000"/>
        <rFont val="Calibri"/>
      </rPr>
      <t xml:space="preserve">
</t>
    </r>
    <r>
      <rPr>
        <sz val="11"/>
        <color rgb="FF000000"/>
        <rFont val="Calibri"/>
      </rPr>
      <t>- Maintains the integrity of publicly released information and websites at Level 2 where confidentiality is not an issue.</t>
    </r>
    <r>
      <rPr>
        <sz val="11"/>
        <color rgb="FF000000"/>
        <rFont val="Calibri"/>
      </rPr>
      <t xml:space="preserve">
</t>
    </r>
    <r>
      <rPr>
        <sz val="11"/>
        <color rgb="FF000000"/>
        <rFont val="Calibri"/>
      </rPr>
      <t>- Maintains the confidentiality and integrity of CUI at Levels 4 and 5 with the following benefits:</t>
    </r>
    <r>
      <rPr>
        <sz val="11"/>
        <color rgb="FF000000"/>
        <rFont val="Calibri"/>
      </rPr>
      <t xml:space="preserve">
</t>
    </r>
    <r>
      <rPr>
        <sz val="11"/>
        <color rgb="FF000000"/>
        <rFont val="Calibri"/>
      </rPr>
      <t>- Limits the insider threat vector of unauthorized access by CSP personnel by increasing the work necessary to compromise/access unencrypted DOD data.</t>
    </r>
    <r>
      <rPr>
        <sz val="11"/>
        <color rgb="FF000000"/>
        <rFont val="Calibri"/>
      </rPr>
      <t xml:space="preserve">
</t>
    </r>
    <r>
      <rPr>
        <sz val="11"/>
        <color rgb="FF000000"/>
        <rFont val="Calibri"/>
      </rPr>
      <t>Mission Owners and their Authorizing Officials should consider the benefits of DAR encryption and a cryptography-based process for data destruction and/or spill remediation at Impact Level 2 in addition to the benefit of maintaining information integrity.</t>
    </r>
  </si>
  <si>
    <r>
      <rPr>
        <sz val="11"/>
        <color rgb="FF000000"/>
        <rFont val="Calibri"/>
      </rPr>
      <t>Unless the information owner requires encryption and KMS, for Impact Level 2 public cloud with nonprivileged user access to publicly releasable information, this is not applicable.</t>
    </r>
    <r>
      <rPr>
        <sz val="11"/>
        <color rgb="FF000000"/>
        <rFont val="Calibri"/>
      </rPr>
      <t xml:space="preserve">
</t>
    </r>
    <r>
      <rPr>
        <sz val="11"/>
        <color rgb="FF000000"/>
        <rFont val="Calibri"/>
      </rPr>
      <t xml:space="preserve">Verify the cloud storage service is configured to use encryption and KMS to protect all DOD files housed in the virtual storage service. </t>
    </r>
    <r>
      <rPr>
        <sz val="11"/>
        <color rgb="FF000000"/>
        <rFont val="Calibri"/>
      </rPr>
      <t xml:space="preserve">
</t>
    </r>
    <r>
      <rPr>
        <sz val="11"/>
        <color rgb="FF000000"/>
        <rFont val="Calibri"/>
      </rPr>
      <t>If the cloud storage service is not configured to use encryption to protect all DOD files housed in the virtual storage service, this is a finding.</t>
    </r>
  </si>
  <si>
    <t>V-259882</t>
  </si>
  <si>
    <r>
      <rPr>
        <sz val="11"/>
        <rFont val="Calibri"/>
      </rPr>
      <t>The Mission Owner of the Infrastructure as a Service (IaaS) or Platform as a Service (PaaS) must remove all upgraded or replaced software and firmware components that are no longer required for operation.</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</si>
  <si>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Remove all upgraded or replaced software and firmware components that are no longer required for operation from the IaaS/PaaS.</t>
    </r>
  </si>
  <si>
    <r>
      <rPr>
        <sz val="11"/>
        <color rgb="FF000000"/>
        <rFont val="Calibri"/>
      </rPr>
      <t>Adversaries may exploit previous versions of software components that are not removed from the information system after updates have been installed. Some information technology products may remove older versions of software from the information system automatically.</t>
    </r>
  </si>
  <si>
    <r>
      <rPr>
        <sz val="11"/>
        <color rgb="FF000000"/>
        <rFont val="Calibri"/>
      </rPr>
      <t>If this is software as a service (SaaS), this is not a finding.</t>
    </r>
    <r>
      <rPr>
        <sz val="11"/>
        <color rgb="FF000000"/>
        <rFont val="Calibri"/>
      </rPr>
      <t xml:space="preserve">
</t>
    </r>
    <r>
      <rPr>
        <sz val="11"/>
        <color rgb="FF000000"/>
        <rFont val="Calibri"/>
      </rPr>
      <t>If the Mission Owner of the IaaS or PaaS has not removed all upgraded or replaced software and firmware components that are no longer required for operation, this is a finding.</t>
    </r>
  </si>
  <si>
    <t>V-259883</t>
  </si>
  <si>
    <r>
      <rPr>
        <sz val="11"/>
        <rFont val="Calibri"/>
      </rPr>
      <t>The Mission owner must obtain Authorizing Official (AO) authorization for each cloud service offering (CSO) implemented in support of production or development environments prior to operational use.</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</si>
  <si>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Obtain AO authorization for each CSO implemented in support of production or development environments prior to operational use.</t>
    </r>
  </si>
  <si>
    <r>
      <rPr>
        <sz val="11"/>
        <color rgb="FF000000"/>
        <rFont val="Calibri"/>
      </rPr>
      <t>The Mission Owner must choose a CSO that fits the operational needs and also has a DOD Provisional Authorization (PA) at the information Impact Level corresponding to the categorization of the information to be processed or stored in the CSO. The PA and supporting documentation must then be leveraged by the Mission Owner's AO in granting the required Authority to Operate (ATO) for the mission system operating within the cloud.</t>
    </r>
  </si>
  <si>
    <r>
      <rPr>
        <sz val="11"/>
        <color rgb="FF000000"/>
        <rFont val="Calibri"/>
      </rPr>
      <t>Review the approval documentation. Verify the ATO indicates the component level AO has authorized the use of the CSO.</t>
    </r>
    <r>
      <rPr>
        <sz val="11"/>
        <color rgb="FF000000"/>
        <rFont val="Calibri"/>
      </rPr>
      <t xml:space="preserve">
</t>
    </r>
    <r>
      <rPr>
        <sz val="11"/>
        <color rgb="FF000000"/>
        <rFont val="Calibri"/>
      </rPr>
      <t>If the Mission Owner's AO has not authorized the use of the CSO, this is a finding.</t>
    </r>
  </si>
  <si>
    <t>V-259884</t>
  </si>
  <si>
    <r>
      <rPr>
        <sz val="11"/>
        <rFont val="Calibri"/>
      </rPr>
      <t>The Mission Owner must select and configure an Impact Level 2 FedRAMP authorized cloud service offering (CSO) when hosting unclassified, publicly releasable DOD information.</t>
    </r>
  </si>
  <si>
    <r>
      <rPr>
        <sz val="11"/>
        <color rgb="FF000000"/>
        <rFont val="Calibri"/>
      </rPr>
      <t>This applies to Impact Level 2.</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Select and configure an Impact Level 2 CSO listed in the FedRAMP Marketplace as FedRAMP moderate, or the DISA PA DOD Cloud Catalog, when hosting unclassified, publicly releasable DOD information.</t>
    </r>
  </si>
  <si>
    <r>
      <rPr>
        <sz val="11"/>
        <color rgb="FF000000"/>
        <rFont val="Calibri"/>
      </rPr>
      <t>FedRAMP Moderate is the minimum security baseline for all DOD cloud services. Components and Mission Owners may host unclassified, publicly releasable DOD information on FedRAMP Moderate approved cloud services. This type of CSO is known as Impact Level 2. They may also configure an offering from the DISA PA DOD Cloud Catalog at any Impact Level for use.</t>
    </r>
    <r>
      <rPr>
        <sz val="11"/>
        <color rgb="FF000000"/>
        <rFont val="Calibri"/>
      </rPr>
      <t xml:space="preserve">
</t>
    </r>
    <r>
      <rPr>
        <sz val="11"/>
        <color rgb="FF000000"/>
        <rFont val="Calibri"/>
      </rPr>
      <t>Low Confidentiality Impact: Mission Owners will only publish, collect, store, or process low confidentiality impact (sensitivity) personally identifiable information (PII) in a CSO minimally possessing a FedRAMP Moderate Provisional Authority to Operate (P-ATO) listed on the FedRAMP Marketplace and a DOD Level 2 Provisional Authorization (PA), with Privacy Officer approval.</t>
    </r>
  </si>
  <si>
    <r>
      <rPr>
        <sz val="11"/>
        <color rgb="FF000000"/>
        <rFont val="Calibri"/>
      </rPr>
      <t>If the CSO implementation is categorized as Impact Level 4/5/6, this is not applicable.</t>
    </r>
    <r>
      <rPr>
        <sz val="11"/>
        <color rgb="FF000000"/>
        <rFont val="Calibri"/>
      </rPr>
      <t xml:space="preserve">
</t>
    </r>
    <r>
      <rPr>
        <sz val="11"/>
        <color rgb="FF000000"/>
        <rFont val="Calibri"/>
      </rPr>
      <t>Review the approval documentation. Verify the cloud service offering is listed in either the FedRAMP or DISA PA DOD Cloud Catalog when hosting unclassified, publicly releasable DOD information.</t>
    </r>
    <r>
      <rPr>
        <sz val="11"/>
        <color rgb="FF000000"/>
        <rFont val="Calibri"/>
      </rPr>
      <t xml:space="preserve">
</t>
    </r>
    <r>
      <rPr>
        <sz val="11"/>
        <color rgb="FF000000"/>
        <rFont val="Calibri"/>
      </rPr>
      <t>If unclassified, publicly releasable DOD information is being hosted in the IaaS/PaaS and the CSO is not listed in the FedRAMP Marketplace as FedRAMP moderate (at a minimum), or the DISA PA DOD Cloud Catalog, this is a finding.</t>
    </r>
  </si>
  <si>
    <t>V-259885</t>
  </si>
  <si>
    <r>
      <rPr>
        <sz val="11"/>
        <rFont val="Calibri"/>
      </rPr>
      <t>The Mission Owner must select and configure an Impact Level 4/5 cloud service offering (CSO) listed in the DISA Provisional Authorization (PA) DOD Cloud Catalog when hosting Controlled Unclassified Information (CUI).</t>
    </r>
  </si>
  <si>
    <r>
      <rPr>
        <sz val="11"/>
        <color rgb="FF000000"/>
        <rFont val="Calibri"/>
      </rPr>
      <t>This applies to Impact Level 4/5.</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 xml:space="preserve">For CUI information, select and configure a CSO listed in the DISA PA DOD Cloud Catalog for use with Impact Level 4/5 or higher. </t>
    </r>
    <r>
      <rPr>
        <sz val="11"/>
        <color rgb="FF000000"/>
        <rFont val="Calibri"/>
      </rPr>
      <t xml:space="preserve">
</t>
    </r>
    <r>
      <rPr>
        <sz val="11"/>
        <color rgb="FF000000"/>
        <rFont val="Calibri"/>
      </rPr>
      <t>Specify in the Service Level Agreement (SLA) with the cloud service provider (CSP) and any third-party providers compliance with applicable STIG configurations.</t>
    </r>
  </si>
  <si>
    <r>
      <rPr>
        <sz val="11"/>
        <color rgb="FF000000"/>
        <rFont val="Calibri"/>
      </rPr>
      <t>Impact Level 4 accommodates Controlled Unclassified Information (CUI). This information must be protected from unauthorized disclosure. Designating information as CUI is the responsibility of the data owner and their organization. Determining the appropriate Impact Level for a specific mission with CUI will be the responsibility of the mission AO.</t>
    </r>
    <r>
      <rPr>
        <sz val="11"/>
        <color rgb="FF000000"/>
        <rFont val="Calibri"/>
      </rPr>
      <t xml:space="preserve">
</t>
    </r>
    <r>
      <rPr>
        <sz val="11"/>
        <color rgb="FF000000"/>
        <rFont val="Calibri"/>
      </rPr>
      <t>Impact Level 5 accommodates CUI that requires a higher level of protection as deemed necessary by the information owner, public law, or other government regulations.</t>
    </r>
  </si>
  <si>
    <r>
      <rPr>
        <sz val="11"/>
        <color rgb="FF000000"/>
        <rFont val="Calibri"/>
      </rPr>
      <t>If the implementation is categorized as Impact Level 2 or 6, this is not applicable.</t>
    </r>
    <r>
      <rPr>
        <sz val="11"/>
        <color rgb="FF000000"/>
        <rFont val="Calibri"/>
      </rPr>
      <t xml:space="preserve">
</t>
    </r>
    <r>
      <rPr>
        <sz val="11"/>
        <color rgb="FF000000"/>
        <rFont val="Calibri"/>
      </rPr>
      <t>Review the approval documentation and the DISA PA Cloud Catalog. For clouds hosting CUI information, verify the CSO is listed as Impact Level 4 or 5.</t>
    </r>
    <r>
      <rPr>
        <sz val="11"/>
        <color rgb="FF000000"/>
        <rFont val="Calibri"/>
      </rPr>
      <t xml:space="preserve">
</t>
    </r>
    <r>
      <rPr>
        <sz val="11"/>
        <color rgb="FF000000"/>
        <rFont val="Calibri"/>
      </rPr>
      <t>If CUI is being hosted in the Infrastructure as a Service (IaaS)/Platform as a Service (PaaS) and the CSO is not listed in the DISA PA DOD Cloud Catalog as Impact Level 4 or 5, this is a finding.</t>
    </r>
  </si>
  <si>
    <t>V-259886</t>
  </si>
  <si>
    <r>
      <rPr>
        <sz val="11"/>
        <rFont val="Calibri"/>
      </rPr>
      <t>The Mission Owner must select and configure an Impact Level 5 cloud service offering (CSO) listed in the DISA Provisional Authorization (PA) DOD Cloud Catalog when hosting Unclassified National Security Information (U-NSI).</t>
    </r>
  </si>
  <si>
    <r>
      <rPr>
        <sz val="11"/>
        <color rgb="FF000000"/>
        <rFont val="Calibri"/>
      </rPr>
      <t>This applies to Impact Level 5.</t>
    </r>
    <r>
      <rPr>
        <sz val="11"/>
        <color rgb="FF000000"/>
        <rFont val="Calibri"/>
      </rPr>
      <t xml:space="preserve">
</t>
    </r>
    <r>
      <rPr>
        <sz val="11"/>
        <color rgb="FF000000"/>
        <rFont val="Calibri"/>
      </rPr>
      <t>FedRAMP High.</t>
    </r>
    <r>
      <rPr>
        <sz val="11"/>
        <color rgb="FF000000"/>
        <rFont val="Calibri"/>
      </rPr>
      <t xml:space="preserve">
</t>
    </r>
    <r>
      <rPr>
        <sz val="11"/>
        <color rgb="FF000000"/>
        <rFont val="Calibri"/>
      </rPr>
      <t>For U-NSI information, select and configure a CSO listed in the DISA PA DOD Cloud Catalog for use with Impact Level 5.</t>
    </r>
    <r>
      <rPr>
        <sz val="11"/>
        <color rgb="FF000000"/>
        <rFont val="Calibri"/>
      </rPr>
      <t xml:space="preserve">
</t>
    </r>
    <r>
      <rPr>
        <sz val="11"/>
        <color rgb="FF000000"/>
        <rFont val="Calibri"/>
      </rPr>
      <t>Specify in the Service Level Agreement (SLA) with the CSP and any third-party providers compliance with applicable STIG configurations.</t>
    </r>
  </si>
  <si>
    <r>
      <rPr>
        <sz val="11"/>
        <color rgb="FF000000"/>
        <rFont val="Calibri"/>
      </rPr>
      <t>U-NSI must be housed on an Impact Level 5 CSO. This is Unclassified National Security Systems (NSS) information and data. This is because NSS-specific security requirements are included in FedRAMP+.</t>
    </r>
  </si>
  <si>
    <r>
      <rPr>
        <sz val="11"/>
        <color rgb="FF000000"/>
        <rFont val="Calibri"/>
      </rPr>
      <t>If the implementation is categorized as Impact Level 2, 4, or 6, this is not applicable.</t>
    </r>
    <r>
      <rPr>
        <sz val="11"/>
        <color rgb="FF000000"/>
        <rFont val="Calibri"/>
      </rPr>
      <t xml:space="preserve">
</t>
    </r>
    <r>
      <rPr>
        <sz val="11"/>
        <color rgb="FF000000"/>
        <rFont val="Calibri"/>
      </rPr>
      <t>Review the approval documentation and the DISA PA Cloud Catalog. For clouds hosting U-NSI information, verify the CSO is listed as Impact Level 5.</t>
    </r>
    <r>
      <rPr>
        <sz val="11"/>
        <color rgb="FF000000"/>
        <rFont val="Calibri"/>
      </rPr>
      <t xml:space="preserve">
</t>
    </r>
    <r>
      <rPr>
        <sz val="11"/>
        <color rgb="FF000000"/>
        <rFont val="Calibri"/>
      </rPr>
      <t>If U-NSI is being hosted in the Infrastructure as a Service (IaaS)/Platform as a Service (PaaS) and the CSO is not listed in the DISA PA DOD Cloud Catalog as Impact Level 5, this is a finding.</t>
    </r>
  </si>
  <si>
    <t>V-259887</t>
  </si>
  <si>
    <r>
      <rPr>
        <sz val="11"/>
        <rFont val="Calibri"/>
      </rPr>
      <t>The Mission Owners must select and configure a cloud service offering (CSO) listed in the DISA Provisional Authorization (PA) DOD Cloud Catalog at Level 6 when hosting classified DOD information.</t>
    </r>
  </si>
  <si>
    <r>
      <rPr>
        <sz val="11"/>
        <color rgb="FF000000"/>
        <rFont val="Calibri"/>
      </rPr>
      <t>This applies to Impact Level 6.</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 xml:space="preserve">Configure a cloud service offering listed in the DISA PA DOD Cloud Catalog for use with Impact Level 6 when hosting classified DOD information. </t>
    </r>
    <r>
      <rPr>
        <sz val="11"/>
        <color rgb="FF000000"/>
        <rFont val="Calibri"/>
      </rPr>
      <t xml:space="preserve">
</t>
    </r>
    <r>
      <rPr>
        <sz val="11"/>
        <color rgb="FF000000"/>
        <rFont val="Calibri"/>
      </rPr>
      <t>Specify in the Service Level Agreement (SLA) with the CSP and third-party providers compliance with applicable STIG configurations.</t>
    </r>
  </si>
  <si>
    <r>
      <rPr>
        <sz val="11"/>
        <color rgb="FF000000"/>
        <rFont val="Calibri"/>
      </rPr>
      <t>Impact Level 6 is reserved for the storage and processing of classified information. Impact Level 6 information up to the SECRET level must be stored and processed in a dedicated cloud infrastructure located in facilities approved for the processing of classified information, rated at or above the highest level of classification of the information being stored and/or processed.</t>
    </r>
  </si>
  <si>
    <r>
      <rPr>
        <sz val="11"/>
        <color rgb="FF000000"/>
        <rFont val="Calibri"/>
      </rPr>
      <t>If the implementation is categorized as Impact Level 2–5, this is not applicable.</t>
    </r>
    <r>
      <rPr>
        <sz val="11"/>
        <color rgb="FF000000"/>
        <rFont val="Calibri"/>
      </rPr>
      <t xml:space="preserve">
</t>
    </r>
    <r>
      <rPr>
        <sz val="11"/>
        <color rgb="FF000000"/>
        <rFont val="Calibri"/>
      </rPr>
      <t>Review the approval documentation and the DISA PA Cloud Catalog. Verify the CSO is listed in the DISA PA DOD Cloud Catalog. Verify the CSO is listed in the DISA PA DOD Cloud Catalog at Level 6 when hosting classified DOD information.</t>
    </r>
    <r>
      <rPr>
        <sz val="11"/>
        <color rgb="FF000000"/>
        <rFont val="Calibri"/>
      </rPr>
      <t xml:space="preserve">
</t>
    </r>
    <r>
      <rPr>
        <sz val="11"/>
        <color rgb="FF000000"/>
        <rFont val="Calibri"/>
      </rPr>
      <t>If classified DOD information is being hosted in the Infrastructure as a Service (IaaS)/Platform as a Service (PaaS) and the CSO is not listed in the DISA PA DOD Cloud Catalog, Impact Level 6, this is a finding.</t>
    </r>
  </si>
  <si>
    <t>V-259888</t>
  </si>
  <si>
    <r>
      <rPr>
        <sz val="11"/>
        <rFont val="Calibri"/>
      </rPr>
      <t>The Mission Owner must add all applicable compensating controls and requirements in the Service Level Agreement (SLA)/contract with the cloud service provider (CSP) or third-party provider.</t>
    </r>
  </si>
  <si>
    <r>
      <rPr>
        <sz val="11"/>
        <color rgb="FF000000"/>
        <rFont val="Calibri"/>
      </rPr>
      <t>This applies to all Impact Levels.</t>
    </r>
    <r>
      <rPr>
        <sz val="11"/>
        <color rgb="FF000000"/>
        <rFont val="Calibri"/>
      </rPr>
      <t xml:space="preserve">
</t>
    </r>
    <r>
      <rPr>
        <sz val="11"/>
        <color rgb="FF000000"/>
        <rFont val="Calibri"/>
      </rPr>
      <t>FedRAMP Moderate, High.</t>
    </r>
    <r>
      <rPr>
        <sz val="11"/>
        <color rgb="FF000000"/>
        <rFont val="Calibri"/>
      </rPr>
      <t xml:space="preserve">
</t>
    </r>
    <r>
      <rPr>
        <sz val="11"/>
        <color rgb="FF000000"/>
        <rFont val="Calibri"/>
      </rPr>
      <t>Review Sections 3.3.6 and 3.3.7 of the Cloud Computing Mission Owner SRG Overview. Document all applicable compensating controls and requirements in the SLA/contract with the CSP or third-party provider.</t>
    </r>
    <r>
      <rPr>
        <sz val="11"/>
        <color rgb="FF000000"/>
        <rFont val="Calibri"/>
      </rPr>
      <t xml:space="preserve">
</t>
    </r>
    <r>
      <rPr>
        <sz val="11"/>
        <color rgb="FF000000"/>
        <rFont val="Calibri"/>
      </rPr>
      <t>Update the SLA/contract with any revised guidance in Cloud Computing SRG updates. If there is a period of noncompliance, document the risk.</t>
    </r>
  </si>
  <si>
    <r>
      <rPr>
        <sz val="11"/>
        <color rgb="FF000000"/>
        <rFont val="Calibri"/>
      </rPr>
      <t xml:space="preserve">The Mission Owner may tailor the SLA/contract to include any of the controls in the Cloud Computing Mission Owner SRG Overview, Table-3-1, beyond the FedRAMP and DOD Baseline and FedRAMP+ security controls. The Mission Owner is responsible for defining any parameter values associated with any added security control. These values should be based on current DOD Risk Management Framework (RMF) Technical Advisory Group (TAG) values or Committee on National Security Systems Instruction (CNSSI) 1253 values. </t>
    </r>
    <r>
      <rPr>
        <sz val="11"/>
        <color rgb="FF000000"/>
        <rFont val="Calibri"/>
      </rPr>
      <t xml:space="preserve">
</t>
    </r>
    <r>
      <rPr>
        <sz val="11"/>
        <color rgb="FF000000"/>
        <rFont val="Calibri"/>
      </rPr>
      <t>Any change of ownership involving a CSP, whether the primary CSP or an underlying CSP on which a cloud service offering (CSO) was built, will be reviewed by the DISA Authorizing Official (AO) to assess the impacts and risks associated with the continuation of the DOD Provisional Authorization (PA).</t>
    </r>
    <r>
      <rPr>
        <sz val="11"/>
        <color rgb="FF000000"/>
        <rFont val="Calibri"/>
      </rPr>
      <t xml:space="preserve">
</t>
    </r>
    <r>
      <rPr>
        <sz val="11"/>
        <color rgb="FF000000"/>
        <rFont val="Calibri"/>
      </rPr>
      <t>Any existing Impact Level 5/National Security System (NSS) systems will have two years from publication date of the Cloud Computing SRG, V1R1, to update to the National Institute of Standards and Technology Special Publication 800-53 Rev 5. They must submit a Plan of Acton and Milestones (POA&amp;M) within 30 days, outlining actions to move to the High baseline requirement.</t>
    </r>
    <r>
      <rPr>
        <sz val="11"/>
        <color rgb="FF000000"/>
        <rFont val="Calibri"/>
      </rPr>
      <t xml:space="preserve">
</t>
    </r>
    <r>
      <rPr>
        <sz val="11"/>
        <color rgb="FF000000"/>
        <rFont val="Calibri"/>
      </rPr>
      <t>When new updates for the Cloud Computing SRG are published, the Mission Owners and their Authorizing Officials (AOs) must review the controls to determine if the risk is acceptable until such time the CSP is required to comply and/or include the required compliance in the SLA/contract.</t>
    </r>
  </si>
  <si>
    <r>
      <rPr>
        <sz val="11"/>
        <color rgb="FF000000"/>
        <rFont val="Calibri"/>
      </rPr>
      <t>Verify that the SLA with the CSP and third-party providers includes all required compliance items in the Cloud Computing Mission Owner SRG.</t>
    </r>
    <r>
      <rPr>
        <sz val="11"/>
        <color rgb="FF000000"/>
        <rFont val="Calibri"/>
      </rPr>
      <t xml:space="preserve">
</t>
    </r>
    <r>
      <rPr>
        <sz val="11"/>
        <color rgb="FF000000"/>
        <rFont val="Calibri"/>
      </rPr>
      <t>If the Mission Owner does not add all required compensating controls and requirements in the SLA/contract with the CSP or third-party provider,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</si>
  <si>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</si>
  <si>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</si>
  <si>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</si>
  <si>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</si>
  <si>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</si>
  <si>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</si>
  <si>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</si>
  <si>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</si>
  <si>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</si>
  <si>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</si>
  <si>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</si>
  <si>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</si>
  <si>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</si>
  <si>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</si>
  <si>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</si>
  <si>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</si>
  <si>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</si>
  <si>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</si>
  <si>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</si>
  <si>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</si>
  <si>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</si>
  <si>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</si>
  <si>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</si>
  <si>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</si>
  <si>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</si>
  <si>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</si>
  <si>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</si>
  <si>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</si>
  <si>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</si>
  <si>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Cloud Computing Mission Owner Security Requirements Guide Y25M12</t>
  </si>
  <si>
    <t>Developed By:</t>
  </si>
  <si>
    <t>Defense Information Systems Agency (DISA) for the US DoD</t>
  </si>
  <si>
    <t>Release Information:</t>
  </si>
  <si>
    <r>
      <rPr>
        <b/>
        <sz val="11"/>
        <color rgb="FF000000"/>
        <rFont val="Calibri"/>
      </rPr>
      <t>Version:</t>
    </r>
    <r>
      <rPr>
        <sz val="11"/>
        <color rgb="FF000000"/>
        <rFont val="Calibri"/>
      </rPr>
      <t xml:space="preserve"> Y25M12    </t>
    </r>
    <r>
      <rPr>
        <b/>
        <sz val="11"/>
        <color rgb="FF000000"/>
        <rFont val="Calibri"/>
      </rPr>
      <t>Date:</t>
    </r>
    <r>
      <rPr>
        <sz val="11"/>
        <color rgb="FF000000"/>
        <rFont val="Calibri"/>
      </rPr>
      <t xml:space="preserve"> 10 December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</si>
  <si>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</si>
  <si>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</si>
  <si>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</si>
  <si>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The Cloud Computing Mission Owner Security Requirements Guide (SRG) provides the technical security policies and requirements for applying security concepts to the DOD Mission Owner’s cloud computing environment. It is designed to work in conjunction with the Cloud Service Provider SRG, which contains guidance that is targeted more toward Cloud Service Providers (CSPs). Missions above Secret must follow existing applicable DOD policies and are not covered by this SRG.</t>
    </r>
    <r>
      <rPr>
        <sz val="11"/>
        <color rgb="FF000000"/>
        <rFont val="Calibri"/>
      </rPr>
      <t xml:space="preserve">
</t>
    </r>
    <r>
      <rPr>
        <sz val="11"/>
        <color rgb="FF000000"/>
        <rFont val="Calibri"/>
      </rPr>
      <t>Mission Owners are program managers within the DOD Components responsible for creating instances of cloud services by leveraging a CSP’s cloud service offering (CSO). Within the cloud service environment, one or more instances of devices, networks, and platforms may exist. The Mission Owner is responsible for selecting CSP offerings that are approved in accordance with the Cloud Computing SRG and have a DOD Provisional Authorization (PA).</t>
    </r>
    <r>
      <rPr>
        <sz val="11"/>
        <color rgb="FF000000"/>
        <rFont val="Calibri"/>
      </rPr>
      <t xml:space="preserve">
</t>
    </r>
    <r>
      <rPr>
        <sz val="11"/>
        <color rgb="FF000000"/>
        <rFont val="Calibri"/>
      </rPr>
      <t>It is important to understand the division of responsibility between the organization and the CSP. For a traditional physical infrastructure, the organization is responsible for securing the whole stack, including the network security devices, the operating system (OS), and the application. However, as cloud services are integrated, some aspects of the security model shift to the CSP, while others are the responsibility of the Mission Owner. The responsibility for security is thus different depending on whether the cloud service selected is an infrastructure, a platform, or an application and may vary within each CSP’s CSO. It is crucial that consumers of these various offerings have a detailed understanding of the delineation of duties between themselves and CSPs for each offering. However, for all cloud deployment types, DOD retains security configuration and protection responsibilities for securing any data that cannot be released to the public.</t>
    </r>
  </si>
  <si>
    <t>Components:</t>
  </si>
  <si>
    <r>
      <rPr>
        <i/>
        <sz val="11"/>
        <color rgb="FF000000"/>
        <rFont val="Calibri"/>
      </rPr>
      <t>Title:</t>
    </r>
    <r>
      <rPr>
        <sz val="11"/>
        <color rgb="FF000000"/>
        <rFont val="Calibri"/>
      </rPr>
      <t xml:space="preserve"> Cloud Computing Mission Owner Network Security Requirements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9</t>
    </r>
  </si>
  <si>
    <r>
      <rPr>
        <i/>
        <sz val="11"/>
        <color rgb="FF000000"/>
        <rFont val="Calibri"/>
      </rPr>
      <t>Title:</t>
    </r>
    <r>
      <rPr>
        <sz val="11"/>
        <color rgb="FF000000"/>
        <rFont val="Calibri"/>
      </rPr>
      <t xml:space="preserve"> Cloud Computing Mission Owner Operating System Security Requirements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13 August 2025     </t>
    </r>
    <r>
      <rPr>
        <i/>
        <sz val="11"/>
        <color rgb="FF000000"/>
        <rFont val="Calibri"/>
      </rPr>
      <t>Recommendation Count:</t>
    </r>
    <r>
      <rPr>
        <sz val="11"/>
        <color rgb="FF000000"/>
        <rFont val="Calibri"/>
      </rPr>
      <t xml:space="preserve"> 17</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</si>
  <si>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</si>
  <si>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</si>
  <si>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</si>
  <si>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</si>
  <si>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</si>
  <si>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</si>
  <si>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</si>
  <si>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</si>
  <si>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</si>
  <si>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</si>
  <si>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</si>
  <si>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</si>
  <si>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</si>
  <si>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</si>
  <si>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</si>
  <si>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</si>
  <si>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</si>
  <si>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</si>
  <si>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</si>
  <si>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</si>
  <si>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</si>
  <si>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</si>
  <si>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</si>
  <si>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Cloud Computing Mission Owner Security Requirements Guide Y25M12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</si>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</sst>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FF1-4844-9769-158A2927876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FF1-4844-9769-158A2927876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0FF1-4844-9769-158A2927876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Network</c:v>
                </c:pt>
                <c:pt idx="1">
                  <c:v>Operating System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E03-413F-8699-7C8561FA512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Network</c:v>
                </c:pt>
                <c:pt idx="1">
                  <c:v>Operating System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E03-413F-8699-7C8561FA512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Network</c:v>
                </c:pt>
                <c:pt idx="1">
                  <c:v>Operating System</c:v>
                </c:pt>
              </c:strCache>
            </c:strRef>
          </c:cat>
          <c:val>
            <c:numRef>
              <c:f>Dashboard!$E$29:$E$30</c:f>
              <c:numCache>
                <c:formatCode>General</c:formatCode>
                <c:ptCount val="2"/>
                <c:pt idx="0">
                  <c:v>9</c:v>
                </c:pt>
                <c:pt idx="1">
                  <c:v>17</c:v>
                </c:pt>
              </c:numCache>
            </c:numRef>
          </c:val>
          <c:extLst>
            <c:ext xmlns:c16="http://schemas.microsoft.com/office/drawing/2014/chart" uri="{C3380CC4-5D6E-409C-BE32-E72D297353CC}">
              <c16:uniqueId val="{00000002-AE03-413F-8699-7C8561FA512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FA5-4382-B6B9-77589FDB53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FA5-4382-B6B9-77589FDB53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DFA5-4382-B6B9-77589FDB53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009F-43BA-8583-8A95C79BE4A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009F-43BA-8583-8A95C79BE4A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Dashboard!$E$67:$E$68</c:f>
              <c:numCache>
                <c:formatCode>General</c:formatCode>
                <c:ptCount val="2"/>
                <c:pt idx="0">
                  <c:v>10</c:v>
                </c:pt>
                <c:pt idx="1">
                  <c:v>16</c:v>
                </c:pt>
              </c:numCache>
            </c:numRef>
          </c:val>
          <c:extLst>
            <c:ext xmlns:c16="http://schemas.microsoft.com/office/drawing/2014/chart" uri="{C3380CC4-5D6E-409C-BE32-E72D297353CC}">
              <c16:uniqueId val="{00000002-009F-43BA-8583-8A95C79BE4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4AA-444C-BDCB-D502EBDC0F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4AA-444C-BDCB-D502EBDC0F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B4AA-444C-BDCB-D502EBDC0F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048-4350-925B-DACEDA81D1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048-4350-925B-DACEDA81D1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5048-4350-925B-DACEDA81D1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9F8-42C7-B026-781765B1670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9F8-42C7-B026-781765B1670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9F8-42C7-B026-781765B1670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9F8-42C7-B026-781765B1670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BB8-4054-B6CC-9095A7B660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ldjx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vuqw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2znhx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x20v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ao4pg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yo5in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oy5ho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lnyh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
  <autoFilter ref="A1:N2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153</v>
      </c>
    </row>
    <row r="3" spans="2:3" ht="15" customHeight="1" x14ac:dyDescent="0.35"/>
    <row r="4" spans="2:3" ht="58" x14ac:dyDescent="0.35">
      <c r="B4" s="20" t="s">
        <v>154</v>
      </c>
      <c r="C4" s="21" t="s">
        <v>155</v>
      </c>
    </row>
    <row r="5" spans="2:3" x14ac:dyDescent="0.35">
      <c r="C5" s="21" t="s">
        <v>156</v>
      </c>
    </row>
    <row r="6" spans="2:3" x14ac:dyDescent="0.35">
      <c r="C6" s="18" t="s">
        <v>157</v>
      </c>
    </row>
    <row r="7" spans="2:3" ht="10" customHeight="1" x14ac:dyDescent="0.35"/>
    <row r="8" spans="2:3" ht="232" x14ac:dyDescent="0.35">
      <c r="B8" s="22" t="s">
        <v>158</v>
      </c>
      <c r="C8" s="21" t="s">
        <v>159</v>
      </c>
    </row>
    <row r="9" spans="2:3" ht="10" customHeight="1" x14ac:dyDescent="0.35"/>
    <row r="10" spans="2:3" ht="35" customHeight="1" x14ac:dyDescent="0.35">
      <c r="B10" s="22" t="s">
        <v>160</v>
      </c>
      <c r="C10" s="21" t="s">
        <v>161</v>
      </c>
    </row>
    <row r="11" spans="2:3" ht="75" customHeight="1" x14ac:dyDescent="0.35">
      <c r="B11" s="18" t="s">
        <v>21</v>
      </c>
      <c r="C11" s="21" t="s">
        <v>162</v>
      </c>
    </row>
    <row r="12" spans="2:3" ht="47" customHeight="1" x14ac:dyDescent="0.35">
      <c r="B12" s="18" t="s">
        <v>21</v>
      </c>
      <c r="C12" s="21" t="s">
        <v>163</v>
      </c>
    </row>
    <row r="13" spans="2:3" ht="35" customHeight="1" x14ac:dyDescent="0.35">
      <c r="B13" s="18" t="s">
        <v>21</v>
      </c>
      <c r="C13" s="21" t="s">
        <v>164</v>
      </c>
    </row>
    <row r="14" spans="2:3" ht="32" customHeight="1" x14ac:dyDescent="0.35">
      <c r="B14" s="18" t="s">
        <v>21</v>
      </c>
      <c r="C14" s="21" t="s">
        <v>165</v>
      </c>
    </row>
    <row r="15" spans="2:3" ht="30" customHeight="1" x14ac:dyDescent="0.35">
      <c r="B15" s="18" t="s">
        <v>21</v>
      </c>
      <c r="C15" s="21" t="s">
        <v>166</v>
      </c>
    </row>
    <row r="16" spans="2:3" ht="10" customHeight="1" x14ac:dyDescent="0.35"/>
    <row r="17" spans="1:3" ht="145" customHeight="1" x14ac:dyDescent="0.35">
      <c r="B17" s="22" t="s">
        <v>167</v>
      </c>
      <c r="C17" s="21" t="s">
        <v>168</v>
      </c>
    </row>
    <row r="18" spans="1:3" ht="10" customHeight="1" x14ac:dyDescent="0.35"/>
    <row r="19" spans="1:3" ht="3" customHeight="1" x14ac:dyDescent="0.35">
      <c r="B19" s="23"/>
      <c r="C19" s="23"/>
    </row>
    <row r="20" spans="1:3" ht="12" customHeight="1" x14ac:dyDescent="0.35"/>
    <row r="21" spans="1:3" ht="35" customHeight="1" x14ac:dyDescent="0.35">
      <c r="A21" s="25"/>
      <c r="B21" s="26" t="s">
        <v>169</v>
      </c>
      <c r="C21" s="27" t="s">
        <v>170</v>
      </c>
    </row>
    <row r="22" spans="1:3" ht="18" customHeight="1" x14ac:dyDescent="0.35">
      <c r="A22" s="25"/>
      <c r="B22" s="25" t="s">
        <v>21</v>
      </c>
      <c r="C22" s="27" t="s">
        <v>171</v>
      </c>
    </row>
    <row r="23" spans="1:3" ht="18" customHeight="1" x14ac:dyDescent="0.35">
      <c r="A23" s="25"/>
      <c r="B23" s="25" t="s">
        <v>21</v>
      </c>
      <c r="C23" s="27" t="s">
        <v>172</v>
      </c>
    </row>
    <row r="24" spans="1:3" ht="18" customHeight="1" x14ac:dyDescent="0.35">
      <c r="A24" s="25"/>
      <c r="B24" s="25" t="s">
        <v>21</v>
      </c>
      <c r="C24" s="27" t="s">
        <v>173</v>
      </c>
    </row>
    <row r="25" spans="1:3" ht="18" customHeight="1" x14ac:dyDescent="0.35">
      <c r="A25" s="25"/>
      <c r="B25" s="25" t="s">
        <v>21</v>
      </c>
      <c r="C25" s="27" t="s">
        <v>174</v>
      </c>
    </row>
    <row r="26" spans="1:3" ht="18" customHeight="1" x14ac:dyDescent="0.35">
      <c r="A26" s="25"/>
      <c r="B26" s="25" t="s">
        <v>21</v>
      </c>
      <c r="C26" s="27" t="s">
        <v>175</v>
      </c>
    </row>
    <row r="27" spans="1:3" ht="18" customHeight="1" x14ac:dyDescent="0.35">
      <c r="A27" s="25"/>
      <c r="B27" s="25" t="s">
        <v>21</v>
      </c>
      <c r="C27" s="27" t="s">
        <v>176</v>
      </c>
    </row>
    <row r="28" spans="1:3" ht="18" customHeight="1" x14ac:dyDescent="0.35">
      <c r="A28" s="25"/>
      <c r="B28" s="25" t="s">
        <v>21</v>
      </c>
      <c r="C28" s="27" t="s">
        <v>177</v>
      </c>
    </row>
    <row r="29" spans="1:3" ht="18" customHeight="1" x14ac:dyDescent="0.35">
      <c r="A29" s="25"/>
      <c r="B29" s="25" t="s">
        <v>21</v>
      </c>
      <c r="C29" s="27" t="s">
        <v>178</v>
      </c>
    </row>
    <row r="30" spans="1:3" ht="44" customHeight="1" x14ac:dyDescent="0.35">
      <c r="A30" s="25"/>
      <c r="B30" s="25" t="s">
        <v>21</v>
      </c>
      <c r="C30" s="28" t="s">
        <v>179</v>
      </c>
    </row>
    <row r="31" spans="1:3" ht="10" customHeight="1" x14ac:dyDescent="0.35"/>
    <row r="32" spans="1:3" ht="3" customHeight="1" x14ac:dyDescent="0.35">
      <c r="B32" s="23"/>
      <c r="C32" s="23"/>
    </row>
    <row r="33" spans="2:3" ht="12" customHeight="1" x14ac:dyDescent="0.35"/>
    <row r="34" spans="2:3" ht="24" customHeight="1" x14ac:dyDescent="0.35">
      <c r="B34" s="29" t="s">
        <v>180</v>
      </c>
      <c r="C34" s="30" t="s">
        <v>181</v>
      </c>
    </row>
    <row r="35" spans="2:3" ht="18.5" x14ac:dyDescent="0.35">
      <c r="B35" s="29" t="s">
        <v>182</v>
      </c>
      <c r="C35" s="31" t="s">
        <v>183</v>
      </c>
    </row>
    <row r="36" spans="2:3" ht="27" customHeight="1" x14ac:dyDescent="0.35">
      <c r="B36" s="32" t="s">
        <v>184</v>
      </c>
      <c r="C36" s="24" t="s">
        <v>185</v>
      </c>
    </row>
    <row r="37" spans="2:3" x14ac:dyDescent="0.35">
      <c r="B37" s="29" t="s">
        <v>186</v>
      </c>
      <c r="C37" s="33" t="s">
        <v>187</v>
      </c>
    </row>
    <row r="38" spans="2:3" ht="10" customHeight="1" x14ac:dyDescent="0.35"/>
    <row r="39" spans="2:3" ht="220" customHeight="1" x14ac:dyDescent="0.35">
      <c r="B39" s="29" t="s">
        <v>188</v>
      </c>
      <c r="C39" s="34" t="s">
        <v>189</v>
      </c>
    </row>
    <row r="40" spans="2:3" ht="10" customHeight="1" x14ac:dyDescent="0.35"/>
    <row r="41" spans="2:3" ht="20" customHeight="1" x14ac:dyDescent="0.35">
      <c r="B41" s="29" t="s">
        <v>190</v>
      </c>
      <c r="C41" s="35" t="s">
        <v>17</v>
      </c>
    </row>
    <row r="42" spans="2:3" ht="29" x14ac:dyDescent="0.35">
      <c r="C42" s="21" t="s">
        <v>191</v>
      </c>
    </row>
    <row r="43" spans="2:3" ht="10" customHeight="1" x14ac:dyDescent="0.35"/>
    <row r="44" spans="2:3" ht="20" customHeight="1" x14ac:dyDescent="0.35">
      <c r="C44" s="35" t="s">
        <v>68</v>
      </c>
    </row>
    <row r="45" spans="2:3" ht="29" x14ac:dyDescent="0.35">
      <c r="C45" s="21" t="s">
        <v>192</v>
      </c>
    </row>
    <row r="46" spans="2:3" ht="10" customHeight="1" x14ac:dyDescent="0.35"/>
    <row r="47" spans="2:3" ht="43.5" x14ac:dyDescent="0.35">
      <c r="B47" s="29" t="s">
        <v>193</v>
      </c>
      <c r="C47" s="21" t="s">
        <v>194</v>
      </c>
    </row>
    <row r="48" spans="2:3" ht="10" customHeight="1" x14ac:dyDescent="0.35"/>
    <row r="49" spans="2:3" ht="15.5" x14ac:dyDescent="0.35">
      <c r="C49" s="36" t="s">
        <v>16</v>
      </c>
    </row>
    <row r="50" spans="2:3" ht="29" x14ac:dyDescent="0.35">
      <c r="C50" s="21" t="s">
        <v>195</v>
      </c>
    </row>
    <row r="51" spans="2:3" ht="10" customHeight="1" x14ac:dyDescent="0.35"/>
    <row r="52" spans="2:3" ht="15.5" x14ac:dyDescent="0.35">
      <c r="C52" s="37" t="s">
        <v>32</v>
      </c>
    </row>
    <row r="53" spans="2:3" ht="29" x14ac:dyDescent="0.35">
      <c r="C53" s="21" t="s">
        <v>196</v>
      </c>
    </row>
    <row r="54" spans="2:3" ht="10" customHeight="1" x14ac:dyDescent="0.35"/>
    <row r="55" spans="2:3" ht="15.5" x14ac:dyDescent="0.35">
      <c r="C55" s="38" t="s">
        <v>197</v>
      </c>
    </row>
    <row r="56" spans="2:3" ht="29" x14ac:dyDescent="0.35">
      <c r="C56" s="21" t="s">
        <v>198</v>
      </c>
    </row>
    <row r="57" spans="2:3" ht="10" customHeight="1" x14ac:dyDescent="0.35"/>
    <row r="58" spans="2:3" ht="3" customHeight="1" x14ac:dyDescent="0.35">
      <c r="B58" s="23"/>
      <c r="C58" s="23"/>
    </row>
    <row r="59" spans="2:3" ht="12" customHeight="1" x14ac:dyDescent="0.35"/>
    <row r="60" spans="2:3" ht="130.5" x14ac:dyDescent="0.35">
      <c r="B60" s="20" t="s">
        <v>199</v>
      </c>
      <c r="C60" s="21" t="s">
        <v>200</v>
      </c>
    </row>
    <row r="61" spans="2:3" ht="6" customHeight="1" x14ac:dyDescent="0.35"/>
    <row r="62" spans="2:3" ht="217.5" x14ac:dyDescent="0.35">
      <c r="C62" s="21" t="s">
        <v>201</v>
      </c>
    </row>
    <row r="63" spans="2:3" ht="6" customHeight="1" x14ac:dyDescent="0.35"/>
    <row r="64" spans="2:3" ht="43.5" x14ac:dyDescent="0.35">
      <c r="C64" s="21" t="s">
        <v>202</v>
      </c>
    </row>
    <row r="65" spans="2:3" ht="10" customHeight="1" x14ac:dyDescent="0.35"/>
    <row r="66" spans="2:3" ht="3" customHeight="1" x14ac:dyDescent="0.35">
      <c r="B66" s="23"/>
      <c r="C66" s="23"/>
    </row>
    <row r="67" spans="2:3" ht="12" customHeight="1" x14ac:dyDescent="0.35"/>
    <row r="68" spans="2:3" ht="145" x14ac:dyDescent="0.35">
      <c r="B68" s="20" t="s">
        <v>203</v>
      </c>
      <c r="C68" s="21" t="s">
        <v>204</v>
      </c>
    </row>
    <row r="69" spans="2:3" ht="6" customHeight="1" x14ac:dyDescent="0.35"/>
    <row r="70" spans="2:3" ht="203" x14ac:dyDescent="0.35">
      <c r="C70" s="21" t="s">
        <v>205</v>
      </c>
    </row>
    <row r="71" spans="2:3" ht="6" customHeight="1" x14ac:dyDescent="0.35"/>
    <row r="72" spans="2:3" ht="43.5" x14ac:dyDescent="0.35">
      <c r="C72" s="21" t="s">
        <v>206</v>
      </c>
    </row>
    <row r="73" spans="2:3" ht="10" customHeight="1" x14ac:dyDescent="0.35"/>
    <row r="74" spans="2:3" ht="3" customHeight="1" x14ac:dyDescent="0.35">
      <c r="B74" s="23"/>
      <c r="C74" s="23"/>
    </row>
    <row r="75" spans="2:3" ht="12" customHeight="1" x14ac:dyDescent="0.35"/>
    <row r="76" spans="2:3" ht="101.5" x14ac:dyDescent="0.35">
      <c r="B76" s="20" t="s">
        <v>207</v>
      </c>
      <c r="C76" s="21" t="s">
        <v>208</v>
      </c>
    </row>
    <row r="77" spans="2:3" ht="6" customHeight="1" x14ac:dyDescent="0.35"/>
    <row r="78" spans="2:3" ht="145" x14ac:dyDescent="0.35">
      <c r="C78" s="21" t="s">
        <v>209</v>
      </c>
    </row>
    <row r="79" spans="2:3" ht="6" customHeight="1" x14ac:dyDescent="0.35"/>
    <row r="80" spans="2:3" ht="43.5" x14ac:dyDescent="0.35">
      <c r="C80" s="21" t="s">
        <v>210</v>
      </c>
    </row>
    <row r="84" spans="2:3" ht="32" customHeight="1" x14ac:dyDescent="0.35">
      <c r="B84" s="81" t="s">
        <v>152</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211</v>
      </c>
      <c r="C2" s="83"/>
      <c r="D2" s="83"/>
      <c r="E2" s="83"/>
      <c r="F2" s="83"/>
      <c r="G2" s="83"/>
      <c r="H2" s="83"/>
      <c r="I2" s="83"/>
    </row>
    <row r="4" spans="2:15" ht="18.5" x14ac:dyDescent="0.45">
      <c r="B4" s="40" t="s">
        <v>212</v>
      </c>
    </row>
    <row r="5" spans="2:15" x14ac:dyDescent="0.35">
      <c r="B5" s="42" t="s">
        <v>21</v>
      </c>
      <c r="C5" s="42" t="s">
        <v>213</v>
      </c>
      <c r="D5" s="42" t="s">
        <v>214</v>
      </c>
      <c r="F5" s="84" t="s">
        <v>215</v>
      </c>
      <c r="G5" s="84"/>
      <c r="H5" s="84"/>
      <c r="I5" s="85" t="s">
        <v>216</v>
      </c>
      <c r="J5" s="85"/>
      <c r="K5" s="85"/>
      <c r="L5" s="85"/>
      <c r="M5" s="85"/>
      <c r="N5" s="85"/>
      <c r="O5" s="85"/>
    </row>
    <row r="6" spans="2:15" x14ac:dyDescent="0.35">
      <c r="B6" s="48" t="s">
        <v>217</v>
      </c>
      <c r="C6" s="49">
        <v>26</v>
      </c>
      <c r="D6" s="50" t="s">
        <v>21</v>
      </c>
      <c r="F6" s="84" t="s">
        <v>218</v>
      </c>
      <c r="G6" s="84"/>
      <c r="H6" s="84"/>
      <c r="I6" s="86" t="s">
        <v>219</v>
      </c>
      <c r="J6" s="86"/>
      <c r="K6" s="86"/>
      <c r="L6" s="86"/>
      <c r="M6" s="86"/>
      <c r="N6" s="86"/>
      <c r="O6" s="86"/>
    </row>
    <row r="7" spans="2:15" x14ac:dyDescent="0.35">
      <c r="B7" s="51" t="s">
        <v>220</v>
      </c>
      <c r="C7" s="52">
        <f>C6-C8-C9</f>
        <v>26</v>
      </c>
      <c r="D7" s="53">
        <f>IF(C6&gt;0,C7/C6,0)</f>
        <v>1</v>
      </c>
      <c r="F7" s="84" t="s">
        <v>221</v>
      </c>
      <c r="G7" s="84"/>
      <c r="H7" s="84"/>
      <c r="I7" s="86" t="s">
        <v>219</v>
      </c>
      <c r="J7" s="86"/>
      <c r="K7" s="86"/>
      <c r="L7" s="86"/>
      <c r="M7" s="86"/>
      <c r="N7" s="86"/>
      <c r="O7" s="86"/>
    </row>
    <row r="8" spans="2:15" x14ac:dyDescent="0.35">
      <c r="B8" s="44" t="s">
        <v>222</v>
      </c>
      <c r="C8" s="45">
        <f>COUNTIF('Recommendations'!H:H,"Risk Accepted")</f>
        <v>0</v>
      </c>
      <c r="D8" s="46">
        <f>IF(C6&gt;0,C8/C6,0)</f>
        <v>0</v>
      </c>
      <c r="F8" s="84" t="s">
        <v>223</v>
      </c>
      <c r="G8" s="84"/>
      <c r="H8" s="84"/>
      <c r="I8" s="86" t="s">
        <v>219</v>
      </c>
      <c r="J8" s="86"/>
      <c r="K8" s="86"/>
      <c r="L8" s="86"/>
      <c r="M8" s="86"/>
      <c r="N8" s="86"/>
      <c r="O8" s="86"/>
    </row>
    <row r="9" spans="2:15" x14ac:dyDescent="0.35">
      <c r="B9" s="44" t="s">
        <v>224</v>
      </c>
      <c r="C9" s="45">
        <f>COUNTIF('Recommendations'!H:H,"N/A")</f>
        <v>0</v>
      </c>
      <c r="D9" s="46">
        <f>IF(C6&gt;0,C9/C6,0)</f>
        <v>0</v>
      </c>
      <c r="F9" s="84" t="s">
        <v>225</v>
      </c>
      <c r="G9" s="84"/>
      <c r="H9" s="84"/>
      <c r="I9" s="86" t="s">
        <v>219</v>
      </c>
      <c r="J9" s="86"/>
      <c r="K9" s="86"/>
      <c r="L9" s="86"/>
      <c r="M9" s="86"/>
      <c r="N9" s="86"/>
      <c r="O9" s="86"/>
    </row>
    <row r="12" spans="2:15" ht="18.5" x14ac:dyDescent="0.45">
      <c r="B12" s="40" t="s">
        <v>226</v>
      </c>
    </row>
    <row r="14" spans="2:15" x14ac:dyDescent="0.35">
      <c r="B14" s="54" t="s">
        <v>227</v>
      </c>
    </row>
    <row r="15" spans="2:15" x14ac:dyDescent="0.35">
      <c r="B15" s="42" t="s">
        <v>21</v>
      </c>
      <c r="C15" s="42" t="s">
        <v>228</v>
      </c>
      <c r="D15" s="42" t="s">
        <v>229</v>
      </c>
      <c r="E15" s="42" t="s">
        <v>230</v>
      </c>
      <c r="F15" s="42" t="s">
        <v>231</v>
      </c>
    </row>
    <row r="16" spans="2:15" x14ac:dyDescent="0.35">
      <c r="B16" s="44" t="s">
        <v>232</v>
      </c>
      <c r="C16" s="45">
        <f>COUNTIF('Recommendations'!M:M,"Resolved")</f>
        <v>0</v>
      </c>
      <c r="D16" s="45">
        <f>COUNTIF('Recommendations'!M:M,"Testing")</f>
        <v>0</v>
      </c>
      <c r="E16" s="45">
        <f>COUNTIF('Recommendations'!M:M,"Outstanding")</f>
        <v>26</v>
      </c>
      <c r="F16" s="45">
        <f>SUM(C16:E16)</f>
        <v>26</v>
      </c>
    </row>
    <row r="18" spans="2:6" x14ac:dyDescent="0.35">
      <c r="B18" s="54" t="s">
        <v>233</v>
      </c>
    </row>
    <row r="19" spans="2:6" x14ac:dyDescent="0.35">
      <c r="B19" s="55" t="s">
        <v>21</v>
      </c>
      <c r="C19" s="55" t="s">
        <v>228</v>
      </c>
      <c r="D19" s="55" t="s">
        <v>229</v>
      </c>
      <c r="E19" s="55" t="s">
        <v>230</v>
      </c>
      <c r="F19" s="55" t="s">
        <v>21</v>
      </c>
    </row>
    <row r="20" spans="2:6" x14ac:dyDescent="0.35">
      <c r="B20" s="44" t="s">
        <v>232</v>
      </c>
      <c r="C20" s="46">
        <f>IF(F16&gt;0, C16/F16, 0)</f>
        <v>0</v>
      </c>
      <c r="D20" s="46">
        <f>IF(F16&gt;0, D16/F16, 0)</f>
        <v>0</v>
      </c>
      <c r="E20" s="46">
        <f>IF(F16&gt;0, E16/F16, 0)</f>
        <v>1</v>
      </c>
      <c r="F20" s="47" t="s">
        <v>21</v>
      </c>
    </row>
    <row r="25" spans="2:6" ht="18.5" x14ac:dyDescent="0.45">
      <c r="B25" s="40" t="s">
        <v>234</v>
      </c>
    </row>
    <row r="27" spans="2:6" x14ac:dyDescent="0.35">
      <c r="B27" s="54" t="s">
        <v>227</v>
      </c>
    </row>
    <row r="28" spans="2:6" x14ac:dyDescent="0.35">
      <c r="B28" s="42" t="s">
        <v>3</v>
      </c>
      <c r="C28" s="42" t="s">
        <v>228</v>
      </c>
      <c r="D28" s="42" t="s">
        <v>229</v>
      </c>
      <c r="E28" s="42" t="s">
        <v>230</v>
      </c>
      <c r="F28" s="42" t="s">
        <v>231</v>
      </c>
    </row>
    <row r="29" spans="2:6" x14ac:dyDescent="0.35">
      <c r="B29" s="44" t="s">
        <v>17</v>
      </c>
      <c r="C29" s="45">
        <f>COUNTIFS('Recommendations'!D:D,"Network",'Recommendations'!M:M,"=Resolved")</f>
        <v>0</v>
      </c>
      <c r="D29" s="45">
        <f>COUNTIFS('Recommendations'!D:D,"=Network",'Recommendations'!M:M,"=Testing")</f>
        <v>0</v>
      </c>
      <c r="E29" s="45">
        <f>COUNTIFS('Recommendations'!D:D,"=Network",'Recommendations'!M:M,"=Outstanding")</f>
        <v>9</v>
      </c>
      <c r="F29" s="45">
        <f>SUM(C29:E29)</f>
        <v>9</v>
      </c>
    </row>
    <row r="30" spans="2:6" x14ac:dyDescent="0.35">
      <c r="B30" s="44" t="s">
        <v>68</v>
      </c>
      <c r="C30" s="45">
        <f>COUNTIFS('Recommendations'!D:D,"Operating System",'Recommendations'!M:M,"=Resolved")</f>
        <v>0</v>
      </c>
      <c r="D30" s="45">
        <f>COUNTIFS('Recommendations'!D:D,"=Operating System",'Recommendations'!M:M,"=Testing")</f>
        <v>0</v>
      </c>
      <c r="E30" s="45">
        <f>COUNTIFS('Recommendations'!D:D,"=Operating System",'Recommendations'!M:M,"=Outstanding")</f>
        <v>17</v>
      </c>
      <c r="F30" s="45">
        <f>SUM(C30:E30)</f>
        <v>17</v>
      </c>
    </row>
    <row r="32" spans="2:6" x14ac:dyDescent="0.35">
      <c r="B32" s="54" t="s">
        <v>233</v>
      </c>
    </row>
    <row r="33" spans="2:6" x14ac:dyDescent="0.35">
      <c r="B33" s="55" t="s">
        <v>3</v>
      </c>
      <c r="C33" s="55" t="s">
        <v>228</v>
      </c>
      <c r="D33" s="55" t="s">
        <v>229</v>
      </c>
      <c r="E33" s="55" t="s">
        <v>230</v>
      </c>
      <c r="F33" s="55" t="s">
        <v>21</v>
      </c>
    </row>
    <row r="34" spans="2:6" x14ac:dyDescent="0.35">
      <c r="B34" s="44" t="s">
        <v>17</v>
      </c>
      <c r="C34" s="46">
        <f>IF(F29&gt;0, C29/F29, 0)</f>
        <v>0</v>
      </c>
      <c r="D34" s="46">
        <f>IF(F29&gt;0, D29/F29, 0)</f>
        <v>0</v>
      </c>
      <c r="E34" s="46">
        <f>IF(F29&gt;0, E29/F29, 0)</f>
        <v>1</v>
      </c>
      <c r="F34" s="47" t="s">
        <v>21</v>
      </c>
    </row>
    <row r="35" spans="2:6" x14ac:dyDescent="0.35">
      <c r="B35" s="44" t="s">
        <v>68</v>
      </c>
      <c r="C35" s="46">
        <f>IF(F30&gt;0, C30/F30, 0)</f>
        <v>0</v>
      </c>
      <c r="D35" s="46">
        <f>IF(F30&gt;0, D30/F30, 0)</f>
        <v>0</v>
      </c>
      <c r="E35" s="46">
        <f>IF(F30&gt;0, E30/F30, 0)</f>
        <v>1</v>
      </c>
      <c r="F35" s="47" t="s">
        <v>21</v>
      </c>
    </row>
    <row r="40" spans="2:6" ht="18.5" x14ac:dyDescent="0.45">
      <c r="B40" s="40" t="s">
        <v>235</v>
      </c>
    </row>
    <row r="42" spans="2:6" x14ac:dyDescent="0.35">
      <c r="B42" s="54" t="s">
        <v>227</v>
      </c>
    </row>
    <row r="43" spans="2:6" x14ac:dyDescent="0.35">
      <c r="B43" s="42" t="s">
        <v>6</v>
      </c>
      <c r="C43" s="42" t="s">
        <v>228</v>
      </c>
      <c r="D43" s="42" t="s">
        <v>229</v>
      </c>
      <c r="E43" s="42" t="s">
        <v>230</v>
      </c>
      <c r="F43" s="42" t="s">
        <v>231</v>
      </c>
    </row>
    <row r="44" spans="2:6" x14ac:dyDescent="0.35">
      <c r="B44" s="44" t="s">
        <v>236</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237</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238</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239</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240</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26</v>
      </c>
      <c r="F49" s="45">
        <f t="shared" si="0"/>
        <v>26</v>
      </c>
    </row>
    <row r="51" spans="2:6" x14ac:dyDescent="0.35">
      <c r="B51" s="54" t="s">
        <v>233</v>
      </c>
    </row>
    <row r="52" spans="2:6" x14ac:dyDescent="0.35">
      <c r="B52" s="55" t="s">
        <v>6</v>
      </c>
      <c r="C52" s="55" t="s">
        <v>228</v>
      </c>
      <c r="D52" s="55" t="s">
        <v>229</v>
      </c>
      <c r="E52" s="55" t="s">
        <v>230</v>
      </c>
      <c r="F52" s="55" t="s">
        <v>21</v>
      </c>
    </row>
    <row r="53" spans="2:6" x14ac:dyDescent="0.35">
      <c r="B53" s="44" t="s">
        <v>236</v>
      </c>
      <c r="C53" s="46">
        <f t="shared" ref="C53:C58" si="1">IF(F44&gt;0, C44/F44, 0)</f>
        <v>0</v>
      </c>
      <c r="D53" s="46">
        <f t="shared" ref="D53:D58" si="2">IF(F44&gt;0, D44/F44, 0)</f>
        <v>0</v>
      </c>
      <c r="E53" s="46">
        <f t="shared" ref="E53:E58" si="3">IF(F44&gt;0, E44/F44, 0)</f>
        <v>0</v>
      </c>
      <c r="F53" s="47" t="s">
        <v>21</v>
      </c>
    </row>
    <row r="54" spans="2:6" x14ac:dyDescent="0.35">
      <c r="B54" s="44" t="s">
        <v>237</v>
      </c>
      <c r="C54" s="46">
        <f t="shared" si="1"/>
        <v>0</v>
      </c>
      <c r="D54" s="46">
        <f t="shared" si="2"/>
        <v>0</v>
      </c>
      <c r="E54" s="46">
        <f t="shared" si="3"/>
        <v>0</v>
      </c>
      <c r="F54" s="47" t="s">
        <v>21</v>
      </c>
    </row>
    <row r="55" spans="2:6" x14ac:dyDescent="0.35">
      <c r="B55" s="44" t="s">
        <v>238</v>
      </c>
      <c r="C55" s="46">
        <f t="shared" si="1"/>
        <v>0</v>
      </c>
      <c r="D55" s="46">
        <f t="shared" si="2"/>
        <v>0</v>
      </c>
      <c r="E55" s="46">
        <f t="shared" si="3"/>
        <v>0</v>
      </c>
      <c r="F55" s="47" t="s">
        <v>21</v>
      </c>
    </row>
    <row r="56" spans="2:6" x14ac:dyDescent="0.35">
      <c r="B56" s="44" t="s">
        <v>239</v>
      </c>
      <c r="C56" s="46">
        <f t="shared" si="1"/>
        <v>0</v>
      </c>
      <c r="D56" s="46">
        <f t="shared" si="2"/>
        <v>0</v>
      </c>
      <c r="E56" s="46">
        <f t="shared" si="3"/>
        <v>0</v>
      </c>
      <c r="F56" s="47" t="s">
        <v>21</v>
      </c>
    </row>
    <row r="57" spans="2:6" x14ac:dyDescent="0.35">
      <c r="B57" s="44" t="s">
        <v>240</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241</v>
      </c>
    </row>
    <row r="65" spans="2:6" x14ac:dyDescent="0.35">
      <c r="B65" s="54" t="s">
        <v>227</v>
      </c>
    </row>
    <row r="66" spans="2:6" x14ac:dyDescent="0.35">
      <c r="B66" s="42" t="s">
        <v>2</v>
      </c>
      <c r="C66" s="42" t="s">
        <v>228</v>
      </c>
      <c r="D66" s="42" t="s">
        <v>229</v>
      </c>
      <c r="E66" s="42" t="s">
        <v>230</v>
      </c>
      <c r="F66" s="42" t="s">
        <v>231</v>
      </c>
    </row>
    <row r="67" spans="2:6" x14ac:dyDescent="0.35">
      <c r="B67" s="44" t="s">
        <v>16</v>
      </c>
      <c r="C67" s="45">
        <f>COUNTIFS('Recommendations'!C:C,"CAT I (High)",'Recommendations'!M:M,"=Resolved")</f>
        <v>0</v>
      </c>
      <c r="D67" s="45">
        <f>COUNTIFS('Recommendations'!C:C,"=CAT I (High)",'Recommendations'!M:M,"=Testing")</f>
        <v>0</v>
      </c>
      <c r="E67" s="45">
        <f>COUNTIFS('Recommendations'!C:C,"=CAT I (High)",'Recommendations'!M:M,"=Outstanding")</f>
        <v>10</v>
      </c>
      <c r="F67" s="45">
        <f>SUM(C67:E67)</f>
        <v>10</v>
      </c>
    </row>
    <row r="68" spans="2:6" x14ac:dyDescent="0.35">
      <c r="B68" s="44" t="s">
        <v>32</v>
      </c>
      <c r="C68" s="45">
        <f>COUNTIFS('Recommendations'!C:C,"CAT II (Medium)",'Recommendations'!M:M,"=Resolved")</f>
        <v>0</v>
      </c>
      <c r="D68" s="45">
        <f>COUNTIFS('Recommendations'!C:C,"=CAT II (Medium)",'Recommendations'!M:M,"=Testing")</f>
        <v>0</v>
      </c>
      <c r="E68" s="45">
        <f>COUNTIFS('Recommendations'!C:C,"=CAT II (Medium)",'Recommendations'!M:M,"=Outstanding")</f>
        <v>16</v>
      </c>
      <c r="F68" s="45">
        <f>SUM(C68:E68)</f>
        <v>16</v>
      </c>
    </row>
    <row r="70" spans="2:6" x14ac:dyDescent="0.35">
      <c r="B70" s="54" t="s">
        <v>233</v>
      </c>
    </row>
    <row r="71" spans="2:6" x14ac:dyDescent="0.35">
      <c r="B71" s="55" t="s">
        <v>2</v>
      </c>
      <c r="C71" s="55" t="s">
        <v>228</v>
      </c>
      <c r="D71" s="55" t="s">
        <v>229</v>
      </c>
      <c r="E71" s="55" t="s">
        <v>230</v>
      </c>
      <c r="F71" s="55" t="s">
        <v>21</v>
      </c>
    </row>
    <row r="72" spans="2:6" x14ac:dyDescent="0.35">
      <c r="B72" s="44" t="s">
        <v>16</v>
      </c>
      <c r="C72" s="46">
        <f>IF(F67&gt;0, C67/F67, 0)</f>
        <v>0</v>
      </c>
      <c r="D72" s="46">
        <f>IF(F67&gt;0, D67/F67, 0)</f>
        <v>0</v>
      </c>
      <c r="E72" s="46">
        <f>IF(F67&gt;0, E67/F67, 0)</f>
        <v>1</v>
      </c>
      <c r="F72" s="47" t="s">
        <v>21</v>
      </c>
    </row>
    <row r="73" spans="2:6" x14ac:dyDescent="0.35">
      <c r="B73" s="44" t="s">
        <v>32</v>
      </c>
      <c r="C73" s="46">
        <f>IF(F68&gt;0, C68/F68, 0)</f>
        <v>0</v>
      </c>
      <c r="D73" s="46">
        <f>IF(F68&gt;0, D68/F68, 0)</f>
        <v>0</v>
      </c>
      <c r="E73" s="46">
        <f>IF(F68&gt;0, E68/F68, 0)</f>
        <v>1</v>
      </c>
      <c r="F73" s="47" t="s">
        <v>21</v>
      </c>
    </row>
    <row r="78" spans="2:6" ht="18.5" x14ac:dyDescent="0.45">
      <c r="B78" s="40" t="s">
        <v>242</v>
      </c>
    </row>
    <row r="80" spans="2:6" x14ac:dyDescent="0.35">
      <c r="B80" s="54" t="s">
        <v>227</v>
      </c>
    </row>
    <row r="81" spans="2:6" x14ac:dyDescent="0.35">
      <c r="B81" s="42" t="s">
        <v>4</v>
      </c>
      <c r="C81" s="42" t="s">
        <v>228</v>
      </c>
      <c r="D81" s="42" t="s">
        <v>229</v>
      </c>
      <c r="E81" s="42" t="s">
        <v>230</v>
      </c>
      <c r="F81" s="42" t="s">
        <v>231</v>
      </c>
    </row>
    <row r="82" spans="2:6" x14ac:dyDescent="0.35">
      <c r="B82" s="44" t="s">
        <v>243</v>
      </c>
      <c r="C82" s="45">
        <f>COUNTIFS('Recommendations'!E:E,"Must",'Recommendations'!M:M,"=Resolved")</f>
        <v>0</v>
      </c>
      <c r="D82" s="45">
        <f>COUNTIFS('Recommendations'!E:E,"=Must",'Recommendations'!M:M,"=Testing")</f>
        <v>0</v>
      </c>
      <c r="E82" s="45">
        <f>COUNTIFS('Recommendations'!E:E,"=Must",'Recommendations'!M:M,"=Outstanding")</f>
        <v>0</v>
      </c>
      <c r="F82" s="45">
        <f>SUM(C82:E82)</f>
        <v>0</v>
      </c>
    </row>
    <row r="83" spans="2:6" x14ac:dyDescent="0.35">
      <c r="B83" s="44" t="s">
        <v>244</v>
      </c>
      <c r="C83" s="45">
        <f>COUNTIFS('Recommendations'!E:E,"Should",'Recommendations'!M:M,"=Resolved")</f>
        <v>0</v>
      </c>
      <c r="D83" s="45">
        <f>COUNTIFS('Recommendations'!E:E,"=Should",'Recommendations'!M:M,"=Testing")</f>
        <v>0</v>
      </c>
      <c r="E83" s="45">
        <f>COUNTIFS('Recommendations'!E:E,"=Should",'Recommendations'!M:M,"=Outstanding")</f>
        <v>0</v>
      </c>
      <c r="F83" s="45">
        <f>SUM(C83:E83)</f>
        <v>0</v>
      </c>
    </row>
    <row r="84" spans="2:6" x14ac:dyDescent="0.35">
      <c r="B84" s="44" t="s">
        <v>245</v>
      </c>
      <c r="C84" s="45">
        <f>COUNTIFS('Recommendations'!E:E,"Could",'Recommendations'!M:M,"=Resolved")</f>
        <v>0</v>
      </c>
      <c r="D84" s="45">
        <f>COUNTIFS('Recommendations'!E:E,"=Could",'Recommendations'!M:M,"=Testing")</f>
        <v>0</v>
      </c>
      <c r="E84" s="45">
        <f>COUNTIFS('Recommendations'!E:E,"=Could",'Recommendations'!M:M,"=Outstanding")</f>
        <v>0</v>
      </c>
      <c r="F84" s="45">
        <f>SUM(C84:E84)</f>
        <v>0</v>
      </c>
    </row>
    <row r="85" spans="2:6" x14ac:dyDescent="0.35">
      <c r="B85" s="44" t="s">
        <v>246</v>
      </c>
      <c r="C85" s="45">
        <f>COUNTIFS('Recommendations'!E:E,"Won't",'Recommendations'!M:M,"=Resolved")</f>
        <v>0</v>
      </c>
      <c r="D85" s="45">
        <f>COUNTIFS('Recommendations'!E:E,"=Won't",'Recommendations'!M:M,"=Testing")</f>
        <v>0</v>
      </c>
      <c r="E85" s="45">
        <f>COUNTIFS('Recommendations'!E:E,"=Won't",'Recommendations'!M:M,"=Outstanding")</f>
        <v>0</v>
      </c>
      <c r="F85" s="45">
        <f>SUM(C85:E85)</f>
        <v>0</v>
      </c>
    </row>
    <row r="86" spans="2:6" x14ac:dyDescent="0.35">
      <c r="B86" s="44" t="s">
        <v>18</v>
      </c>
      <c r="C86" s="45">
        <f>COUNTIFS('Recommendations'!E:E,"Unassigned",'Recommendations'!M:M,"=Resolved")</f>
        <v>0</v>
      </c>
      <c r="D86" s="45">
        <f>COUNTIFS('Recommendations'!E:E,"=Unassigned",'Recommendations'!M:M,"=Testing")</f>
        <v>0</v>
      </c>
      <c r="E86" s="45">
        <f>COUNTIFS('Recommendations'!E:E,"=Unassigned",'Recommendations'!M:M,"=Outstanding")</f>
        <v>26</v>
      </c>
      <c r="F86" s="45">
        <f>SUM(C86:E86)</f>
        <v>26</v>
      </c>
    </row>
    <row r="88" spans="2:6" x14ac:dyDescent="0.35">
      <c r="B88" s="54" t="s">
        <v>233</v>
      </c>
    </row>
    <row r="89" spans="2:6" x14ac:dyDescent="0.35">
      <c r="B89" s="55" t="s">
        <v>4</v>
      </c>
      <c r="C89" s="55" t="s">
        <v>228</v>
      </c>
      <c r="D89" s="55" t="s">
        <v>229</v>
      </c>
      <c r="E89" s="55" t="s">
        <v>230</v>
      </c>
      <c r="F89" s="55" t="s">
        <v>21</v>
      </c>
    </row>
    <row r="90" spans="2:6" x14ac:dyDescent="0.35">
      <c r="B90" s="44" t="s">
        <v>243</v>
      </c>
      <c r="C90" s="46">
        <f>IF(F82&gt;0, C82/F82, 0)</f>
        <v>0</v>
      </c>
      <c r="D90" s="46">
        <f>IF(F82&gt;0, D82/F82, 0)</f>
        <v>0</v>
      </c>
      <c r="E90" s="46">
        <f>IF(F82&gt;0, E82/F82, 0)</f>
        <v>0</v>
      </c>
      <c r="F90" s="47" t="s">
        <v>21</v>
      </c>
    </row>
    <row r="91" spans="2:6" x14ac:dyDescent="0.35">
      <c r="B91" s="44" t="s">
        <v>244</v>
      </c>
      <c r="C91" s="46">
        <f>IF(F83&gt;0, C83/F83, 0)</f>
        <v>0</v>
      </c>
      <c r="D91" s="46">
        <f>IF(F83&gt;0, D83/F83, 0)</f>
        <v>0</v>
      </c>
      <c r="E91" s="46">
        <f>IF(F83&gt;0, E83/F83, 0)</f>
        <v>0</v>
      </c>
      <c r="F91" s="47" t="s">
        <v>21</v>
      </c>
    </row>
    <row r="92" spans="2:6" x14ac:dyDescent="0.35">
      <c r="B92" s="44" t="s">
        <v>245</v>
      </c>
      <c r="C92" s="46">
        <f>IF(F84&gt;0, C84/F84, 0)</f>
        <v>0</v>
      </c>
      <c r="D92" s="46">
        <f>IF(F84&gt;0, D84/F84, 0)</f>
        <v>0</v>
      </c>
      <c r="E92" s="46">
        <f>IF(F84&gt;0, E84/F84, 0)</f>
        <v>0</v>
      </c>
      <c r="F92" s="47" t="s">
        <v>21</v>
      </c>
    </row>
    <row r="93" spans="2:6" x14ac:dyDescent="0.35">
      <c r="B93" s="44" t="s">
        <v>246</v>
      </c>
      <c r="C93" s="46">
        <f>IF(F85&gt;0, C85/F85, 0)</f>
        <v>0</v>
      </c>
      <c r="D93" s="46">
        <f>IF(F85&gt;0, D85/F85, 0)</f>
        <v>0</v>
      </c>
      <c r="E93" s="46">
        <f>IF(F85&gt;0, E85/F85, 0)</f>
        <v>0</v>
      </c>
      <c r="F93" s="47" t="s">
        <v>21</v>
      </c>
    </row>
    <row r="94" spans="2:6" x14ac:dyDescent="0.35">
      <c r="B94" s="44" t="s">
        <v>18</v>
      </c>
      <c r="C94" s="46">
        <f>IF(F86&gt;0, C86/F86, 0)</f>
        <v>0</v>
      </c>
      <c r="D94" s="46">
        <f>IF(F86&gt;0, D86/F86, 0)</f>
        <v>0</v>
      </c>
      <c r="E94" s="46">
        <f>IF(F86&gt;0, E86/F86, 0)</f>
        <v>1</v>
      </c>
      <c r="F94" s="47" t="s">
        <v>21</v>
      </c>
    </row>
    <row r="99" spans="2:6" ht="18.5" x14ac:dyDescent="0.45">
      <c r="B99" s="40" t="s">
        <v>247</v>
      </c>
    </row>
    <row r="101" spans="2:6" x14ac:dyDescent="0.35">
      <c r="B101" s="54" t="s">
        <v>227</v>
      </c>
    </row>
    <row r="102" spans="2:6" x14ac:dyDescent="0.35">
      <c r="B102" s="42" t="s">
        <v>248</v>
      </c>
      <c r="C102" s="42" t="s">
        <v>228</v>
      </c>
      <c r="D102" s="42" t="s">
        <v>229</v>
      </c>
      <c r="E102" s="42" t="s">
        <v>230</v>
      </c>
      <c r="F102" s="42" t="s">
        <v>231</v>
      </c>
    </row>
    <row r="103" spans="2:6" x14ac:dyDescent="0.35">
      <c r="B103" s="44" t="s">
        <v>249</v>
      </c>
      <c r="C103" s="45">
        <f>COUNTIFS('Recommendations'!F:F,"Low",'Recommendations'!M:M,"=Resolved")</f>
        <v>0</v>
      </c>
      <c r="D103" s="45">
        <f>COUNTIFS('Recommendations'!F:F,"=Low",'Recommendations'!M:M,"=Testing")</f>
        <v>0</v>
      </c>
      <c r="E103" s="45">
        <f>COUNTIFS('Recommendations'!F:F,"=Low",'Recommendations'!M:M,"=Outstanding")</f>
        <v>0</v>
      </c>
      <c r="F103" s="45">
        <f>SUM(C103:E103)</f>
        <v>0</v>
      </c>
    </row>
    <row r="104" spans="2:6" x14ac:dyDescent="0.35">
      <c r="B104" s="44" t="s">
        <v>250</v>
      </c>
      <c r="C104" s="45">
        <f>COUNTIFS('Recommendations'!F:F,"Medium",'Recommendations'!M:M,"=Resolved")</f>
        <v>0</v>
      </c>
      <c r="D104" s="45">
        <f>COUNTIFS('Recommendations'!F:F,"=Medium",'Recommendations'!M:M,"=Testing")</f>
        <v>0</v>
      </c>
      <c r="E104" s="45">
        <f>COUNTIFS('Recommendations'!F:F,"=Medium",'Recommendations'!M:M,"=Outstanding")</f>
        <v>0</v>
      </c>
      <c r="F104" s="45">
        <f>SUM(C104:E104)</f>
        <v>0</v>
      </c>
    </row>
    <row r="105" spans="2:6" x14ac:dyDescent="0.35">
      <c r="B105" s="44" t="s">
        <v>251</v>
      </c>
      <c r="C105" s="45">
        <f>COUNTIFS('Recommendations'!F:F,"High",'Recommendations'!M:M,"=Resolved")</f>
        <v>0</v>
      </c>
      <c r="D105" s="45">
        <f>COUNTIFS('Recommendations'!F:F,"=High",'Recommendations'!M:M,"=Testing")</f>
        <v>0</v>
      </c>
      <c r="E105" s="45">
        <f>COUNTIFS('Recommendations'!F:F,"=High",'Recommendations'!M:M,"=Outstanding")</f>
        <v>0</v>
      </c>
      <c r="F105" s="45">
        <f>SUM(C105:E105)</f>
        <v>0</v>
      </c>
    </row>
    <row r="106" spans="2:6" x14ac:dyDescent="0.35">
      <c r="B106" s="44" t="s">
        <v>19</v>
      </c>
      <c r="C106" s="45">
        <f>COUNTIFS('Recommendations'!F:F,"Unassessed",'Recommendations'!M:M,"=Resolved")</f>
        <v>0</v>
      </c>
      <c r="D106" s="45">
        <f>COUNTIFS('Recommendations'!F:F,"=Unassessed",'Recommendations'!M:M,"=Testing")</f>
        <v>0</v>
      </c>
      <c r="E106" s="45">
        <f>COUNTIFS('Recommendations'!F:F,"=Unassessed",'Recommendations'!M:M,"=Outstanding")</f>
        <v>26</v>
      </c>
      <c r="F106" s="45">
        <f>SUM(C106:E106)</f>
        <v>26</v>
      </c>
    </row>
    <row r="108" spans="2:6" x14ac:dyDescent="0.35">
      <c r="B108" s="54" t="s">
        <v>233</v>
      </c>
    </row>
    <row r="109" spans="2:6" x14ac:dyDescent="0.35">
      <c r="B109" s="55" t="s">
        <v>248</v>
      </c>
      <c r="C109" s="55" t="s">
        <v>228</v>
      </c>
      <c r="D109" s="55" t="s">
        <v>229</v>
      </c>
      <c r="E109" s="55" t="s">
        <v>230</v>
      </c>
      <c r="F109" s="55" t="s">
        <v>21</v>
      </c>
    </row>
    <row r="110" spans="2:6" x14ac:dyDescent="0.35">
      <c r="B110" s="44" t="s">
        <v>249</v>
      </c>
      <c r="C110" s="46">
        <f>IF(F103&gt;0, C103/F103, 0)</f>
        <v>0</v>
      </c>
      <c r="D110" s="46">
        <f>IF(F103&gt;0, D103/F103, 0)</f>
        <v>0</v>
      </c>
      <c r="E110" s="46">
        <f>IF(F103&gt;0, E103/F103, 0)</f>
        <v>0</v>
      </c>
      <c r="F110" s="47" t="s">
        <v>21</v>
      </c>
    </row>
    <row r="111" spans="2:6" x14ac:dyDescent="0.35">
      <c r="B111" s="44" t="s">
        <v>250</v>
      </c>
      <c r="C111" s="46">
        <f>IF(F104&gt;0, C104/F104, 0)</f>
        <v>0</v>
      </c>
      <c r="D111" s="46">
        <f>IF(F104&gt;0, D104/F104, 0)</f>
        <v>0</v>
      </c>
      <c r="E111" s="46">
        <f>IF(F104&gt;0, E104/F104, 0)</f>
        <v>0</v>
      </c>
      <c r="F111" s="47" t="s">
        <v>21</v>
      </c>
    </row>
    <row r="112" spans="2:6" x14ac:dyDescent="0.35">
      <c r="B112" s="44" t="s">
        <v>251</v>
      </c>
      <c r="C112" s="46">
        <f>IF(F105&gt;0, C105/F105, 0)</f>
        <v>0</v>
      </c>
      <c r="D112" s="46">
        <f>IF(F105&gt;0, D105/F105, 0)</f>
        <v>0</v>
      </c>
      <c r="E112" s="46">
        <f>IF(F105&gt;0, E105/F105, 0)</f>
        <v>0</v>
      </c>
      <c r="F112" s="47" t="s">
        <v>21</v>
      </c>
    </row>
    <row r="113" spans="2:15" x14ac:dyDescent="0.35">
      <c r="B113" s="44" t="s">
        <v>19</v>
      </c>
      <c r="C113" s="46">
        <f>IF(F106&gt;0, C106/F106, 0)</f>
        <v>0</v>
      </c>
      <c r="D113" s="46">
        <f>IF(F106&gt;0, D106/F106, 0)</f>
        <v>0</v>
      </c>
      <c r="E113" s="46">
        <f>IF(F106&gt;0, E106/F106, 0)</f>
        <v>1</v>
      </c>
      <c r="F113" s="47" t="s">
        <v>21</v>
      </c>
    </row>
    <row r="118" spans="2:15" ht="18.5" x14ac:dyDescent="0.45">
      <c r="B118" s="40" t="s">
        <v>252</v>
      </c>
      <c r="J118" s="40" t="s">
        <v>253</v>
      </c>
    </row>
    <row r="119" spans="2:15" x14ac:dyDescent="0.35">
      <c r="B119" s="42" t="s">
        <v>6</v>
      </c>
      <c r="C119" s="87" t="s">
        <v>254</v>
      </c>
      <c r="D119" s="87"/>
      <c r="E119" s="42" t="s">
        <v>220</v>
      </c>
      <c r="F119" s="42" t="s">
        <v>228</v>
      </c>
      <c r="G119" s="87" t="s">
        <v>255</v>
      </c>
      <c r="H119" s="87"/>
      <c r="J119" s="42" t="s">
        <v>6</v>
      </c>
      <c r="K119" s="42" t="s">
        <v>243</v>
      </c>
      <c r="L119" s="42" t="s">
        <v>244</v>
      </c>
      <c r="M119" s="42" t="s">
        <v>245</v>
      </c>
      <c r="N119" s="42" t="s">
        <v>246</v>
      </c>
      <c r="O119" s="42" t="s">
        <v>18</v>
      </c>
    </row>
    <row r="120" spans="2:15" x14ac:dyDescent="0.35">
      <c r="B120" s="48" t="s">
        <v>236</v>
      </c>
      <c r="C120" s="88" t="s">
        <v>21</v>
      </c>
      <c r="D120" s="88"/>
      <c r="E120" s="45">
        <f>COUNTIF('Recommendations'!G:G,"Phase1")-COUNTIFS('Recommendations'!G:G,"Phase1",'Recommendations'!H:H,"Risk Accepted")-COUNTIFS('Recommendations'!G:G,"Phase1",'Recommendations'!H:H,"N/A")</f>
        <v>0</v>
      </c>
      <c r="F120" s="45">
        <f>COUNTIFS('Recommendations'!G:G,"Phase1",'Recommendations'!M:M,"Resolved")</f>
        <v>0</v>
      </c>
      <c r="G120" s="89">
        <f t="shared" ref="G120:G125" si="4">IF(E120&gt;0,F120/E120,0)</f>
        <v>0</v>
      </c>
      <c r="H120" s="89"/>
      <c r="J120" s="48" t="s">
        <v>236</v>
      </c>
      <c r="K120" s="45">
        <f>COUNTIFS('Recommendations'!G:G,"Phase1",'Recommendations'!E:E,"Must")</f>
        <v>0</v>
      </c>
      <c r="L120" s="45">
        <f>COUNTIFS('Recommendations'!G:G,"Phase1",'Recommendations'!E:E,"Should")</f>
        <v>0</v>
      </c>
      <c r="M120" s="45">
        <f>COUNTIFS('Recommendations'!G:G,"Phase1",'Recommendations'!E:E,"Could")</f>
        <v>0</v>
      </c>
      <c r="N120" s="45">
        <f>COUNTIFS('Recommendations'!G:G,"Phase1",'Recommendations'!E:E,"Won't")</f>
        <v>0</v>
      </c>
      <c r="O120" s="45">
        <f>COUNTIFS('Recommendations'!G:G,"Phase1",'Recommendations'!E:E,"Unassigned")</f>
        <v>0</v>
      </c>
    </row>
    <row r="121" spans="2:15" x14ac:dyDescent="0.35">
      <c r="B121" s="48" t="s">
        <v>237</v>
      </c>
      <c r="C121" s="88" t="s">
        <v>21</v>
      </c>
      <c r="D121" s="88"/>
      <c r="E121" s="45">
        <f>COUNTIF('Recommendations'!G:G,"Phase2")-COUNTIFS('Recommendations'!G:G,"Phase2",'Recommendations'!H:H,"Risk Accepted")-COUNTIFS('Recommendations'!G:G,"Phase2",'Recommendations'!H:H,"N/A")</f>
        <v>0</v>
      </c>
      <c r="F121" s="45">
        <f>COUNTIFS('Recommendations'!G:G,"Phase2",'Recommendations'!M:M,"Resolved")</f>
        <v>0</v>
      </c>
      <c r="G121" s="89">
        <f t="shared" si="4"/>
        <v>0</v>
      </c>
      <c r="H121" s="89"/>
      <c r="J121" s="48" t="s">
        <v>237</v>
      </c>
      <c r="K121" s="45">
        <f>COUNTIFS('Recommendations'!G:G,"Phase2",'Recommendations'!E:E,"Must")</f>
        <v>0</v>
      </c>
      <c r="L121" s="45">
        <f>COUNTIFS('Recommendations'!G:G,"Phase2",'Recommendations'!E:E,"Should")</f>
        <v>0</v>
      </c>
      <c r="M121" s="45">
        <f>COUNTIFS('Recommendations'!G:G,"Phase2",'Recommendations'!E:E,"Could")</f>
        <v>0</v>
      </c>
      <c r="N121" s="45">
        <f>COUNTIFS('Recommendations'!G:G,"Phase2",'Recommendations'!E:E,"Won't")</f>
        <v>0</v>
      </c>
      <c r="O121" s="45">
        <f>COUNTIFS('Recommendations'!G:G,"Phase2",'Recommendations'!E:E,"Unassigned")</f>
        <v>0</v>
      </c>
    </row>
    <row r="122" spans="2:15" x14ac:dyDescent="0.35">
      <c r="B122" s="48" t="s">
        <v>238</v>
      </c>
      <c r="C122" s="88" t="s">
        <v>21</v>
      </c>
      <c r="D122" s="88"/>
      <c r="E122" s="45">
        <f>COUNTIF('Recommendations'!G:G,"Phase3")-COUNTIFS('Recommendations'!G:G,"Phase3",'Recommendations'!H:H,"Risk Accepted")-COUNTIFS('Recommendations'!G:G,"Phase3",'Recommendations'!H:H,"N/A")</f>
        <v>0</v>
      </c>
      <c r="F122" s="45">
        <f>COUNTIFS('Recommendations'!G:G,"Phase3",'Recommendations'!M:M,"Resolved")</f>
        <v>0</v>
      </c>
      <c r="G122" s="89">
        <f t="shared" si="4"/>
        <v>0</v>
      </c>
      <c r="H122" s="89"/>
      <c r="J122" s="48" t="s">
        <v>238</v>
      </c>
      <c r="K122" s="45">
        <f>COUNTIFS('Recommendations'!G:G,"Phase3",'Recommendations'!E:E,"Must")</f>
        <v>0</v>
      </c>
      <c r="L122" s="45">
        <f>COUNTIFS('Recommendations'!G:G,"Phase3",'Recommendations'!E:E,"Should")</f>
        <v>0</v>
      </c>
      <c r="M122" s="45">
        <f>COUNTIFS('Recommendations'!G:G,"Phase3",'Recommendations'!E:E,"Could")</f>
        <v>0</v>
      </c>
      <c r="N122" s="45">
        <f>COUNTIFS('Recommendations'!G:G,"Phase3",'Recommendations'!E:E,"Won't")</f>
        <v>0</v>
      </c>
      <c r="O122" s="45">
        <f>COUNTIFS('Recommendations'!G:G,"Phase3",'Recommendations'!E:E,"Unassigned")</f>
        <v>0</v>
      </c>
    </row>
    <row r="123" spans="2:15" x14ac:dyDescent="0.35">
      <c r="B123" s="48" t="s">
        <v>239</v>
      </c>
      <c r="C123" s="88" t="s">
        <v>21</v>
      </c>
      <c r="D123" s="88"/>
      <c r="E123" s="45">
        <f>COUNTIF('Recommendations'!G:G,"Phase4")-COUNTIFS('Recommendations'!G:G,"Phase4",'Recommendations'!H:H,"Risk Accepted")-COUNTIFS('Recommendations'!G:G,"Phase4",'Recommendations'!H:H,"N/A")</f>
        <v>0</v>
      </c>
      <c r="F123" s="45">
        <f>COUNTIFS('Recommendations'!G:G,"Phase4",'Recommendations'!M:M,"Resolved")</f>
        <v>0</v>
      </c>
      <c r="G123" s="89">
        <f t="shared" si="4"/>
        <v>0</v>
      </c>
      <c r="H123" s="89"/>
      <c r="J123" s="48" t="s">
        <v>239</v>
      </c>
      <c r="K123" s="45">
        <f>COUNTIFS('Recommendations'!G:G,"Phase4",'Recommendations'!E:E,"Must")</f>
        <v>0</v>
      </c>
      <c r="L123" s="45">
        <f>COUNTIFS('Recommendations'!G:G,"Phase4",'Recommendations'!E:E,"Should")</f>
        <v>0</v>
      </c>
      <c r="M123" s="45">
        <f>COUNTIFS('Recommendations'!G:G,"Phase4",'Recommendations'!E:E,"Could")</f>
        <v>0</v>
      </c>
      <c r="N123" s="45">
        <f>COUNTIFS('Recommendations'!G:G,"Phase4",'Recommendations'!E:E,"Won't")</f>
        <v>0</v>
      </c>
      <c r="O123" s="45">
        <f>COUNTIFS('Recommendations'!G:G,"Phase4",'Recommendations'!E:E,"Unassigned")</f>
        <v>0</v>
      </c>
    </row>
    <row r="124" spans="2:15" x14ac:dyDescent="0.35">
      <c r="B124" s="48" t="s">
        <v>240</v>
      </c>
      <c r="C124" s="88" t="s">
        <v>21</v>
      </c>
      <c r="D124" s="88"/>
      <c r="E124" s="45">
        <f>COUNTIF('Recommendations'!G:G,"Phase5")-COUNTIFS('Recommendations'!G:G,"Phase5",'Recommendations'!H:H,"Risk Accepted")-COUNTIFS('Recommendations'!G:G,"Phase5",'Recommendations'!H:H,"N/A")</f>
        <v>0</v>
      </c>
      <c r="F124" s="45">
        <f>COUNTIFS('Recommendations'!G:G,"Phase5",'Recommendations'!M:M,"Resolved")</f>
        <v>0</v>
      </c>
      <c r="G124" s="89">
        <f t="shared" si="4"/>
        <v>0</v>
      </c>
      <c r="H124" s="89"/>
      <c r="J124" s="48" t="s">
        <v>240</v>
      </c>
      <c r="K124" s="45">
        <f>COUNTIFS('Recommendations'!G:G,"Phase5",'Recommendations'!E:E,"Must")</f>
        <v>0</v>
      </c>
      <c r="L124" s="45">
        <f>COUNTIFS('Recommendations'!G:G,"Phase5",'Recommendations'!E:E,"Should")</f>
        <v>0</v>
      </c>
      <c r="M124" s="45">
        <f>COUNTIFS('Recommendations'!G:G,"Phase5",'Recommendations'!E:E,"Could")</f>
        <v>0</v>
      </c>
      <c r="N124" s="45">
        <f>COUNTIFS('Recommendations'!G:G,"Phase5",'Recommendations'!E:E,"Won't")</f>
        <v>0</v>
      </c>
      <c r="O124" s="45">
        <f>COUNTIFS('Recommendations'!G:G,"Phase5",'Recommendations'!E:E,"Unassigned")</f>
        <v>0</v>
      </c>
    </row>
    <row r="125" spans="2:15" x14ac:dyDescent="0.35">
      <c r="B125" s="48" t="s">
        <v>20</v>
      </c>
      <c r="C125" s="88" t="s">
        <v>21</v>
      </c>
      <c r="D125" s="88"/>
      <c r="E125" s="45">
        <f>COUNTIF('Recommendations'!G:G,"Pending")-COUNTIFS('Recommendations'!G:G,"Pending",'Recommendations'!H:H,"Risk Accepted")-COUNTIFS('Recommendations'!G:G,"Pending",'Recommendations'!H:H,"N/A")</f>
        <v>26</v>
      </c>
      <c r="F125" s="45">
        <f>COUNTIFS('Recommendations'!G:G,"Pending",'Recommendations'!M:M,"Resolved")</f>
        <v>0</v>
      </c>
      <c r="G125" s="89">
        <f t="shared" si="4"/>
        <v>0</v>
      </c>
      <c r="H125" s="89"/>
      <c r="J125" s="48" t="s">
        <v>20</v>
      </c>
      <c r="K125" s="45">
        <f>COUNTIFS('Recommendations'!G:G,"Pending",'Recommendations'!E:E,"Must")</f>
        <v>0</v>
      </c>
      <c r="L125" s="45">
        <f>COUNTIFS('Recommendations'!G:G,"Pending",'Recommendations'!E:E,"Should")</f>
        <v>0</v>
      </c>
      <c r="M125" s="45">
        <f>COUNTIFS('Recommendations'!G:G,"Pending",'Recommendations'!E:E,"Could")</f>
        <v>0</v>
      </c>
      <c r="N125" s="45">
        <f>COUNTIFS('Recommendations'!G:G,"Pending",'Recommendations'!E:E,"Won't")</f>
        <v>0</v>
      </c>
      <c r="O125" s="45">
        <f>COUNTIFS('Recommendations'!G:G,"Pending",'Recommendations'!E:E,"Unassigned")</f>
        <v>26</v>
      </c>
    </row>
    <row r="132" spans="2:24" ht="21" x14ac:dyDescent="0.5">
      <c r="B132" s="40" t="s">
        <v>256</v>
      </c>
      <c r="P132" s="57" t="s">
        <v>257</v>
      </c>
    </row>
    <row r="134" spans="2:24" ht="60" customHeight="1" x14ac:dyDescent="0.35">
      <c r="B134" s="90" t="s">
        <v>258</v>
      </c>
      <c r="C134" s="83"/>
      <c r="D134" s="83"/>
      <c r="E134" s="83"/>
      <c r="F134" s="83"/>
      <c r="P134" s="90" t="s">
        <v>259</v>
      </c>
      <c r="Q134" s="83"/>
      <c r="R134" s="83"/>
      <c r="S134" s="83"/>
      <c r="T134" s="83"/>
      <c r="U134" s="83"/>
      <c r="V134" s="83"/>
      <c r="W134" s="83"/>
    </row>
    <row r="136" spans="2:24" ht="30" customHeight="1" x14ac:dyDescent="0.35">
      <c r="P136" s="58" t="s">
        <v>260</v>
      </c>
      <c r="Q136" s="59">
        <f>C16</f>
        <v>0</v>
      </c>
      <c r="R136" s="60"/>
      <c r="S136" s="59">
        <f>C82</f>
        <v>0</v>
      </c>
      <c r="T136" s="60"/>
      <c r="U136" s="59">
        <f>C83</f>
        <v>0</v>
      </c>
      <c r="V136" s="60"/>
      <c r="W136" s="59">
        <f>C84</f>
        <v>0</v>
      </c>
      <c r="X136" s="60"/>
    </row>
    <row r="137" spans="2:24" ht="35" customHeight="1" x14ac:dyDescent="0.35">
      <c r="P137" s="61" t="s">
        <v>261</v>
      </c>
      <c r="Q137" s="61" t="s">
        <v>262</v>
      </c>
      <c r="R137" s="61" t="s">
        <v>263</v>
      </c>
      <c r="S137" s="61" t="s">
        <v>264</v>
      </c>
      <c r="T137" s="61" t="s">
        <v>265</v>
      </c>
      <c r="U137" s="61" t="s">
        <v>266</v>
      </c>
      <c r="V137" s="61" t="s">
        <v>267</v>
      </c>
      <c r="W137" s="61" t="s">
        <v>268</v>
      </c>
      <c r="X137" s="61" t="s">
        <v>269</v>
      </c>
    </row>
    <row r="138" spans="2:24" x14ac:dyDescent="0.35">
      <c r="O138" s="62" t="s">
        <v>270</v>
      </c>
      <c r="P138" s="63" t="s">
        <v>271</v>
      </c>
      <c r="Q138" s="64">
        <v>0</v>
      </c>
      <c r="R138" s="65">
        <f>IF(Dashboard!F16&gt;0, Q138/Dashboard!F16, "")</f>
        <v>0</v>
      </c>
      <c r="S138" s="64">
        <v>0</v>
      </c>
      <c r="T138" s="65" t="str">
        <f>IF(AND(NOT(ISBLANK(S138)),Dashboard!F82&gt;0), S138/Dashboard!F82, "")</f>
        <v/>
      </c>
      <c r="U138" s="64">
        <v>0</v>
      </c>
      <c r="V138" s="65" t="str">
        <f>IF(AND(NOT(ISBLANK(U138)),Dashboard!F83&gt;0), U138/Dashboard!F83, "")</f>
        <v/>
      </c>
      <c r="W138" s="64">
        <v>0</v>
      </c>
      <c r="X138" s="65" t="str">
        <f>IF(AND(NOT(ISBLANK(W138)),Dashboard!F84&gt;0), W138/Dashboard!F84, "")</f>
        <v/>
      </c>
    </row>
    <row r="139" spans="2:24" x14ac:dyDescent="0.35">
      <c r="P139" s="56"/>
      <c r="Q139" s="43"/>
      <c r="R139" s="46" t="str">
        <f>IF(AND(NOT(ISBLANK(Q139)),Dashboard!F16&gt;0), Q139/Dashboard!F16, "")</f>
        <v/>
      </c>
      <c r="S139" s="43"/>
      <c r="T139" s="46" t="str">
        <f>IF(AND(NOT(ISBLANK(S139)),Dashboard!F82&gt;0), S139/Dashboard!F82, "")</f>
        <v/>
      </c>
      <c r="U139" s="43"/>
      <c r="V139" s="46" t="str">
        <f>IF(AND(NOT(ISBLANK(U139)),Dashboard!F83&gt;0), U139/Dashboard!F83, "")</f>
        <v/>
      </c>
      <c r="W139" s="43"/>
      <c r="X139" s="46" t="str">
        <f>IF(AND(NOT(ISBLANK(W139)),Dashboard!F84&gt;0), W139/Dashboard!F84, "")</f>
        <v/>
      </c>
    </row>
    <row r="140" spans="2:24" x14ac:dyDescent="0.35">
      <c r="P140" s="56"/>
      <c r="Q140" s="43"/>
      <c r="R140" s="46" t="str">
        <f>IF(AND(NOT(ISBLANK(Q140)),Dashboard!F16&gt;0), Q140/Dashboard!F16, "")</f>
        <v/>
      </c>
      <c r="S140" s="43"/>
      <c r="T140" s="46" t="str">
        <f>IF(AND(NOT(ISBLANK(S140)),Dashboard!F82&gt;0), S140/Dashboard!F82, "")</f>
        <v/>
      </c>
      <c r="U140" s="43"/>
      <c r="V140" s="46" t="str">
        <f>IF(AND(NOT(ISBLANK(U140)),Dashboard!F83&gt;0), U140/Dashboard!F83, "")</f>
        <v/>
      </c>
      <c r="W140" s="43"/>
      <c r="X140" s="46" t="str">
        <f>IF(AND(NOT(ISBLANK(W140)),Dashboard!F84&gt;0), W140/Dashboard!F84, "")</f>
        <v/>
      </c>
    </row>
    <row r="141" spans="2:24" x14ac:dyDescent="0.35">
      <c r="P141" s="56"/>
      <c r="Q141" s="43"/>
      <c r="R141" s="46" t="str">
        <f>IF(AND(NOT(ISBLANK(Q141)),Dashboard!F16&gt;0), Q141/Dashboard!F16, "")</f>
        <v/>
      </c>
      <c r="S141" s="43"/>
      <c r="T141" s="46" t="str">
        <f>IF(AND(NOT(ISBLANK(S141)),Dashboard!F82&gt;0), S141/Dashboard!F82, "")</f>
        <v/>
      </c>
      <c r="U141" s="43"/>
      <c r="V141" s="46" t="str">
        <f>IF(AND(NOT(ISBLANK(U141)),Dashboard!F83&gt;0), U141/Dashboard!F83, "")</f>
        <v/>
      </c>
      <c r="W141" s="43"/>
      <c r="X141" s="46" t="str">
        <f>IF(AND(NOT(ISBLANK(W141)),Dashboard!F84&gt;0), W141/Dashboard!F84, "")</f>
        <v/>
      </c>
    </row>
    <row r="142" spans="2:24" x14ac:dyDescent="0.35">
      <c r="P142" s="56"/>
      <c r="Q142" s="43"/>
      <c r="R142" s="46" t="str">
        <f>IF(AND(NOT(ISBLANK(Q142)),Dashboard!F16&gt;0), Q142/Dashboard!F16, "")</f>
        <v/>
      </c>
      <c r="S142" s="43"/>
      <c r="T142" s="46" t="str">
        <f>IF(AND(NOT(ISBLANK(S142)),Dashboard!F82&gt;0), S142/Dashboard!F82, "")</f>
        <v/>
      </c>
      <c r="U142" s="43"/>
      <c r="V142" s="46" t="str">
        <f>IF(AND(NOT(ISBLANK(U142)),Dashboard!F83&gt;0), U142/Dashboard!F83, "")</f>
        <v/>
      </c>
      <c r="W142" s="43"/>
      <c r="X142" s="46" t="str">
        <f>IF(AND(NOT(ISBLANK(W142)),Dashboard!F84&gt;0), W142/Dashboard!F84, "")</f>
        <v/>
      </c>
    </row>
    <row r="143" spans="2:24" x14ac:dyDescent="0.35">
      <c r="P143" s="56"/>
      <c r="Q143" s="43"/>
      <c r="R143" s="46" t="str">
        <f>IF(AND(NOT(ISBLANK(Q143)),Dashboard!F16&gt;0), Q143/Dashboard!F16, "")</f>
        <v/>
      </c>
      <c r="S143" s="43"/>
      <c r="T143" s="46" t="str">
        <f>IF(AND(NOT(ISBLANK(S143)),Dashboard!F82&gt;0), S143/Dashboard!F82, "")</f>
        <v/>
      </c>
      <c r="U143" s="43"/>
      <c r="V143" s="46" t="str">
        <f>IF(AND(NOT(ISBLANK(U143)),Dashboard!F83&gt;0), U143/Dashboard!F83, "")</f>
        <v/>
      </c>
      <c r="W143" s="43"/>
      <c r="X143" s="46" t="str">
        <f>IF(AND(NOT(ISBLANK(W143)),Dashboard!F84&gt;0), W143/Dashboard!F84, "")</f>
        <v/>
      </c>
    </row>
    <row r="144" spans="2:24" x14ac:dyDescent="0.35">
      <c r="P144" s="56"/>
      <c r="Q144" s="43"/>
      <c r="R144" s="46" t="str">
        <f>IF(AND(NOT(ISBLANK(Q144)),Dashboard!F16&gt;0), Q144/Dashboard!F16, "")</f>
        <v/>
      </c>
      <c r="S144" s="43"/>
      <c r="T144" s="46" t="str">
        <f>IF(AND(NOT(ISBLANK(S144)),Dashboard!F82&gt;0), S144/Dashboard!F82, "")</f>
        <v/>
      </c>
      <c r="U144" s="43"/>
      <c r="V144" s="46" t="str">
        <f>IF(AND(NOT(ISBLANK(U144)),Dashboard!F83&gt;0), U144/Dashboard!F83, "")</f>
        <v/>
      </c>
      <c r="W144" s="43"/>
      <c r="X144" s="46" t="str">
        <f>IF(AND(NOT(ISBLANK(W144)),Dashboard!F84&gt;0), W144/Dashboard!F84, "")</f>
        <v/>
      </c>
    </row>
    <row r="145" spans="16:24" x14ac:dyDescent="0.35">
      <c r="P145" s="56"/>
      <c r="Q145" s="43"/>
      <c r="R145" s="46" t="str">
        <f>IF(AND(NOT(ISBLANK(Q145)),Dashboard!F16&gt;0), Q145/Dashboard!F16, "")</f>
        <v/>
      </c>
      <c r="S145" s="43"/>
      <c r="T145" s="46" t="str">
        <f>IF(AND(NOT(ISBLANK(S145)),Dashboard!F82&gt;0), S145/Dashboard!F82, "")</f>
        <v/>
      </c>
      <c r="U145" s="43"/>
      <c r="V145" s="46" t="str">
        <f>IF(AND(NOT(ISBLANK(U145)),Dashboard!F83&gt;0), U145/Dashboard!F83, "")</f>
        <v/>
      </c>
      <c r="W145" s="43"/>
      <c r="X145" s="46" t="str">
        <f>IF(AND(NOT(ISBLANK(W145)),Dashboard!F84&gt;0), W145/Dashboard!F84, "")</f>
        <v/>
      </c>
    </row>
    <row r="146" spans="16:24" x14ac:dyDescent="0.35">
      <c r="P146" s="56"/>
      <c r="Q146" s="43"/>
      <c r="R146" s="46" t="str">
        <f>IF(AND(NOT(ISBLANK(Q146)),Dashboard!F16&gt;0), Q146/Dashboard!F16, "")</f>
        <v/>
      </c>
      <c r="S146" s="43"/>
      <c r="T146" s="46" t="str">
        <f>IF(AND(NOT(ISBLANK(S146)),Dashboard!F82&gt;0), S146/Dashboard!F82, "")</f>
        <v/>
      </c>
      <c r="U146" s="43"/>
      <c r="V146" s="46" t="str">
        <f>IF(AND(NOT(ISBLANK(U146)),Dashboard!F83&gt;0), U146/Dashboard!F83, "")</f>
        <v/>
      </c>
      <c r="W146" s="43"/>
      <c r="X146" s="46" t="str">
        <f>IF(AND(NOT(ISBLANK(W146)),Dashboard!F84&gt;0), W146/Dashboard!F84, "")</f>
        <v/>
      </c>
    </row>
    <row r="147" spans="16:24" x14ac:dyDescent="0.35">
      <c r="P147" s="56"/>
      <c r="Q147" s="43"/>
      <c r="R147" s="46" t="str">
        <f>IF(AND(NOT(ISBLANK(Q147)),Dashboard!F16&gt;0), Q147/Dashboard!F16, "")</f>
        <v/>
      </c>
      <c r="S147" s="43"/>
      <c r="T147" s="46" t="str">
        <f>IF(AND(NOT(ISBLANK(S147)),Dashboard!F82&gt;0), S147/Dashboard!F82, "")</f>
        <v/>
      </c>
      <c r="U147" s="43"/>
      <c r="V147" s="46" t="str">
        <f>IF(AND(NOT(ISBLANK(U147)),Dashboard!F83&gt;0), U147/Dashboard!F83, "")</f>
        <v/>
      </c>
      <c r="W147" s="43"/>
      <c r="X147" s="46" t="str">
        <f>IF(AND(NOT(ISBLANK(W147)),Dashboard!F84&gt;0), W147/Dashboard!F84, "")</f>
        <v/>
      </c>
    </row>
    <row r="148" spans="16:24" x14ac:dyDescent="0.35">
      <c r="P148" s="56"/>
      <c r="Q148" s="43"/>
      <c r="R148" s="46" t="str">
        <f>IF(AND(NOT(ISBLANK(Q148)),Dashboard!F16&gt;0), Q148/Dashboard!F16, "")</f>
        <v/>
      </c>
      <c r="S148" s="43"/>
      <c r="T148" s="46" t="str">
        <f>IF(AND(NOT(ISBLANK(S148)),Dashboard!F82&gt;0), S148/Dashboard!F82, "")</f>
        <v/>
      </c>
      <c r="U148" s="43"/>
      <c r="V148" s="46" t="str">
        <f>IF(AND(NOT(ISBLANK(U148)),Dashboard!F83&gt;0), U148/Dashboard!F83, "")</f>
        <v/>
      </c>
      <c r="W148" s="43"/>
      <c r="X148" s="46" t="str">
        <f>IF(AND(NOT(ISBLANK(W148)),Dashboard!F84&gt;0), W148/Dashboard!F84, "")</f>
        <v/>
      </c>
    </row>
    <row r="149" spans="16:24" x14ac:dyDescent="0.35">
      <c r="P149" s="56"/>
      <c r="Q149" s="43"/>
      <c r="R149" s="46" t="str">
        <f>IF(AND(NOT(ISBLANK(Q149)),Dashboard!F16&gt;0), Q149/Dashboard!F16, "")</f>
        <v/>
      </c>
      <c r="S149" s="43"/>
      <c r="T149" s="46" t="str">
        <f>IF(AND(NOT(ISBLANK(S149)),Dashboard!F82&gt;0), S149/Dashboard!F82, "")</f>
        <v/>
      </c>
      <c r="U149" s="43"/>
      <c r="V149" s="46" t="str">
        <f>IF(AND(NOT(ISBLANK(U149)),Dashboard!F83&gt;0), U149/Dashboard!F83, "")</f>
        <v/>
      </c>
      <c r="W149" s="43"/>
      <c r="X149" s="46" t="str">
        <f>IF(AND(NOT(ISBLANK(W149)),Dashboard!F84&gt;0), W149/Dashboard!F84, "")</f>
        <v/>
      </c>
    </row>
    <row r="150" spans="16:24" x14ac:dyDescent="0.35">
      <c r="P150" s="56"/>
      <c r="Q150" s="43"/>
      <c r="R150" s="46" t="str">
        <f>IF(AND(NOT(ISBLANK(Q150)),Dashboard!F16&gt;0), Q150/Dashboard!F16, "")</f>
        <v/>
      </c>
      <c r="S150" s="43"/>
      <c r="T150" s="46" t="str">
        <f>IF(AND(NOT(ISBLANK(S150)),Dashboard!F82&gt;0), S150/Dashboard!F82, "")</f>
        <v/>
      </c>
      <c r="U150" s="43"/>
      <c r="V150" s="46" t="str">
        <f>IF(AND(NOT(ISBLANK(U150)),Dashboard!F83&gt;0), U150/Dashboard!F83, "")</f>
        <v/>
      </c>
      <c r="W150" s="43"/>
      <c r="X150" s="46" t="str">
        <f>IF(AND(NOT(ISBLANK(W150)),Dashboard!F84&gt;0), W150/Dashboard!F84, "")</f>
        <v/>
      </c>
    </row>
    <row r="151" spans="16:24" x14ac:dyDescent="0.35">
      <c r="P151" s="56"/>
      <c r="Q151" s="43"/>
      <c r="R151" s="46" t="str">
        <f>IF(AND(NOT(ISBLANK(Q151)),Dashboard!F16&gt;0), Q151/Dashboard!F16, "")</f>
        <v/>
      </c>
      <c r="S151" s="43"/>
      <c r="T151" s="46" t="str">
        <f>IF(AND(NOT(ISBLANK(S151)),Dashboard!F82&gt;0), S151/Dashboard!F82, "")</f>
        <v/>
      </c>
      <c r="U151" s="43"/>
      <c r="V151" s="46" t="str">
        <f>IF(AND(NOT(ISBLANK(U151)),Dashboard!F83&gt;0), U151/Dashboard!F83, "")</f>
        <v/>
      </c>
      <c r="W151" s="43"/>
      <c r="X151" s="46" t="str">
        <f>IF(AND(NOT(ISBLANK(W151)),Dashboard!F84&gt;0), W151/Dashboard!F84, "")</f>
        <v/>
      </c>
    </row>
    <row r="152" spans="16:24" x14ac:dyDescent="0.35">
      <c r="P152" s="56"/>
      <c r="Q152" s="43"/>
      <c r="R152" s="46" t="str">
        <f>IF(AND(NOT(ISBLANK(Q152)),Dashboard!F16&gt;0), Q152/Dashboard!F16, "")</f>
        <v/>
      </c>
      <c r="S152" s="43"/>
      <c r="T152" s="46" t="str">
        <f>IF(AND(NOT(ISBLANK(S152)),Dashboard!F82&gt;0), S152/Dashboard!F82, "")</f>
        <v/>
      </c>
      <c r="U152" s="43"/>
      <c r="V152" s="46" t="str">
        <f>IF(AND(NOT(ISBLANK(U152)),Dashboard!F83&gt;0), U152/Dashboard!F83, "")</f>
        <v/>
      </c>
      <c r="W152" s="43"/>
      <c r="X152" s="46" t="str">
        <f>IF(AND(NOT(ISBLANK(W152)),Dashboard!F84&gt;0), W152/Dashboard!F84, "")</f>
        <v/>
      </c>
    </row>
    <row r="153" spans="16:24" x14ac:dyDescent="0.35">
      <c r="P153" s="56"/>
      <c r="Q153" s="43"/>
      <c r="R153" s="46" t="str">
        <f>IF(AND(NOT(ISBLANK(Q153)),Dashboard!F16&gt;0), Q153/Dashboard!F16, "")</f>
        <v/>
      </c>
      <c r="S153" s="43"/>
      <c r="T153" s="46" t="str">
        <f>IF(AND(NOT(ISBLANK(S153)),Dashboard!F82&gt;0), S153/Dashboard!F82, "")</f>
        <v/>
      </c>
      <c r="U153" s="43"/>
      <c r="V153" s="46" t="str">
        <f>IF(AND(NOT(ISBLANK(U153)),Dashboard!F83&gt;0), U153/Dashboard!F83, "")</f>
        <v/>
      </c>
      <c r="W153" s="43"/>
      <c r="X153" s="46" t="str">
        <f>IF(AND(NOT(ISBLANK(W153)),Dashboard!F84&gt;0), W153/Dashboard!F84, "")</f>
        <v/>
      </c>
    </row>
    <row r="154" spans="16:24" x14ac:dyDescent="0.35">
      <c r="P154" s="56"/>
      <c r="Q154" s="43"/>
      <c r="R154" s="46" t="str">
        <f>IF(AND(NOT(ISBLANK(Q154)),Dashboard!F16&gt;0), Q154/Dashboard!F16, "")</f>
        <v/>
      </c>
      <c r="S154" s="43"/>
      <c r="T154" s="46" t="str">
        <f>IF(AND(NOT(ISBLANK(S154)),Dashboard!F82&gt;0), S154/Dashboard!F82, "")</f>
        <v/>
      </c>
      <c r="U154" s="43"/>
      <c r="V154" s="46" t="str">
        <f>IF(AND(NOT(ISBLANK(U154)),Dashboard!F83&gt;0), U154/Dashboard!F83, "")</f>
        <v/>
      </c>
      <c r="W154" s="43"/>
      <c r="X154" s="46" t="str">
        <f>IF(AND(NOT(ISBLANK(W154)),Dashboard!F84&gt;0), W154/Dashboard!F84, "")</f>
        <v/>
      </c>
    </row>
    <row r="155" spans="16:24" x14ac:dyDescent="0.35">
      <c r="P155" s="56"/>
      <c r="Q155" s="43"/>
      <c r="R155" s="46" t="str">
        <f>IF(AND(NOT(ISBLANK(Q155)),Dashboard!F16&gt;0), Q155/Dashboard!F16, "")</f>
        <v/>
      </c>
      <c r="S155" s="43"/>
      <c r="T155" s="46" t="str">
        <f>IF(AND(NOT(ISBLANK(S155)),Dashboard!F82&gt;0), S155/Dashboard!F82, "")</f>
        <v/>
      </c>
      <c r="U155" s="43"/>
      <c r="V155" s="46" t="str">
        <f>IF(AND(NOT(ISBLANK(U155)),Dashboard!F83&gt;0), U155/Dashboard!F83, "")</f>
        <v/>
      </c>
      <c r="W155" s="43"/>
      <c r="X155" s="46" t="str">
        <f>IF(AND(NOT(ISBLANK(W155)),Dashboard!F84&gt;0), W155/Dashboard!F84, "")</f>
        <v/>
      </c>
    </row>
    <row r="156" spans="16:24" x14ac:dyDescent="0.35">
      <c r="P156" s="56"/>
      <c r="Q156" s="43"/>
      <c r="R156" s="46" t="str">
        <f>IF(AND(NOT(ISBLANK(Q156)),Dashboard!F16&gt;0), Q156/Dashboard!F16, "")</f>
        <v/>
      </c>
      <c r="S156" s="43"/>
      <c r="T156" s="46" t="str">
        <f>IF(AND(NOT(ISBLANK(S156)),Dashboard!F82&gt;0), S156/Dashboard!F82, "")</f>
        <v/>
      </c>
      <c r="U156" s="43"/>
      <c r="V156" s="46" t="str">
        <f>IF(AND(NOT(ISBLANK(U156)),Dashboard!F83&gt;0), U156/Dashboard!F83, "")</f>
        <v/>
      </c>
      <c r="W156" s="43"/>
      <c r="X156" s="46" t="str">
        <f>IF(AND(NOT(ISBLANK(W156)),Dashboard!F84&gt;0), W156/Dashboard!F84, "")</f>
        <v/>
      </c>
    </row>
    <row r="157" spans="16:24" x14ac:dyDescent="0.35">
      <c r="P157" s="56"/>
      <c r="Q157" s="43"/>
      <c r="R157" s="46" t="str">
        <f>IF(AND(NOT(ISBLANK(Q157)),Dashboard!F16&gt;0), Q157/Dashboard!F16, "")</f>
        <v/>
      </c>
      <c r="S157" s="43"/>
      <c r="T157" s="46" t="str">
        <f>IF(AND(NOT(ISBLANK(S157)),Dashboard!F82&gt;0), S157/Dashboard!F82, "")</f>
        <v/>
      </c>
      <c r="U157" s="43"/>
      <c r="V157" s="46" t="str">
        <f>IF(AND(NOT(ISBLANK(U157)),Dashboard!F83&gt;0), U157/Dashboard!F83, "")</f>
        <v/>
      </c>
      <c r="W157" s="43"/>
      <c r="X157" s="46" t="str">
        <f>IF(AND(NOT(ISBLANK(W157)),Dashboard!F84&gt;0), W157/Dashboard!F84, "")</f>
        <v/>
      </c>
    </row>
    <row r="158" spans="16:24" x14ac:dyDescent="0.35">
      <c r="P158" s="56"/>
      <c r="Q158" s="43"/>
      <c r="R158" s="46" t="str">
        <f>IF(AND(NOT(ISBLANK(Q158)),Dashboard!F16&gt;0), Q158/Dashboard!F16, "")</f>
        <v/>
      </c>
      <c r="S158" s="43"/>
      <c r="T158" s="46" t="str">
        <f>IF(AND(NOT(ISBLANK(S158)),Dashboard!F82&gt;0), S158/Dashboard!F82, "")</f>
        <v/>
      </c>
      <c r="U158" s="43"/>
      <c r="V158" s="46" t="str">
        <f>IF(AND(NOT(ISBLANK(U158)),Dashboard!F83&gt;0), U158/Dashboard!F83, "")</f>
        <v/>
      </c>
      <c r="W158" s="43"/>
      <c r="X158" s="46" t="str">
        <f>IF(AND(NOT(ISBLANK(W158)),Dashboard!F84&gt;0), W158/Dashboard!F84, "")</f>
        <v/>
      </c>
    </row>
    <row r="159" spans="16:24" x14ac:dyDescent="0.35">
      <c r="P159" s="56"/>
      <c r="Q159" s="43"/>
      <c r="R159" s="46" t="str">
        <f>IF(AND(NOT(ISBLANK(Q159)),Dashboard!F16&gt;0), Q159/Dashboard!F16, "")</f>
        <v/>
      </c>
      <c r="S159" s="43"/>
      <c r="T159" s="46" t="str">
        <f>IF(AND(NOT(ISBLANK(S159)),Dashboard!F82&gt;0), S159/Dashboard!F82, "")</f>
        <v/>
      </c>
      <c r="U159" s="43"/>
      <c r="V159" s="46" t="str">
        <f>IF(AND(NOT(ISBLANK(U159)),Dashboard!F83&gt;0), U159/Dashboard!F83, "")</f>
        <v/>
      </c>
      <c r="W159" s="43"/>
      <c r="X159" s="46" t="str">
        <f>IF(AND(NOT(ISBLANK(W159)),Dashboard!F84&gt;0), W159/Dashboard!F84, "")</f>
        <v/>
      </c>
    </row>
    <row r="160" spans="16:24" x14ac:dyDescent="0.35">
      <c r="P160" s="56"/>
      <c r="Q160" s="43"/>
      <c r="R160" s="46" t="str">
        <f>IF(AND(NOT(ISBLANK(Q160)),Dashboard!F16&gt;0), Q160/Dashboard!F16, "")</f>
        <v/>
      </c>
      <c r="S160" s="43"/>
      <c r="T160" s="46" t="str">
        <f>IF(AND(NOT(ISBLANK(S160)),Dashboard!F82&gt;0), S160/Dashboard!F82, "")</f>
        <v/>
      </c>
      <c r="U160" s="43"/>
      <c r="V160" s="46" t="str">
        <f>IF(AND(NOT(ISBLANK(U160)),Dashboard!F83&gt;0), U160/Dashboard!F83, "")</f>
        <v/>
      </c>
      <c r="W160" s="43"/>
      <c r="X160" s="46" t="str">
        <f>IF(AND(NOT(ISBLANK(W160)),Dashboard!F84&gt;0), W160/Dashboard!F84, "")</f>
        <v/>
      </c>
    </row>
    <row r="161" spans="2:24" x14ac:dyDescent="0.35">
      <c r="P161" s="56"/>
      <c r="Q161" s="43"/>
      <c r="R161" s="46" t="str">
        <f>IF(AND(NOT(ISBLANK(Q161)),Dashboard!F16&gt;0), Q161/Dashboard!F16, "")</f>
        <v/>
      </c>
      <c r="S161" s="43"/>
      <c r="T161" s="46" t="str">
        <f>IF(AND(NOT(ISBLANK(S161)),Dashboard!F82&gt;0), S161/Dashboard!F82, "")</f>
        <v/>
      </c>
      <c r="U161" s="43"/>
      <c r="V161" s="46" t="str">
        <f>IF(AND(NOT(ISBLANK(U161)),Dashboard!F83&gt;0), U161/Dashboard!F83, "")</f>
        <v/>
      </c>
      <c r="W161" s="43"/>
      <c r="X161" s="46" t="str">
        <f>IF(AND(NOT(ISBLANK(W161)),Dashboard!F84&gt;0), W161/Dashboard!F84, "")</f>
        <v/>
      </c>
    </row>
    <row r="162" spans="2:24" x14ac:dyDescent="0.35">
      <c r="P162" s="56"/>
      <c r="Q162" s="43"/>
      <c r="R162" s="46" t="str">
        <f>IF(AND(NOT(ISBLANK(Q162)),Dashboard!F16&gt;0), Q162/Dashboard!F16, "")</f>
        <v/>
      </c>
      <c r="S162" s="43"/>
      <c r="T162" s="46" t="str">
        <f>IF(AND(NOT(ISBLANK(S162)),Dashboard!F82&gt;0), S162/Dashboard!F82, "")</f>
        <v/>
      </c>
      <c r="U162" s="43"/>
      <c r="V162" s="46" t="str">
        <f>IF(AND(NOT(ISBLANK(U162)),Dashboard!F83&gt;0), U162/Dashboard!F83, "")</f>
        <v/>
      </c>
      <c r="W162" s="43"/>
      <c r="X162" s="46" t="str">
        <f>IF(AND(NOT(ISBLANK(W162)),Dashboard!F84&gt;0), W162/Dashboard!F84, "")</f>
        <v/>
      </c>
    </row>
    <row r="163" spans="2:24" x14ac:dyDescent="0.35">
      <c r="P163" s="56"/>
      <c r="Q163" s="43"/>
      <c r="R163" s="46" t="str">
        <f>IF(AND(NOT(ISBLANK(Q163)),Dashboard!F16&gt;0), Q163/Dashboard!F16, "")</f>
        <v/>
      </c>
      <c r="S163" s="43"/>
      <c r="T163" s="46" t="str">
        <f>IF(AND(NOT(ISBLANK(S163)),Dashboard!F82&gt;0), S163/Dashboard!F82, "")</f>
        <v/>
      </c>
      <c r="U163" s="43"/>
      <c r="V163" s="46" t="str">
        <f>IF(AND(NOT(ISBLANK(U163)),Dashboard!F83&gt;0), U163/Dashboard!F83, "")</f>
        <v/>
      </c>
      <c r="W163" s="43"/>
      <c r="X163" s="46" t="str">
        <f>IF(AND(NOT(ISBLANK(W163)),Dashboard!F84&gt;0), W163/Dashboard!F84, "")</f>
        <v/>
      </c>
    </row>
    <row r="164" spans="2:24" x14ac:dyDescent="0.35">
      <c r="P164" s="56"/>
      <c r="Q164" s="43"/>
      <c r="R164" s="46" t="str">
        <f>IF(AND(NOT(ISBLANK(Q164)),Dashboard!F16&gt;0), Q164/Dashboard!F16, "")</f>
        <v/>
      </c>
      <c r="S164" s="43"/>
      <c r="T164" s="46" t="str">
        <f>IF(AND(NOT(ISBLANK(S164)),Dashboard!F82&gt;0), S164/Dashboard!F82, "")</f>
        <v/>
      </c>
      <c r="U164" s="43"/>
      <c r="V164" s="46" t="str">
        <f>IF(AND(NOT(ISBLANK(U164)),Dashboard!F83&gt;0), U164/Dashboard!F83, "")</f>
        <v/>
      </c>
      <c r="W164" s="43"/>
      <c r="X164" s="46" t="str">
        <f>IF(AND(NOT(ISBLANK(W164)),Dashboard!F84&gt;0), W164/Dashboard!F84, "")</f>
        <v/>
      </c>
    </row>
    <row r="165" spans="2:24" x14ac:dyDescent="0.35">
      <c r="P165" s="56"/>
      <c r="Q165" s="43"/>
      <c r="R165" s="46" t="str">
        <f>IF(AND(NOT(ISBLANK(Q165)),Dashboard!F16&gt;0), Q165/Dashboard!F16, "")</f>
        <v/>
      </c>
      <c r="S165" s="43"/>
      <c r="T165" s="46" t="str">
        <f>IF(AND(NOT(ISBLANK(S165)),Dashboard!F82&gt;0), S165/Dashboard!F82, "")</f>
        <v/>
      </c>
      <c r="U165" s="43"/>
      <c r="V165" s="46" t="str">
        <f>IF(AND(NOT(ISBLANK(U165)),Dashboard!F83&gt;0), U165/Dashboard!F83, "")</f>
        <v/>
      </c>
      <c r="W165" s="43"/>
      <c r="X165" s="46" t="str">
        <f>IF(AND(NOT(ISBLANK(W165)),Dashboard!F84&gt;0), W165/Dashboard!F84, "")</f>
        <v/>
      </c>
    </row>
    <row r="166" spans="2:24" x14ac:dyDescent="0.35">
      <c r="P166" s="56"/>
      <c r="Q166" s="43"/>
      <c r="R166" s="46" t="str">
        <f>IF(AND(NOT(ISBLANK(Q166)),Dashboard!F16&gt;0), Q166/Dashboard!F16, "")</f>
        <v/>
      </c>
      <c r="S166" s="43"/>
      <c r="T166" s="46" t="str">
        <f>IF(AND(NOT(ISBLANK(S166)),Dashboard!F82&gt;0), S166/Dashboard!F82, "")</f>
        <v/>
      </c>
      <c r="U166" s="43"/>
      <c r="V166" s="46" t="str">
        <f>IF(AND(NOT(ISBLANK(U166)),Dashboard!F83&gt;0), U166/Dashboard!F83, "")</f>
        <v/>
      </c>
      <c r="W166" s="43"/>
      <c r="X166" s="46" t="str">
        <f>IF(AND(NOT(ISBLANK(W166)),Dashboard!F84&gt;0), W166/Dashboard!F84, "")</f>
        <v/>
      </c>
    </row>
    <row r="167" spans="2:24" x14ac:dyDescent="0.35">
      <c r="P167" s="56"/>
      <c r="Q167" s="43"/>
      <c r="R167" s="46" t="str">
        <f>IF(AND(NOT(ISBLANK(Q167)),Dashboard!F16&gt;0), Q167/Dashboard!F16, "")</f>
        <v/>
      </c>
      <c r="S167" s="43"/>
      <c r="T167" s="46" t="str">
        <f>IF(AND(NOT(ISBLANK(S167)),Dashboard!F82&gt;0), S167/Dashboard!F82, "")</f>
        <v/>
      </c>
      <c r="U167" s="43"/>
      <c r="V167" s="46" t="str">
        <f>IF(AND(NOT(ISBLANK(U167)),Dashboard!F83&gt;0), U167/Dashboard!F83, "")</f>
        <v/>
      </c>
      <c r="W167" s="43"/>
      <c r="X167" s="46" t="str">
        <f>IF(AND(NOT(ISBLANK(W167)),Dashboard!F84&gt;0), W167/Dashboard!F84, "")</f>
        <v/>
      </c>
    </row>
    <row r="168" spans="2:24" x14ac:dyDescent="0.35">
      <c r="P168" s="56"/>
      <c r="Q168" s="43"/>
      <c r="R168" s="46" t="str">
        <f>IF(AND(NOT(ISBLANK(Q168)),Dashboard!F16&gt;0), Q168/Dashboard!F16, "")</f>
        <v/>
      </c>
      <c r="S168" s="43"/>
      <c r="T168" s="46" t="str">
        <f>IF(AND(NOT(ISBLANK(S168)),Dashboard!F82&gt;0), S168/Dashboard!F82, "")</f>
        <v/>
      </c>
      <c r="U168" s="43"/>
      <c r="V168" s="46" t="str">
        <f>IF(AND(NOT(ISBLANK(U168)),Dashboard!F83&gt;0), U168/Dashboard!F83, "")</f>
        <v/>
      </c>
      <c r="W168" s="43"/>
      <c r="X168" s="46" t="str">
        <f>IF(AND(NOT(ISBLANK(W168)),Dashboard!F84&gt;0), W168/Dashboard!F84, "")</f>
        <v/>
      </c>
    </row>
    <row r="173" spans="2:24" ht="21" x14ac:dyDescent="0.5">
      <c r="B173" s="40" t="s">
        <v>272</v>
      </c>
      <c r="P173" s="57" t="s">
        <v>273</v>
      </c>
    </row>
    <row r="175" spans="2:24" ht="45" customHeight="1" x14ac:dyDescent="0.35">
      <c r="B175" s="90" t="s">
        <v>274</v>
      </c>
      <c r="C175" s="83"/>
      <c r="D175" s="83"/>
      <c r="E175" s="83"/>
      <c r="F175" s="83"/>
      <c r="P175" s="90" t="s">
        <v>275</v>
      </c>
      <c r="Q175" s="83"/>
      <c r="R175" s="83"/>
      <c r="S175" s="83"/>
      <c r="T175" s="83"/>
      <c r="U175" s="83"/>
    </row>
    <row r="176" spans="2:24" ht="35" customHeight="1" x14ac:dyDescent="0.35">
      <c r="P176" s="87" t="s">
        <v>276</v>
      </c>
      <c r="Q176" s="87"/>
      <c r="R176" s="87" t="s">
        <v>277</v>
      </c>
      <c r="S176" s="87"/>
      <c r="T176" s="87"/>
    </row>
    <row r="177" spans="16:22" ht="30" customHeight="1" x14ac:dyDescent="0.35">
      <c r="P177" s="91">
        <v>0</v>
      </c>
      <c r="Q177" s="92"/>
      <c r="R177" s="93" t="s">
        <v>278</v>
      </c>
      <c r="S177" s="94"/>
      <c r="T177" s="94"/>
    </row>
    <row r="180" spans="16:22" ht="25" customHeight="1" x14ac:dyDescent="0.35">
      <c r="P180" s="66" t="s">
        <v>261</v>
      </c>
      <c r="Q180" s="66" t="s">
        <v>279</v>
      </c>
      <c r="R180" s="66" t="s">
        <v>280</v>
      </c>
      <c r="S180" s="95" t="s">
        <v>8</v>
      </c>
      <c r="T180" s="95"/>
      <c r="U180" s="95"/>
      <c r="V180" s="83"/>
    </row>
    <row r="181" spans="16:22" ht="20" customHeight="1" x14ac:dyDescent="0.35">
      <c r="P181" s="68"/>
      <c r="Q181" s="69"/>
      <c r="R181" s="70" t="str">
        <f>IF(AND(NOT(ISBLANK(Q181)), Dashboard!$P177&gt;0), Q181/Dashboard!$P177, "")</f>
        <v/>
      </c>
      <c r="S181" s="96"/>
      <c r="T181" s="97"/>
      <c r="U181" s="97"/>
      <c r="V181" s="97"/>
    </row>
    <row r="182" spans="16:22" ht="20" customHeight="1" x14ac:dyDescent="0.35">
      <c r="P182" s="68"/>
      <c r="Q182" s="69"/>
      <c r="R182" s="70" t="str">
        <f>IF(AND(NOT(ISBLANK(Q182)), Dashboard!$P177&gt;0), Q182/Dashboard!$P177, "")</f>
        <v/>
      </c>
      <c r="S182" s="96"/>
      <c r="T182" s="97"/>
      <c r="U182" s="97"/>
      <c r="V182" s="97"/>
    </row>
    <row r="183" spans="16:22" ht="20" customHeight="1" x14ac:dyDescent="0.35">
      <c r="P183" s="68"/>
      <c r="Q183" s="69"/>
      <c r="R183" s="70" t="str">
        <f>IF(AND(NOT(ISBLANK(Q183)), Dashboard!$P177&gt;0), Q183/Dashboard!$P177, "")</f>
        <v/>
      </c>
      <c r="S183" s="96"/>
      <c r="T183" s="97"/>
      <c r="U183" s="97"/>
      <c r="V183" s="97"/>
    </row>
    <row r="184" spans="16:22" ht="20" customHeight="1" x14ac:dyDescent="0.35">
      <c r="P184" s="68"/>
      <c r="Q184" s="69"/>
      <c r="R184" s="70" t="str">
        <f>IF(AND(NOT(ISBLANK(Q184)), Dashboard!$P177&gt;0), Q184/Dashboard!$P177, "")</f>
        <v/>
      </c>
      <c r="S184" s="96"/>
      <c r="T184" s="97"/>
      <c r="U184" s="97"/>
      <c r="V184" s="97"/>
    </row>
    <row r="185" spans="16:22" ht="20" customHeight="1" x14ac:dyDescent="0.35">
      <c r="P185" s="68"/>
      <c r="Q185" s="69"/>
      <c r="R185" s="70" t="str">
        <f>IF(AND(NOT(ISBLANK(Q185)), Dashboard!$P177&gt;0), Q185/Dashboard!$P177, "")</f>
        <v/>
      </c>
      <c r="S185" s="96"/>
      <c r="T185" s="97"/>
      <c r="U185" s="97"/>
      <c r="V185" s="97"/>
    </row>
    <row r="186" spans="16:22" ht="20" customHeight="1" x14ac:dyDescent="0.35">
      <c r="P186" s="68"/>
      <c r="Q186" s="69"/>
      <c r="R186" s="70" t="str">
        <f>IF(AND(NOT(ISBLANK(Q186)), Dashboard!$P177&gt;0), Q186/Dashboard!$P177, "")</f>
        <v/>
      </c>
      <c r="S186" s="96"/>
      <c r="T186" s="97"/>
      <c r="U186" s="97"/>
      <c r="V186" s="97"/>
    </row>
    <row r="187" spans="16:22" ht="20" customHeight="1" x14ac:dyDescent="0.35">
      <c r="P187" s="68"/>
      <c r="Q187" s="69"/>
      <c r="R187" s="70" t="str">
        <f>IF(AND(NOT(ISBLANK(Q187)), Dashboard!$P177&gt;0), Q187/Dashboard!$P177, "")</f>
        <v/>
      </c>
      <c r="S187" s="96"/>
      <c r="T187" s="97"/>
      <c r="U187" s="97"/>
      <c r="V187" s="97"/>
    </row>
    <row r="188" spans="16:22" ht="20" customHeight="1" x14ac:dyDescent="0.35">
      <c r="P188" s="68"/>
      <c r="Q188" s="69"/>
      <c r="R188" s="70" t="str">
        <f>IF(AND(NOT(ISBLANK(Q188)), Dashboard!$P177&gt;0), Q188/Dashboard!$P177, "")</f>
        <v/>
      </c>
      <c r="S188" s="96"/>
      <c r="T188" s="97"/>
      <c r="U188" s="97"/>
      <c r="V188" s="97"/>
    </row>
    <row r="189" spans="16:22" ht="20" customHeight="1" x14ac:dyDescent="0.35">
      <c r="P189" s="68"/>
      <c r="Q189" s="69"/>
      <c r="R189" s="70" t="str">
        <f>IF(AND(NOT(ISBLANK(Q189)), Dashboard!$P177&gt;0), Q189/Dashboard!$P177, "")</f>
        <v/>
      </c>
      <c r="S189" s="96"/>
      <c r="T189" s="97"/>
      <c r="U189" s="97"/>
      <c r="V189" s="97"/>
    </row>
    <row r="190" spans="16:22" ht="20" customHeight="1" x14ac:dyDescent="0.35">
      <c r="P190" s="68"/>
      <c r="Q190" s="69"/>
      <c r="R190" s="70" t="str">
        <f>IF(AND(NOT(ISBLANK(Q190)), Dashboard!$P177&gt;0), Q190/Dashboard!$P177, "")</f>
        <v/>
      </c>
      <c r="S190" s="96"/>
      <c r="T190" s="97"/>
      <c r="U190" s="97"/>
      <c r="V190" s="97"/>
    </row>
    <row r="191" spans="16:22" ht="20" customHeight="1" x14ac:dyDescent="0.35">
      <c r="P191" s="68"/>
      <c r="Q191" s="69"/>
      <c r="R191" s="70" t="str">
        <f>IF(AND(NOT(ISBLANK(Q191)), Dashboard!$P177&gt;0), Q191/Dashboard!$P177, "")</f>
        <v/>
      </c>
      <c r="S191" s="96"/>
      <c r="T191" s="97"/>
      <c r="U191" s="97"/>
      <c r="V191" s="97"/>
    </row>
    <row r="192" spans="16:22" ht="20" customHeight="1" x14ac:dyDescent="0.35">
      <c r="P192" s="68"/>
      <c r="Q192" s="69"/>
      <c r="R192" s="70" t="str">
        <f>IF(AND(NOT(ISBLANK(Q192)), Dashboard!$P177&gt;0), Q192/Dashboard!$P177, "")</f>
        <v/>
      </c>
      <c r="S192" s="96"/>
      <c r="T192" s="97"/>
      <c r="U192" s="97"/>
      <c r="V192" s="97"/>
    </row>
    <row r="193" spans="2:22" ht="20" customHeight="1" x14ac:dyDescent="0.35">
      <c r="P193" s="68"/>
      <c r="Q193" s="69"/>
      <c r="R193" s="70" t="str">
        <f>IF(AND(NOT(ISBLANK(Q193)), Dashboard!$P177&gt;0), Q193/Dashboard!$P177, "")</f>
        <v/>
      </c>
      <c r="S193" s="96"/>
      <c r="T193" s="97"/>
      <c r="U193" s="97"/>
      <c r="V193" s="97"/>
    </row>
    <row r="194" spans="2:22" ht="20" customHeight="1" x14ac:dyDescent="0.35">
      <c r="P194" s="68"/>
      <c r="Q194" s="69"/>
      <c r="R194" s="70" t="str">
        <f>IF(AND(NOT(ISBLANK(Q194)), Dashboard!$P177&gt;0), Q194/Dashboard!$P177, "")</f>
        <v/>
      </c>
      <c r="S194" s="96"/>
      <c r="T194" s="97"/>
      <c r="U194" s="97"/>
      <c r="V194" s="97"/>
    </row>
    <row r="195" spans="2:22" ht="20" customHeight="1" x14ac:dyDescent="0.35">
      <c r="P195" s="68"/>
      <c r="Q195" s="69"/>
      <c r="R195" s="70" t="str">
        <f>IF(AND(NOT(ISBLANK(Q195)), Dashboard!$P177&gt;0), Q195/Dashboard!$P177, "")</f>
        <v/>
      </c>
      <c r="S195" s="96"/>
      <c r="T195" s="97"/>
      <c r="U195" s="97"/>
      <c r="V195" s="97"/>
    </row>
    <row r="196" spans="2:22" ht="20" customHeight="1" x14ac:dyDescent="0.35">
      <c r="P196" s="68"/>
      <c r="Q196" s="69"/>
      <c r="R196" s="70" t="str">
        <f>IF(AND(NOT(ISBLANK(Q196)), Dashboard!$P177&gt;0), Q196/Dashboard!$P177, "")</f>
        <v/>
      </c>
      <c r="S196" s="96"/>
      <c r="T196" s="97"/>
      <c r="U196" s="97"/>
      <c r="V196" s="97"/>
    </row>
    <row r="197" spans="2:22" ht="20" customHeight="1" x14ac:dyDescent="0.35">
      <c r="P197" s="68"/>
      <c r="Q197" s="69"/>
      <c r="R197" s="70" t="str">
        <f>IF(AND(NOT(ISBLANK(Q197)), Dashboard!$P177&gt;0), Q197/Dashboard!$P177, "")</f>
        <v/>
      </c>
      <c r="S197" s="96"/>
      <c r="T197" s="97"/>
      <c r="U197" s="97"/>
      <c r="V197" s="97"/>
    </row>
    <row r="198" spans="2:22" ht="20" customHeight="1" x14ac:dyDescent="0.35">
      <c r="P198" s="68"/>
      <c r="Q198" s="69"/>
      <c r="R198" s="70" t="str">
        <f>IF(AND(NOT(ISBLANK(Q198)), Dashboard!$P177&gt;0), Q198/Dashboard!$P177, "")</f>
        <v/>
      </c>
      <c r="S198" s="96"/>
      <c r="T198" s="97"/>
      <c r="U198" s="97"/>
      <c r="V198" s="97"/>
    </row>
    <row r="199" spans="2:22" ht="20" customHeight="1" x14ac:dyDescent="0.35">
      <c r="P199" s="68"/>
      <c r="Q199" s="69"/>
      <c r="R199" s="70" t="str">
        <f>IF(AND(NOT(ISBLANK(Q199)), Dashboard!$P177&gt;0), Q199/Dashboard!$P177, "")</f>
        <v/>
      </c>
      <c r="S199" s="96"/>
      <c r="T199" s="97"/>
      <c r="U199" s="97"/>
      <c r="V199" s="97"/>
    </row>
    <row r="200" spans="2:22" ht="20" customHeight="1" x14ac:dyDescent="0.35">
      <c r="P200" s="68"/>
      <c r="Q200" s="69"/>
      <c r="R200" s="70" t="str">
        <f>IF(AND(NOT(ISBLANK(Q200)), Dashboard!$P177&gt;0), Q200/Dashboard!$P177, "")</f>
        <v/>
      </c>
      <c r="S200" s="96"/>
      <c r="T200" s="97"/>
      <c r="U200" s="97"/>
      <c r="V200" s="97"/>
    </row>
    <row r="204" spans="2:22" ht="32" customHeight="1" x14ac:dyDescent="0.35">
      <c r="B204" s="81" t="s">
        <v>152</v>
      </c>
      <c r="C204" s="81"/>
      <c r="D204" s="81"/>
      <c r="E204" s="81"/>
      <c r="F204" s="81"/>
      <c r="G204" s="81"/>
      <c r="H204" s="81"/>
      <c r="I204" s="8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0:H125">
    <cfRule type="expression" dxfId="32" priority="4">
      <formula>$G120&gt;=0.8</formula>
    </cfRule>
    <cfRule type="expression" dxfId="31" priority="5">
      <formula>AND($G120&gt;=0.5,$G120&lt;0.8)</formula>
    </cfRule>
    <cfRule type="expression" dxfId="30" priority="6">
      <formula>$G120&lt;0.5</formula>
    </cfRule>
  </conditionalFormatting>
  <conditionalFormatting sqref="K120:K125">
    <cfRule type="cellIs" dxfId="29" priority="7" operator="greaterThan">
      <formula>0</formula>
    </cfRule>
  </conditionalFormatting>
  <conditionalFormatting sqref="L120:L125">
    <cfRule type="cellIs" dxfId="28" priority="8" operator="greaterThan">
      <formula>0</formula>
    </cfRule>
  </conditionalFormatting>
  <conditionalFormatting sqref="M120:M125">
    <cfRule type="cellIs" dxfId="27" priority="9" operator="greaterThan">
      <formula>0</formula>
    </cfRule>
  </conditionalFormatting>
  <conditionalFormatting sqref="N120:N125">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7"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32</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32</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32</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68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32</v>
      </c>
      <c r="D12" s="3" t="s">
        <v>68</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32</v>
      </c>
      <c r="D13" s="3" t="s">
        <v>68</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32</v>
      </c>
      <c r="D14" s="3" t="s">
        <v>68</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32</v>
      </c>
      <c r="D15" s="3" t="s">
        <v>68</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32</v>
      </c>
      <c r="D16" s="3" t="s">
        <v>68</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32</v>
      </c>
      <c r="D17" s="3" t="s">
        <v>68</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32</v>
      </c>
      <c r="D18" s="3" t="s">
        <v>68</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32</v>
      </c>
      <c r="D19" s="3" t="s">
        <v>68</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68</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32</v>
      </c>
      <c r="D21" s="3" t="s">
        <v>68</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32</v>
      </c>
      <c r="D22" s="3" t="s">
        <v>68</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32</v>
      </c>
      <c r="D23" s="3" t="s">
        <v>68</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68</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68</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68</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2" t="s">
        <v>147</v>
      </c>
      <c r="B27" s="6" t="s">
        <v>148</v>
      </c>
      <c r="C27" s="7" t="s">
        <v>32</v>
      </c>
      <c r="D27" s="8" t="s">
        <v>68</v>
      </c>
      <c r="E27" s="9" t="s">
        <v>18</v>
      </c>
      <c r="F27" s="9" t="s">
        <v>19</v>
      </c>
      <c r="G27" s="9" t="s">
        <v>20</v>
      </c>
      <c r="H27" s="9" t="s">
        <v>21</v>
      </c>
      <c r="I27" s="10" t="s">
        <v>21</v>
      </c>
      <c r="J27" s="6" t="s">
        <v>149</v>
      </c>
      <c r="K27" s="6" t="s">
        <v>150</v>
      </c>
      <c r="L27" s="6" t="s">
        <v>151</v>
      </c>
      <c r="M27" s="9" t="str">
        <f t="shared" si="0"/>
        <v>Outstanding</v>
      </c>
      <c r="N27" s="14" t="s">
        <v>21</v>
      </c>
    </row>
    <row r="31" spans="1:14" ht="32" customHeight="1" x14ac:dyDescent="0.35">
      <c r="A31" s="81" t="s">
        <v>152</v>
      </c>
      <c r="B31" s="81"/>
      <c r="C31" s="81"/>
      <c r="D31" s="81"/>
    </row>
  </sheetData>
  <mergeCells count="1">
    <mergeCell ref="A31:D31"/>
  </mergeCells>
  <conditionalFormatting sqref="C2:C27">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2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2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2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27" xr:uid="{00000000-0002-0000-0200-000000000000}">
      <formula1>"Must,Should,Could,Won't,Unassigned"</formula1>
    </dataValidation>
    <dataValidation type="list" showErrorMessage="1" errorTitle="Invalid Value" error="Please select a value from the list: Low, Medium, High, Unassessed." sqref="F2:F27" xr:uid="{00000000-0002-0000-0200-000001000000}">
      <formula1>"Low,Medium,High,Unassessed"</formula1>
    </dataValidation>
    <dataValidation type="list" showErrorMessage="1" errorTitle="Invalid Value" error="Please select a value from the list: Phase1, Phase2, Phase3, Phase4, Phase5, Pending." sqref="G2:G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281</v>
      </c>
      <c r="C2" s="98" t="s">
        <v>281</v>
      </c>
      <c r="D2" s="98" t="s">
        <v>281</v>
      </c>
      <c r="E2" s="98" t="s">
        <v>281</v>
      </c>
      <c r="F2" s="98" t="s">
        <v>281</v>
      </c>
      <c r="G2" s="98" t="s">
        <v>281</v>
      </c>
      <c r="H2" s="102" t="s">
        <v>282</v>
      </c>
      <c r="I2" s="102" t="s">
        <v>282</v>
      </c>
      <c r="J2" s="102" t="s">
        <v>282</v>
      </c>
      <c r="K2" s="102" t="s">
        <v>282</v>
      </c>
      <c r="L2" s="102" t="s">
        <v>282</v>
      </c>
      <c r="M2" s="101" t="s">
        <v>283</v>
      </c>
      <c r="N2" s="101" t="s">
        <v>283</v>
      </c>
      <c r="O2" s="103" t="s">
        <v>284</v>
      </c>
      <c r="P2" s="103" t="s">
        <v>284</v>
      </c>
      <c r="Q2" s="99" t="s">
        <v>12</v>
      </c>
      <c r="R2" s="99" t="s">
        <v>12</v>
      </c>
      <c r="S2" s="99" t="s">
        <v>12</v>
      </c>
      <c r="T2" s="100" t="s">
        <v>285</v>
      </c>
    </row>
    <row r="3" spans="2:20" ht="35" customHeight="1" x14ac:dyDescent="0.35">
      <c r="B3" s="71" t="s">
        <v>286</v>
      </c>
      <c r="C3" s="71" t="s">
        <v>287</v>
      </c>
      <c r="D3" s="71" t="s">
        <v>288</v>
      </c>
      <c r="E3" s="71" t="s">
        <v>289</v>
      </c>
      <c r="F3" s="71" t="s">
        <v>290</v>
      </c>
      <c r="G3" s="71" t="s">
        <v>10</v>
      </c>
      <c r="H3" s="72" t="s">
        <v>291</v>
      </c>
      <c r="I3" s="72" t="s">
        <v>292</v>
      </c>
      <c r="J3" s="72" t="s">
        <v>293</v>
      </c>
      <c r="K3" s="72" t="s">
        <v>294</v>
      </c>
      <c r="L3" s="72" t="s">
        <v>225</v>
      </c>
      <c r="M3" s="73" t="s">
        <v>295</v>
      </c>
      <c r="N3" s="73" t="s">
        <v>296</v>
      </c>
      <c r="O3" s="74" t="s">
        <v>297</v>
      </c>
      <c r="P3" s="74" t="s">
        <v>298</v>
      </c>
      <c r="Q3" s="75" t="s">
        <v>12</v>
      </c>
      <c r="R3" s="75" t="s">
        <v>299</v>
      </c>
      <c r="S3" s="75" t="s">
        <v>300</v>
      </c>
      <c r="T3" s="76" t="s">
        <v>301</v>
      </c>
    </row>
    <row r="4" spans="2:20" ht="60" customHeight="1" x14ac:dyDescent="0.35">
      <c r="B4" s="77" t="s">
        <v>302</v>
      </c>
      <c r="C4" s="77" t="s">
        <v>303</v>
      </c>
      <c r="D4" s="77" t="s">
        <v>304</v>
      </c>
      <c r="E4" s="77" t="s">
        <v>305</v>
      </c>
      <c r="F4" s="77" t="s">
        <v>306</v>
      </c>
      <c r="G4" s="77" t="s">
        <v>307</v>
      </c>
      <c r="H4" s="77" t="s">
        <v>308</v>
      </c>
      <c r="I4" s="77" t="s">
        <v>309</v>
      </c>
      <c r="J4" s="77" t="s">
        <v>310</v>
      </c>
      <c r="K4" s="77" t="s">
        <v>311</v>
      </c>
      <c r="L4" s="77" t="s">
        <v>312</v>
      </c>
      <c r="M4" s="77" t="s">
        <v>313</v>
      </c>
      <c r="N4" s="77" t="s">
        <v>314</v>
      </c>
      <c r="O4" s="77" t="s">
        <v>315</v>
      </c>
      <c r="P4" s="77" t="s">
        <v>316</v>
      </c>
      <c r="Q4" s="77" t="s">
        <v>317</v>
      </c>
      <c r="R4" s="77" t="s">
        <v>318</v>
      </c>
      <c r="S4" s="77" t="s">
        <v>319</v>
      </c>
      <c r="T4" s="77" t="s">
        <v>320</v>
      </c>
    </row>
    <row r="5" spans="2:20" ht="60" customHeight="1" x14ac:dyDescent="0.35">
      <c r="B5" s="39" t="s">
        <v>321</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322</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323</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324</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325</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326</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327</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328</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329</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330</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331</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332</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333</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334</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335</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336</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337</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338</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339</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340</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341</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342</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343</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344</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345</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346</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347</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348</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349</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350</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351</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352</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353</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354</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355</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356</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357</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358</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359</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360</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361</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362</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363</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364</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365</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366</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367</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368</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369</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370</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152</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Cloud Computing Mission Owner Security Requirements Guide - SHGIR</dc:title>
  <dc:subject>Generated on: 2026-06-08 11:56:59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2026-06-08T10:57:05Z</dcterms:modified>
  <cp:category>DISA-STIG</cp:category>
  <cp:contentStatus>Draft</cp:contentStatus>
</cp:coreProperties>
</file>