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CuBA/"/>
    </mc:Choice>
  </mc:AlternateContent>
  <xr:revisionPtr revIDLastSave="38" documentId="11_E4F79212FB75768C4C67A3F53E8573EAF7DEC9B7" xr6:coauthVersionLast="47" xr6:coauthVersionMax="47" xr10:uidLastSave="{F3BFFB3C-940C-46CE-B7BA-C7F9EEFCEA7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O21" i="1"/>
  <c r="O20" i="1"/>
  <c r="O19" i="1"/>
  <c r="O18" i="1"/>
  <c r="O17" i="1"/>
  <c r="O16" i="1"/>
  <c r="O15" i="1"/>
  <c r="O14" i="1"/>
  <c r="O13" i="1"/>
  <c r="O12" i="1"/>
  <c r="O11" i="1"/>
  <c r="O10" i="1"/>
  <c r="F114" i="3" s="1"/>
  <c r="O9" i="1"/>
  <c r="O8" i="1"/>
  <c r="O7" i="1"/>
  <c r="O6" i="1"/>
  <c r="O5" i="1"/>
  <c r="O4" i="1"/>
  <c r="O3" i="1"/>
  <c r="O2" i="1"/>
  <c r="R189" i="3"/>
  <c r="R188" i="3"/>
  <c r="R187" i="3"/>
  <c r="R186" i="3"/>
  <c r="R185" i="3"/>
  <c r="R184" i="3"/>
  <c r="R183" i="3"/>
  <c r="R182" i="3"/>
  <c r="R181" i="3"/>
  <c r="R180" i="3"/>
  <c r="R179" i="3"/>
  <c r="R178" i="3"/>
  <c r="R177" i="3"/>
  <c r="R176" i="3"/>
  <c r="R175" i="3"/>
  <c r="R174" i="3"/>
  <c r="R173" i="3"/>
  <c r="R172" i="3"/>
  <c r="R171" i="3"/>
  <c r="R170" i="3"/>
  <c r="O114" i="3"/>
  <c r="N114" i="3"/>
  <c r="M114" i="3"/>
  <c r="L114" i="3"/>
  <c r="K114" i="3"/>
  <c r="E114" i="3"/>
  <c r="O113" i="3"/>
  <c r="N113" i="3"/>
  <c r="M113" i="3"/>
  <c r="L113" i="3"/>
  <c r="K113" i="3"/>
  <c r="F113" i="3"/>
  <c r="E113" i="3"/>
  <c r="G113" i="3" s="1"/>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E95" i="3"/>
  <c r="D95" i="3"/>
  <c r="C95" i="3"/>
  <c r="F95" i="3" s="1"/>
  <c r="E94" i="3"/>
  <c r="D94" i="3"/>
  <c r="C94" i="3"/>
  <c r="F94" i="3" s="1"/>
  <c r="E93" i="3"/>
  <c r="D93" i="3"/>
  <c r="C93" i="3"/>
  <c r="F93" i="3" s="1"/>
  <c r="E92" i="3"/>
  <c r="D92" i="3"/>
  <c r="C92" i="3"/>
  <c r="F92" i="3" s="1"/>
  <c r="E75" i="3"/>
  <c r="D75" i="3"/>
  <c r="C75" i="3"/>
  <c r="F75" i="3" s="1"/>
  <c r="F74" i="3"/>
  <c r="E82" i="3" s="1"/>
  <c r="E74" i="3"/>
  <c r="D74" i="3"/>
  <c r="C74" i="3"/>
  <c r="E73" i="3"/>
  <c r="D73" i="3"/>
  <c r="C73" i="3"/>
  <c r="W125" i="3" s="1"/>
  <c r="E72" i="3"/>
  <c r="F72" i="3" s="1"/>
  <c r="D72" i="3"/>
  <c r="C72" i="3"/>
  <c r="U125" i="3" s="1"/>
  <c r="F71" i="3"/>
  <c r="T155" i="3" s="1"/>
  <c r="E71" i="3"/>
  <c r="D71" i="3"/>
  <c r="C71" i="3"/>
  <c r="S125" i="3" s="1"/>
  <c r="E53" i="3"/>
  <c r="D53" i="3"/>
  <c r="C53" i="3"/>
  <c r="F53" i="3" s="1"/>
  <c r="E52" i="3"/>
  <c r="D52" i="3"/>
  <c r="C52" i="3"/>
  <c r="F52" i="3" s="1"/>
  <c r="E51" i="3"/>
  <c r="D51" i="3"/>
  <c r="C51" i="3"/>
  <c r="F51" i="3" s="1"/>
  <c r="E50" i="3"/>
  <c r="D50" i="3"/>
  <c r="C50" i="3"/>
  <c r="F50" i="3" s="1"/>
  <c r="E49" i="3"/>
  <c r="D49" i="3"/>
  <c r="C49" i="3"/>
  <c r="F49" i="3" s="1"/>
  <c r="E48" i="3"/>
  <c r="D48" i="3"/>
  <c r="C48" i="3"/>
  <c r="F48" i="3" s="1"/>
  <c r="E32" i="3"/>
  <c r="D32" i="3"/>
  <c r="C32" i="3"/>
  <c r="F32" i="3" s="1"/>
  <c r="E31" i="3"/>
  <c r="D31" i="3"/>
  <c r="C31" i="3"/>
  <c r="F31" i="3" s="1"/>
  <c r="E30" i="3"/>
  <c r="D30" i="3"/>
  <c r="C30" i="3"/>
  <c r="F30" i="3" s="1"/>
  <c r="E29" i="3"/>
  <c r="D29" i="3"/>
  <c r="C29" i="3"/>
  <c r="F29" i="3" s="1"/>
  <c r="E16" i="3"/>
  <c r="D16" i="3"/>
  <c r="C16" i="3"/>
  <c r="F16" i="3" s="1"/>
  <c r="D9" i="3"/>
  <c r="C9" i="3"/>
  <c r="C8" i="3"/>
  <c r="D8" i="3" s="1"/>
  <c r="G114" i="3" l="1"/>
  <c r="E100" i="3"/>
  <c r="D100" i="3"/>
  <c r="C100" i="3"/>
  <c r="E57" i="3"/>
  <c r="D57" i="3"/>
  <c r="C57" i="3"/>
  <c r="E58" i="3"/>
  <c r="D58" i="3"/>
  <c r="C58" i="3"/>
  <c r="E60" i="3"/>
  <c r="D60" i="3"/>
  <c r="C60" i="3"/>
  <c r="E101" i="3"/>
  <c r="D101" i="3"/>
  <c r="C101" i="3"/>
  <c r="E102" i="3"/>
  <c r="D102" i="3"/>
  <c r="C102" i="3"/>
  <c r="D36" i="3"/>
  <c r="C36" i="3"/>
  <c r="E36" i="3"/>
  <c r="E37" i="3"/>
  <c r="D37" i="3"/>
  <c r="C37" i="3"/>
  <c r="E83" i="3"/>
  <c r="D83" i="3"/>
  <c r="C83" i="3"/>
  <c r="E38" i="3"/>
  <c r="D38" i="3"/>
  <c r="C38" i="3"/>
  <c r="E62" i="3"/>
  <c r="D62" i="3"/>
  <c r="C62" i="3"/>
  <c r="V154" i="3"/>
  <c r="V149" i="3"/>
  <c r="V144" i="3"/>
  <c r="V139" i="3"/>
  <c r="V134" i="3"/>
  <c r="V129" i="3"/>
  <c r="E80" i="3"/>
  <c r="C80" i="3"/>
  <c r="D80" i="3"/>
  <c r="V153" i="3"/>
  <c r="V148" i="3"/>
  <c r="V143" i="3"/>
  <c r="V138" i="3"/>
  <c r="V133" i="3"/>
  <c r="V128" i="3"/>
  <c r="V157" i="3"/>
  <c r="V152" i="3"/>
  <c r="V147" i="3"/>
  <c r="V142" i="3"/>
  <c r="V137" i="3"/>
  <c r="V132" i="3"/>
  <c r="V127" i="3"/>
  <c r="V156" i="3"/>
  <c r="V151" i="3"/>
  <c r="V146" i="3"/>
  <c r="V141" i="3"/>
  <c r="V136" i="3"/>
  <c r="V131" i="3"/>
  <c r="V155" i="3"/>
  <c r="V150" i="3"/>
  <c r="V145" i="3"/>
  <c r="V140" i="3"/>
  <c r="V135" i="3"/>
  <c r="V130" i="3"/>
  <c r="R155" i="3"/>
  <c r="R150" i="3"/>
  <c r="R145" i="3"/>
  <c r="R140" i="3"/>
  <c r="R135" i="3"/>
  <c r="R130" i="3"/>
  <c r="R154" i="3"/>
  <c r="R149" i="3"/>
  <c r="R144" i="3"/>
  <c r="R139" i="3"/>
  <c r="R134" i="3"/>
  <c r="R129" i="3"/>
  <c r="R153" i="3"/>
  <c r="R148" i="3"/>
  <c r="R143" i="3"/>
  <c r="R138" i="3"/>
  <c r="R133" i="3"/>
  <c r="R128" i="3"/>
  <c r="R157" i="3"/>
  <c r="R152" i="3"/>
  <c r="R147" i="3"/>
  <c r="R142" i="3"/>
  <c r="R137" i="3"/>
  <c r="R132" i="3"/>
  <c r="R127" i="3"/>
  <c r="C20" i="3"/>
  <c r="R156" i="3"/>
  <c r="R151" i="3"/>
  <c r="R146" i="3"/>
  <c r="R141" i="3"/>
  <c r="R136" i="3"/>
  <c r="R131" i="3"/>
  <c r="D20" i="3"/>
  <c r="E20" i="3"/>
  <c r="E59" i="3"/>
  <c r="C59" i="3"/>
  <c r="D59" i="3"/>
  <c r="E61" i="3"/>
  <c r="D61" i="3"/>
  <c r="C61" i="3"/>
  <c r="E99" i="3"/>
  <c r="D99" i="3"/>
  <c r="C99" i="3"/>
  <c r="E39" i="3"/>
  <c r="D39" i="3"/>
  <c r="C39" i="3"/>
  <c r="C82" i="3"/>
  <c r="D82" i="3"/>
  <c r="F73" i="3"/>
  <c r="Q125" i="3"/>
  <c r="T131" i="3"/>
  <c r="T136" i="3"/>
  <c r="T141" i="3"/>
  <c r="T146" i="3"/>
  <c r="T151" i="3"/>
  <c r="T156" i="3"/>
  <c r="T127" i="3"/>
  <c r="T132" i="3"/>
  <c r="T137" i="3"/>
  <c r="T142" i="3"/>
  <c r="T147" i="3"/>
  <c r="T152" i="3"/>
  <c r="T157" i="3"/>
  <c r="C7" i="3"/>
  <c r="D7" i="3" s="1"/>
  <c r="T128" i="3"/>
  <c r="T133" i="3"/>
  <c r="T138" i="3"/>
  <c r="T143" i="3"/>
  <c r="T148" i="3"/>
  <c r="T153" i="3"/>
  <c r="C79" i="3"/>
  <c r="D79" i="3"/>
  <c r="E79" i="3"/>
  <c r="T129" i="3"/>
  <c r="T134" i="3"/>
  <c r="T139" i="3"/>
  <c r="T144" i="3"/>
  <c r="T149" i="3"/>
  <c r="T154" i="3"/>
  <c r="T130" i="3"/>
  <c r="T135" i="3"/>
  <c r="T140" i="3"/>
  <c r="T145" i="3"/>
  <c r="T150" i="3"/>
  <c r="D81" i="3" l="1"/>
  <c r="X154" i="3"/>
  <c r="X149" i="3"/>
  <c r="X144" i="3"/>
  <c r="X139" i="3"/>
  <c r="X134" i="3"/>
  <c r="X129" i="3"/>
  <c r="C81" i="3"/>
  <c r="X153" i="3"/>
  <c r="X148" i="3"/>
  <c r="X143" i="3"/>
  <c r="X138" i="3"/>
  <c r="X133" i="3"/>
  <c r="X128" i="3"/>
  <c r="X157" i="3"/>
  <c r="X152" i="3"/>
  <c r="X147" i="3"/>
  <c r="X142" i="3"/>
  <c r="X137" i="3"/>
  <c r="X132" i="3"/>
  <c r="X127" i="3"/>
  <c r="X156" i="3"/>
  <c r="X151" i="3"/>
  <c r="X146" i="3"/>
  <c r="X141" i="3"/>
  <c r="X136" i="3"/>
  <c r="X131" i="3"/>
  <c r="X155" i="3"/>
  <c r="X150" i="3"/>
  <c r="X145" i="3"/>
  <c r="X140" i="3"/>
  <c r="X135" i="3"/>
  <c r="X130" i="3"/>
  <c r="E81" i="3"/>
</calcChain>
</file>

<file path=xl/sharedStrings.xml><?xml version="1.0" encoding="utf-8"?>
<sst xmlns="http://schemas.openxmlformats.org/spreadsheetml/2006/main" count="801" uniqueCount="342">
  <si>
    <t>Category</t>
  </si>
  <si>
    <t>Id</t>
  </si>
  <si>
    <t>Title</t>
  </si>
  <si>
    <t>Criticality</t>
  </si>
  <si>
    <t>MoSCoW</t>
  </si>
  <si>
    <t>OpsImpact</t>
  </si>
  <si>
    <t>Phase</t>
  </si>
  <si>
    <t>ImplStatus</t>
  </si>
  <si>
    <t>Notes</t>
  </si>
  <si>
    <t>Remediation</t>
  </si>
  <si>
    <t>Rationale</t>
  </si>
  <si>
    <t>Description</t>
  </si>
  <si>
    <t>LicenseReqs</t>
  </si>
  <si>
    <t>Resources</t>
  </si>
  <si>
    <t>Status</t>
  </si>
  <si>
    <t>LogID</t>
  </si>
  <si>
    <t>Meeting Policies</t>
  </si>
  <si>
    <t>MS.TEAMS.1.1v1</t>
  </si>
  <si>
    <r>
      <rPr>
        <sz val="11"/>
        <color rgb="FF000000"/>
        <rFont val="Calibri"/>
      </rPr>
      <t>External meeting participants SHOULD NOT be enabled to request control of shared desktops or windows.</t>
    </r>
  </si>
  <si>
    <t>SHOULD NOT</t>
  </si>
  <si>
    <t>Unassigned</t>
  </si>
  <si>
    <t>Unassessed</t>
  </si>
  <si>
    <t>Pending</t>
  </si>
  <si>
    <t/>
  </si>
  <si>
    <r>
      <rPr>
        <sz val="11"/>
        <color rgb="FF000000"/>
        <rFont val="Calibri"/>
      </rPr>
      <t>To help ensure external participants do not have the ability to request control of the shared desktop or window in the meeting:</t>
    </r>
    <r>
      <rPr>
        <sz val="11"/>
        <color rgb="FF000000"/>
        <rFont val="Calibri"/>
      </rPr>
      <t xml:space="preserve">
</t>
    </r>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Meetings</t>
    </r>
    <r>
      <rPr>
        <sz val="11"/>
        <color rgb="FF000000"/>
        <rFont val="Calibri"/>
      </rPr>
      <t xml:space="preserve"> &gt; </t>
    </r>
    <r>
      <rPr>
        <b/>
        <sz val="11"/>
        <color rgb="FF000000"/>
        <rFont val="Calibri"/>
      </rPr>
      <t>Meeting policies</t>
    </r>
    <r>
      <rPr>
        <sz val="11"/>
        <color rgb="FF000000"/>
        <rFont val="Calibri"/>
      </rPr>
      <t>.</t>
    </r>
    <r>
      <rPr>
        <sz val="11"/>
        <color rgb="FF000000"/>
        <rFont val="Calibri"/>
      </rPr>
      <t xml:space="preserve">
</t>
    </r>
    <r>
      <rPr>
        <sz val="11"/>
        <color rgb="FF000000"/>
        <rFont val="Calibri"/>
      </rPr>
      <t xml:space="preserve">3. Select the </t>
    </r>
    <r>
      <rPr>
        <b/>
        <sz val="11"/>
        <color rgb="FF000000"/>
        <rFont val="Calibri"/>
      </rPr>
      <t>Global (Org-wide default)</t>
    </r>
    <r>
      <rPr>
        <sz val="11"/>
        <color rgb="FF000000"/>
        <rFont val="Calibri"/>
      </rPr>
      <t xml:space="preserve"> policy.</t>
    </r>
    <r>
      <rPr>
        <sz val="11"/>
        <color rgb="FF000000"/>
        <rFont val="Calibri"/>
      </rPr>
      <t xml:space="preserve">
</t>
    </r>
    <r>
      <rPr>
        <sz val="11"/>
        <color rgb="FF000000"/>
        <rFont val="Calibri"/>
      </rPr>
      <t xml:space="preserve">4. Under the </t>
    </r>
    <r>
      <rPr>
        <b/>
        <sz val="11"/>
        <color rgb="FF000000"/>
        <rFont val="Calibri"/>
      </rPr>
      <t>Content sharing</t>
    </r>
    <r>
      <rPr>
        <sz val="11"/>
        <color rgb="FF000000"/>
        <rFont val="Calibri"/>
      </rPr>
      <t xml:space="preserve"> section, set </t>
    </r>
    <r>
      <rPr>
        <b/>
        <sz val="11"/>
        <color rgb="FF000000"/>
        <rFont val="Calibri"/>
      </rPr>
      <t>External participants can give or request control</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5. If custom policies were created, repeat these steps for each policy, selecting the appropriate policy in step 3.</t>
    </r>
  </si>
  <si>
    <r>
      <rPr>
        <sz val="11"/>
        <color rgb="FF000000"/>
        <rFont val="Calibri"/>
      </rPr>
      <t>An external participant with control of a shared screen could potentially perform unauthorized actions on the shared screen. This policy reduces that risk by removing an external participant's ability to request control. However, if an agency has a legitimate use case to grant this control, it may be done on a case-by-case basis.</t>
    </r>
  </si>
  <si>
    <r>
      <rPr>
        <sz val="11"/>
        <color rgb="FF000000"/>
        <rFont val="Calibri"/>
      </rPr>
      <t>This section helps reduce security risks posed by the external participants during meetings. In this instance, the term "external participants" includes external users, B2B guest users, unmanaged users, and anonymous users.</t>
    </r>
    <r>
      <rPr>
        <sz val="11"/>
        <color rgb="FF000000"/>
        <rFont val="Calibri"/>
      </rPr>
      <t xml:space="preserve">
</t>
    </r>
    <r>
      <rPr>
        <sz val="11"/>
        <color rgb="FF000000"/>
        <rFont val="Calibri"/>
      </rPr>
      <t>This section helps reduce security risks related to the user permissions for recording Teams meetings and events. These policies and user permissions apply to meetings hosted by a user, as well as during one-on-one calls and group calls started by a user. Agencies should comply with any other applicable policies or legislation in addition to this guidance.</t>
    </r>
  </si>
  <si>
    <r>
      <rPr>
        <sz val="11"/>
        <color rgb="FF000000"/>
        <rFont val="Calibri"/>
      </rPr>
      <t>N/A</t>
    </r>
  </si>
  <si>
    <r>
      <rPr>
        <b/>
        <sz val="11"/>
        <color rgb="FF000000"/>
        <rFont val="Calibri"/>
      </rPr>
      <t>Manage who can present and request control in Microsoft Teams | Microsoft Learn</t>
    </r>
    <r>
      <rPr>
        <sz val="11"/>
        <color rgb="FF000000"/>
        <rFont val="Calibri"/>
      </rPr>
      <t xml:space="preserve">
</t>
    </r>
    <r>
      <rPr>
        <sz val="11"/>
        <color rgb="FF0000FF"/>
        <rFont val="Calibri"/>
      </rPr>
      <t>https://learn.microsoft.com/en-us/microsoftteams/meeting-who-present-request-control</t>
    </r>
    <r>
      <rPr>
        <sz val="11"/>
        <color rgb="FF000000"/>
        <rFont val="Calibri"/>
      </rPr>
      <t xml:space="preserve">
</t>
    </r>
    <r>
      <rPr>
        <b/>
        <sz val="11"/>
        <color rgb="FF000000"/>
        <rFont val="Calibri"/>
      </rPr>
      <t>Meeting policy settings | Microsoft Learn</t>
    </r>
    <r>
      <rPr>
        <sz val="11"/>
        <color rgb="FF000000"/>
        <rFont val="Calibri"/>
      </rPr>
      <t xml:space="preserve">
</t>
    </r>
    <r>
      <rPr>
        <sz val="11"/>
        <color rgb="FF0000FF"/>
        <rFont val="Calibri"/>
      </rPr>
      <t>https://learn.microsoft.com/en-us/microsoftteams/settings-policies-reference#meetings</t>
    </r>
    <r>
      <rPr>
        <sz val="11"/>
        <color rgb="FF000000"/>
        <rFont val="Calibri"/>
      </rPr>
      <t xml:space="preserve">
</t>
    </r>
    <r>
      <rPr>
        <b/>
        <sz val="11"/>
        <color rgb="FF000000"/>
        <rFont val="Calibri"/>
      </rPr>
      <t>Teams cloud meeting recording | Microsoft Learn</t>
    </r>
    <r>
      <rPr>
        <sz val="11"/>
        <color rgb="FF000000"/>
        <rFont val="Calibri"/>
      </rPr>
      <t xml:space="preserve">
</t>
    </r>
    <r>
      <rPr>
        <sz val="11"/>
        <color rgb="FF0000FF"/>
        <rFont val="Calibri"/>
      </rPr>
      <t>https://learn.microsoft.com/en-us/microsoftteams/cloud-recording</t>
    </r>
    <r>
      <rPr>
        <sz val="11"/>
        <color rgb="FF000000"/>
        <rFont val="Calibri"/>
      </rPr>
      <t xml:space="preserve">
</t>
    </r>
    <r>
      <rPr>
        <b/>
        <sz val="11"/>
        <color rgb="FF000000"/>
        <rFont val="Calibri"/>
      </rPr>
      <t>Assign policies in Teams – getting started | Microsoft Learn</t>
    </r>
    <r>
      <rPr>
        <sz val="11"/>
        <color rgb="FF000000"/>
        <rFont val="Calibri"/>
      </rPr>
      <t xml:space="preserve">
</t>
    </r>
    <r>
      <rPr>
        <sz val="11"/>
        <color rgb="FF0000FF"/>
        <rFont val="Calibri"/>
      </rPr>
      <t>https://learn.microsoft.com/en-us/microsoftteams/policy-assignment-overview</t>
    </r>
    <r>
      <rPr>
        <sz val="11"/>
        <color rgb="FF000000"/>
        <rFont val="Calibri"/>
      </rPr>
      <t xml:space="preserve">
</t>
    </r>
    <r>
      <rPr>
        <b/>
        <sz val="11"/>
        <color rgb="FF000000"/>
        <rFont val="Calibri"/>
      </rPr>
      <t>Live Event Recording Policies | Microsoft Learn</t>
    </r>
    <r>
      <rPr>
        <sz val="11"/>
        <color rgb="FF000000"/>
        <rFont val="Calibri"/>
      </rPr>
      <t xml:space="preserve">
</t>
    </r>
    <r>
      <rPr>
        <sz val="11"/>
        <color rgb="FF0000FF"/>
        <rFont val="Calibri"/>
      </rPr>
      <t>https://learn.microsoft.com/en-us/microsoftteams/teams-live-events/live-events-recording-policies</t>
    </r>
  </si>
  <si>
    <t>MS.TEAMS.1.2v2</t>
  </si>
  <si>
    <r>
      <rPr>
        <sz val="11"/>
        <color rgb="FF000000"/>
        <rFont val="Calibri"/>
      </rPr>
      <t>Anonymous users SHALL NOT be enabled to start meetings.</t>
    </r>
  </si>
  <si>
    <t>SHALL NOT</t>
  </si>
  <si>
    <r>
      <rPr>
        <sz val="11"/>
        <color rgb="FF000000"/>
        <rFont val="Calibri"/>
      </rPr>
      <t>To configure settings for anonymous users:</t>
    </r>
    <r>
      <rPr>
        <sz val="11"/>
        <color rgb="FF000000"/>
        <rFont val="Calibri"/>
      </rPr>
      <t xml:space="preserve">
</t>
    </r>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Meetings</t>
    </r>
    <r>
      <rPr>
        <sz val="11"/>
        <color rgb="FF000000"/>
        <rFont val="Calibri"/>
      </rPr>
      <t xml:space="preserve"> &gt; </t>
    </r>
    <r>
      <rPr>
        <b/>
        <sz val="11"/>
        <color rgb="FF000000"/>
        <rFont val="Calibri"/>
      </rPr>
      <t>Meeting policies</t>
    </r>
    <r>
      <rPr>
        <sz val="11"/>
        <color rgb="FF000000"/>
        <rFont val="Calibri"/>
      </rPr>
      <t>.</t>
    </r>
    <r>
      <rPr>
        <sz val="11"/>
        <color rgb="FF000000"/>
        <rFont val="Calibri"/>
      </rPr>
      <t xml:space="preserve">
</t>
    </r>
    <r>
      <rPr>
        <sz val="11"/>
        <color rgb="FF000000"/>
        <rFont val="Calibri"/>
      </rPr>
      <t xml:space="preserve">3. Select the </t>
    </r>
    <r>
      <rPr>
        <b/>
        <sz val="11"/>
        <color rgb="FF000000"/>
        <rFont val="Calibri"/>
      </rPr>
      <t>Global (Org-wide default)</t>
    </r>
    <r>
      <rPr>
        <sz val="11"/>
        <color rgb="FF000000"/>
        <rFont val="Calibri"/>
      </rPr>
      <t xml:space="preserve"> policy.</t>
    </r>
    <r>
      <rPr>
        <sz val="11"/>
        <color rgb="FF000000"/>
        <rFont val="Calibri"/>
      </rPr>
      <t xml:space="preserve">
</t>
    </r>
    <r>
      <rPr>
        <sz val="11"/>
        <color rgb="FF000000"/>
        <rFont val="Calibri"/>
      </rPr>
      <t xml:space="preserve">4. Under the </t>
    </r>
    <r>
      <rPr>
        <b/>
        <sz val="11"/>
        <color rgb="FF000000"/>
        <rFont val="Calibri"/>
      </rPr>
      <t>Meeting join &amp; lobby</t>
    </r>
    <r>
      <rPr>
        <sz val="11"/>
        <color rgb="FF000000"/>
        <rFont val="Calibri"/>
      </rPr>
      <t xml:space="preserve"> section, ensure the </t>
    </r>
    <r>
      <rPr>
        <b/>
        <sz val="11"/>
        <color rgb="FF000000"/>
        <rFont val="Calibri"/>
      </rPr>
      <t>Anonymous users and dial-in callers can start a meeting</t>
    </r>
    <r>
      <rPr>
        <sz val="11"/>
        <color rgb="FF000000"/>
        <rFont val="Calibri"/>
      </rPr>
      <t xml:space="preserve"> setting remains at the default position of </t>
    </r>
    <r>
      <rPr>
        <b/>
        <sz val="11"/>
        <color rgb="FF000000"/>
        <rFont val="Calibri"/>
      </rPr>
      <t>Off</t>
    </r>
    <r>
      <rPr>
        <sz val="11"/>
        <color rgb="FF000000"/>
        <rFont val="Calibri"/>
      </rPr>
      <t>.</t>
    </r>
    <r>
      <rPr>
        <sz val="11"/>
        <color rgb="FF000000"/>
        <rFont val="Calibri"/>
      </rPr>
      <t xml:space="preserve">
</t>
    </r>
    <r>
      <rPr>
        <sz val="11"/>
        <color rgb="FF000000"/>
        <rFont val="Calibri"/>
      </rPr>
      <t>5. If custom policies were created, repeat these steps for each policy, selecting the appropriate policy in step 3.</t>
    </r>
  </si>
  <si>
    <r>
      <rPr>
        <sz val="11"/>
        <color rgb="FF000000"/>
        <rFont val="Calibri"/>
      </rPr>
      <t>This policy protects against anonymous users starting Microsoft Teams meetings to scrape internal contacts. The policy is beneficial for agencies that have implemented custom policies, providing flexibility for some users to automatically admit “everyone” to a Microsoft Teams meeting.</t>
    </r>
  </si>
  <si>
    <t>MS.TEAMS.1.3v1</t>
  </si>
  <si>
    <r>
      <rPr>
        <sz val="11"/>
        <color rgb="FF000000"/>
        <rFont val="Calibri"/>
      </rPr>
      <t>Anonymous users and dial-in callers SHOULD NOT be admitted automatically.</t>
    </r>
  </si>
  <si>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Meetings</t>
    </r>
    <r>
      <rPr>
        <sz val="11"/>
        <color rgb="FF000000"/>
        <rFont val="Calibri"/>
      </rPr>
      <t xml:space="preserve"> &gt; </t>
    </r>
    <r>
      <rPr>
        <b/>
        <sz val="11"/>
        <color rgb="FF000000"/>
        <rFont val="Calibri"/>
      </rPr>
      <t>Meeting policies</t>
    </r>
    <r>
      <rPr>
        <sz val="11"/>
        <color rgb="FF000000"/>
        <rFont val="Calibri"/>
      </rPr>
      <t>.</t>
    </r>
    <r>
      <rPr>
        <sz val="11"/>
        <color rgb="FF000000"/>
        <rFont val="Calibri"/>
      </rPr>
      <t xml:space="preserve">
</t>
    </r>
    <r>
      <rPr>
        <sz val="11"/>
        <color rgb="FF000000"/>
        <rFont val="Calibri"/>
      </rPr>
      <t xml:space="preserve">3. Select the </t>
    </r>
    <r>
      <rPr>
        <b/>
        <sz val="11"/>
        <color rgb="FF000000"/>
        <rFont val="Calibri"/>
      </rPr>
      <t>Global (Org-wide default)</t>
    </r>
    <r>
      <rPr>
        <sz val="11"/>
        <color rgb="FF000000"/>
        <rFont val="Calibri"/>
      </rPr>
      <t xml:space="preserve"> policy.</t>
    </r>
    <r>
      <rPr>
        <sz val="11"/>
        <color rgb="FF000000"/>
        <rFont val="Calibri"/>
      </rPr>
      <t xml:space="preserve">
</t>
    </r>
    <r>
      <rPr>
        <sz val="11"/>
        <color rgb="FF000000"/>
        <rFont val="Calibri"/>
      </rPr>
      <t xml:space="preserve">4. Under the </t>
    </r>
    <r>
      <rPr>
        <b/>
        <sz val="11"/>
        <color rgb="FF000000"/>
        <rFont val="Calibri"/>
      </rPr>
      <t>Meeting join &amp; lobby</t>
    </r>
    <r>
      <rPr>
        <sz val="11"/>
        <color rgb="FF000000"/>
        <rFont val="Calibri"/>
      </rPr>
      <t xml:space="preserve"> section, ensure </t>
    </r>
    <r>
      <rPr>
        <b/>
        <sz val="11"/>
        <color rgb="FF000000"/>
        <rFont val="Calibri"/>
      </rPr>
      <t>Who can bypass the lobby</t>
    </r>
    <r>
      <rPr>
        <sz val="11"/>
        <color rgb="FF000000"/>
        <rFont val="Calibri"/>
      </rPr>
      <t xml:space="preserve"> is </t>
    </r>
    <r>
      <rPr>
        <b/>
        <sz val="11"/>
        <color rgb="FF000000"/>
        <rFont val="Calibri"/>
      </rPr>
      <t>not</t>
    </r>
    <r>
      <rPr>
        <sz val="11"/>
        <color rgb="FF000000"/>
        <rFont val="Calibri"/>
      </rPr>
      <t xml:space="preserve"> set to </t>
    </r>
    <r>
      <rPr>
        <b/>
        <sz val="11"/>
        <color rgb="FF000000"/>
        <rFont val="Calibri"/>
      </rPr>
      <t>Everyone</t>
    </r>
    <r>
      <rPr>
        <sz val="11"/>
        <color rgb="FF000000"/>
        <rFont val="Calibri"/>
      </rPr>
      <t xml:space="preserve">. Bypassing the lobby should be set to </t>
    </r>
    <r>
      <rPr>
        <b/>
        <sz val="11"/>
        <color rgb="FF000000"/>
        <rFont val="Calibri"/>
      </rPr>
      <t>People in my org</t>
    </r>
    <r>
      <rPr>
        <sz val="11"/>
        <color rgb="FF000000"/>
        <rFont val="Calibri"/>
      </rPr>
      <t>, though other options may be used if needed.</t>
    </r>
    <r>
      <rPr>
        <sz val="11"/>
        <color rgb="FF000000"/>
        <rFont val="Calibri"/>
      </rPr>
      <t xml:space="preserve">
</t>
    </r>
    <r>
      <rPr>
        <sz val="11"/>
        <color rgb="FF000000"/>
        <rFont val="Calibri"/>
      </rPr>
      <t xml:space="preserve">5. In the same section, set </t>
    </r>
    <r>
      <rPr>
        <b/>
        <sz val="11"/>
        <color rgb="FF000000"/>
        <rFont val="Calibri"/>
      </rPr>
      <t>People dialing in can bypass the lobby</t>
    </r>
    <r>
      <rPr>
        <sz val="11"/>
        <color rgb="FF000000"/>
        <rFont val="Calibri"/>
      </rPr>
      <t xml:space="preserve"> to </t>
    </r>
    <r>
      <rPr>
        <b/>
        <sz val="11"/>
        <color rgb="FF000000"/>
        <rFont val="Calibri"/>
      </rPr>
      <t>Off</t>
    </r>
    <r>
      <rPr>
        <sz val="11"/>
        <color rgb="FF000000"/>
        <rFont val="Calibri"/>
      </rPr>
      <t>.</t>
    </r>
  </si>
  <si>
    <r>
      <rPr>
        <sz val="11"/>
        <color rgb="FF000000"/>
        <rFont val="Calibri"/>
      </rPr>
      <t>Automatically allowing admittance to anonymous and dial-in users diminishes control of meeting participation and invites potential data breach. This policy reduces that risk by requiring all anonymous and dial-in users to wait in a lobby until admitted by an authorized meeting participant. If the agency has a use case to admit members of specific trusted organizations and/or B2B guests automatically, custom policies may be created and assigned to authorized meeting organizers.</t>
    </r>
  </si>
  <si>
    <t>MS.TEAMS.1.4v1</t>
  </si>
  <si>
    <r>
      <rPr>
        <sz val="11"/>
        <color rgb="FF000000"/>
        <rFont val="Calibri"/>
      </rPr>
      <t>Internal users SHOULD be admitted automatically.</t>
    </r>
  </si>
  <si>
    <t>SHOULD</t>
  </si>
  <si>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Meetings</t>
    </r>
    <r>
      <rPr>
        <sz val="11"/>
        <color rgb="FF000000"/>
        <rFont val="Calibri"/>
      </rPr>
      <t xml:space="preserve"> &gt; </t>
    </r>
    <r>
      <rPr>
        <b/>
        <sz val="11"/>
        <color rgb="FF000000"/>
        <rFont val="Calibri"/>
      </rPr>
      <t>Meeting policies</t>
    </r>
    <r>
      <rPr>
        <sz val="11"/>
        <color rgb="FF000000"/>
        <rFont val="Calibri"/>
      </rPr>
      <t>.</t>
    </r>
    <r>
      <rPr>
        <sz val="11"/>
        <color rgb="FF000000"/>
        <rFont val="Calibri"/>
      </rPr>
      <t xml:space="preserve">
</t>
    </r>
    <r>
      <rPr>
        <sz val="11"/>
        <color rgb="FF000000"/>
        <rFont val="Calibri"/>
      </rPr>
      <t xml:space="preserve">3. Select the </t>
    </r>
    <r>
      <rPr>
        <b/>
        <sz val="11"/>
        <color rgb="FF000000"/>
        <rFont val="Calibri"/>
      </rPr>
      <t>Global (Org-wide default)</t>
    </r>
    <r>
      <rPr>
        <sz val="11"/>
        <color rgb="FF000000"/>
        <rFont val="Calibri"/>
      </rPr>
      <t xml:space="preserve"> policy.</t>
    </r>
    <r>
      <rPr>
        <sz val="11"/>
        <color rgb="FF000000"/>
        <rFont val="Calibri"/>
      </rPr>
      <t xml:space="preserve">
</t>
    </r>
    <r>
      <rPr>
        <sz val="11"/>
        <color rgb="FF000000"/>
        <rFont val="Calibri"/>
      </rPr>
      <t xml:space="preserve">4. Under the </t>
    </r>
    <r>
      <rPr>
        <b/>
        <sz val="11"/>
        <color rgb="FF000000"/>
        <rFont val="Calibri"/>
      </rPr>
      <t>Meeting join &amp; lobby</t>
    </r>
    <r>
      <rPr>
        <sz val="11"/>
        <color rgb="FF000000"/>
        <rFont val="Calibri"/>
      </rPr>
      <t xml:space="preserve"> section, ensure </t>
    </r>
    <r>
      <rPr>
        <b/>
        <sz val="11"/>
        <color rgb="FF000000"/>
        <rFont val="Calibri"/>
      </rPr>
      <t>Who can bypass the lobby</t>
    </r>
    <r>
      <rPr>
        <sz val="11"/>
        <color rgb="FF000000"/>
        <rFont val="Calibri"/>
      </rPr>
      <t xml:space="preserve"> is set to </t>
    </r>
    <r>
      <rPr>
        <b/>
        <sz val="11"/>
        <color rgb="FF000000"/>
        <rFont val="Calibri"/>
      </rPr>
      <t>People in my org</t>
    </r>
    <r>
      <rPr>
        <sz val="11"/>
        <color rgb="FF000000"/>
        <rFont val="Calibri"/>
      </rPr>
      <t>.</t>
    </r>
    <r>
      <rPr>
        <sz val="11"/>
        <color rgb="FF000000"/>
        <rFont val="Calibri"/>
      </rPr>
      <t xml:space="preserve">
</t>
    </r>
    <r>
      <rPr>
        <sz val="11"/>
        <color rgb="FF000000"/>
        <rFont val="Calibri"/>
      </rPr>
      <t xml:space="preserve">5. In the same section, set </t>
    </r>
    <r>
      <rPr>
        <b/>
        <sz val="11"/>
        <color rgb="FF000000"/>
        <rFont val="Calibri"/>
      </rPr>
      <t>People dialing in can bypass the lobby</t>
    </r>
    <r>
      <rPr>
        <sz val="11"/>
        <color rgb="FF000000"/>
        <rFont val="Calibri"/>
      </rPr>
      <t xml:space="preserve"> to </t>
    </r>
    <r>
      <rPr>
        <b/>
        <sz val="11"/>
        <color rgb="FF000000"/>
        <rFont val="Calibri"/>
      </rPr>
      <t>Off</t>
    </r>
    <r>
      <rPr>
        <sz val="11"/>
        <color rgb="FF000000"/>
        <rFont val="Calibri"/>
      </rPr>
      <t>.</t>
    </r>
  </si>
  <si>
    <r>
      <rPr>
        <sz val="11"/>
        <color rgb="FF000000"/>
        <rFont val="Calibri"/>
      </rPr>
      <t>Requiring internal users to wait in the lobby for explicit admission can lead to admission fatigue. This policy enables internal users to be automatically admitted to the meeting through global policy.</t>
    </r>
  </si>
  <si>
    <t>MS.TEAMS.1.5v1</t>
  </si>
  <si>
    <r>
      <rPr>
        <sz val="11"/>
        <color rgb="FF000000"/>
        <rFont val="Calibri"/>
      </rPr>
      <t>Dial-in users SHOULD NOT be enabled to bypass the lobby.</t>
    </r>
  </si>
  <si>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Meetings</t>
    </r>
    <r>
      <rPr>
        <sz val="11"/>
        <color rgb="FF000000"/>
        <rFont val="Calibri"/>
      </rPr>
      <t xml:space="preserve"> &gt; </t>
    </r>
    <r>
      <rPr>
        <b/>
        <sz val="11"/>
        <color rgb="FF000000"/>
        <rFont val="Calibri"/>
      </rPr>
      <t>Meeting policies</t>
    </r>
    <r>
      <rPr>
        <sz val="11"/>
        <color rgb="FF000000"/>
        <rFont val="Calibri"/>
      </rPr>
      <t>.</t>
    </r>
    <r>
      <rPr>
        <sz val="11"/>
        <color rgb="FF000000"/>
        <rFont val="Calibri"/>
      </rPr>
      <t xml:space="preserve">
</t>
    </r>
    <r>
      <rPr>
        <sz val="11"/>
        <color rgb="FF000000"/>
        <rFont val="Calibri"/>
      </rPr>
      <t xml:space="preserve">3. Select the </t>
    </r>
    <r>
      <rPr>
        <b/>
        <sz val="11"/>
        <color rgb="FF000000"/>
        <rFont val="Calibri"/>
      </rPr>
      <t>Global (Org-wide default)</t>
    </r>
    <r>
      <rPr>
        <sz val="11"/>
        <color rgb="FF000000"/>
        <rFont val="Calibri"/>
      </rPr>
      <t xml:space="preserve"> policy.</t>
    </r>
    <r>
      <rPr>
        <sz val="11"/>
        <color rgb="FF000000"/>
        <rFont val="Calibri"/>
      </rPr>
      <t xml:space="preserve">
</t>
    </r>
    <r>
      <rPr>
        <sz val="11"/>
        <color rgb="FF000000"/>
        <rFont val="Calibri"/>
      </rPr>
      <t xml:space="preserve">4. Under the </t>
    </r>
    <r>
      <rPr>
        <b/>
        <sz val="11"/>
        <color rgb="FF000000"/>
        <rFont val="Calibri"/>
      </rPr>
      <t>Meeting join &amp; lobby</t>
    </r>
    <r>
      <rPr>
        <sz val="11"/>
        <color rgb="FF000000"/>
        <rFont val="Calibri"/>
      </rPr>
      <t xml:space="preserve"> section, set </t>
    </r>
    <r>
      <rPr>
        <b/>
        <sz val="11"/>
        <color rgb="FF000000"/>
        <rFont val="Calibri"/>
      </rPr>
      <t>People dialing in can bypass the lobby</t>
    </r>
    <r>
      <rPr>
        <sz val="11"/>
        <color rgb="FF000000"/>
        <rFont val="Calibri"/>
      </rPr>
      <t xml:space="preserve"> to </t>
    </r>
    <r>
      <rPr>
        <b/>
        <sz val="11"/>
        <color rgb="FF000000"/>
        <rFont val="Calibri"/>
      </rPr>
      <t>Off</t>
    </r>
    <r>
      <rPr>
        <sz val="11"/>
        <color rgb="FF000000"/>
        <rFont val="Calibri"/>
      </rPr>
      <t>.</t>
    </r>
  </si>
  <si>
    <r>
      <rPr>
        <sz val="11"/>
        <color rgb="FF000000"/>
        <rFont val="Calibri"/>
      </rPr>
      <t>Automatically admitting dial-in users reduces control over who can participate in a meeting and increases potential for data breaches. This policy reduces the risk by requiring all dial-in users to wait in a lobby until they are admitted by an authorized meeting participant.</t>
    </r>
  </si>
  <si>
    <t>MS.TEAMS.1.6v1</t>
  </si>
  <si>
    <r>
      <rPr>
        <sz val="11"/>
        <color rgb="FF000000"/>
        <rFont val="Calibri"/>
      </rPr>
      <t>Meeting recording SHOULD be disabled.</t>
    </r>
  </si>
  <si>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Meetings</t>
    </r>
    <r>
      <rPr>
        <sz val="11"/>
        <color rgb="FF000000"/>
        <rFont val="Calibri"/>
      </rPr>
      <t xml:space="preserve"> &gt; </t>
    </r>
    <r>
      <rPr>
        <b/>
        <sz val="11"/>
        <color rgb="FF000000"/>
        <rFont val="Calibri"/>
      </rPr>
      <t>Meeting policies</t>
    </r>
    <r>
      <rPr>
        <sz val="11"/>
        <color rgb="FF000000"/>
        <rFont val="Calibri"/>
      </rPr>
      <t>.</t>
    </r>
    <r>
      <rPr>
        <sz val="11"/>
        <color rgb="FF000000"/>
        <rFont val="Calibri"/>
      </rPr>
      <t xml:space="preserve">
</t>
    </r>
    <r>
      <rPr>
        <sz val="11"/>
        <color rgb="FF000000"/>
        <rFont val="Calibri"/>
      </rPr>
      <t xml:space="preserve">3. Select the </t>
    </r>
    <r>
      <rPr>
        <b/>
        <sz val="11"/>
        <color rgb="FF000000"/>
        <rFont val="Calibri"/>
      </rPr>
      <t>Global (Org-wide default)</t>
    </r>
    <r>
      <rPr>
        <sz val="11"/>
        <color rgb="FF000000"/>
        <rFont val="Calibri"/>
      </rPr>
      <t xml:space="preserve"> policy.</t>
    </r>
    <r>
      <rPr>
        <sz val="11"/>
        <color rgb="FF000000"/>
        <rFont val="Calibri"/>
      </rPr>
      <t xml:space="preserve">
</t>
    </r>
    <r>
      <rPr>
        <sz val="11"/>
        <color rgb="FF000000"/>
        <rFont val="Calibri"/>
      </rPr>
      <t xml:space="preserve">4. Under the </t>
    </r>
    <r>
      <rPr>
        <b/>
        <sz val="11"/>
        <color rgb="FF000000"/>
        <rFont val="Calibri"/>
      </rPr>
      <t>Recording &amp; transcription</t>
    </r>
    <r>
      <rPr>
        <sz val="11"/>
        <color rgb="FF000000"/>
        <rFont val="Calibri"/>
      </rPr>
      <t xml:space="preserve"> section, set </t>
    </r>
    <r>
      <rPr>
        <b/>
        <sz val="11"/>
        <color rgb="FF000000"/>
        <rFont val="Calibri"/>
      </rPr>
      <t>Meeting recording</t>
    </r>
    <r>
      <rPr>
        <sz val="11"/>
        <color rgb="FF000000"/>
        <rFont val="Calibri"/>
      </rPr>
      <t xml:space="preserve"> to </t>
    </r>
    <r>
      <rPr>
        <b/>
        <sz val="11"/>
        <color rgb="FF000000"/>
        <rFont val="Calibri"/>
      </rPr>
      <t>Off</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</si>
  <si>
    <r>
      <rPr>
        <sz val="11"/>
        <color rgb="FF000000"/>
        <rFont val="Calibri"/>
      </rPr>
      <t>Allowing any user to record a Teams meeting or group call may lead to unauthorized disclosure of shared information, including audio, video, and shared screens. By disabling the meeting recording setting in the Global (Org-wide default) meeting policy, an agency limits information exposure.</t>
    </r>
  </si>
  <si>
    <t>MS.TEAMS.1.7v2</t>
  </si>
  <si>
    <r>
      <rPr>
        <sz val="11"/>
        <color rgb="FF000000"/>
        <rFont val="Calibri"/>
      </rPr>
      <t>Record an event SHOULD NOT be set to Always record.</t>
    </r>
  </si>
  <si>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Meetings</t>
    </r>
    <r>
      <rPr>
        <sz val="11"/>
        <color rgb="FF000000"/>
        <rFont val="Calibri"/>
      </rPr>
      <t xml:space="preserve"> &gt; </t>
    </r>
    <r>
      <rPr>
        <b/>
        <sz val="11"/>
        <color rgb="FF000000"/>
        <rFont val="Calibri"/>
      </rPr>
      <t>Live events policies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Global (Org-wide default)</t>
    </r>
    <r>
      <rPr>
        <sz val="11"/>
        <color rgb="FF000000"/>
        <rFont val="Calibri"/>
      </rPr>
      <t xml:space="preserve"> policy.</t>
    </r>
    <r>
      <rPr>
        <sz val="11"/>
        <color rgb="FF000000"/>
        <rFont val="Calibri"/>
      </rPr>
      <t xml:space="preserve">
</t>
    </r>
    <r>
      <rPr>
        <sz val="11"/>
        <color rgb="FF000000"/>
        <rFont val="Calibri"/>
      </rPr>
      <t xml:space="preserve">4. Set </t>
    </r>
    <r>
      <rPr>
        <b/>
        <sz val="11"/>
        <color rgb="FF000000"/>
        <rFont val="Calibri"/>
      </rPr>
      <t>Record an event</t>
    </r>
    <r>
      <rPr>
        <sz val="11"/>
        <color rgb="FF000000"/>
        <rFont val="Calibri"/>
      </rPr>
      <t xml:space="preserve"> to either </t>
    </r>
    <r>
      <rPr>
        <b/>
        <sz val="11"/>
        <color rgb="FF000000"/>
        <rFont val="Calibri"/>
      </rPr>
      <t>Organizer can record</t>
    </r>
    <r>
      <rPr>
        <sz val="11"/>
        <color rgb="FF000000"/>
        <rFont val="Calibri"/>
      </rPr>
      <t xml:space="preserve"> or </t>
    </r>
    <r>
      <rPr>
        <b/>
        <sz val="11"/>
        <color rgb="FF000000"/>
        <rFont val="Calibri"/>
      </rPr>
      <t>Never record</t>
    </r>
    <r>
      <rPr>
        <sz val="11"/>
        <color rgb="FF000000"/>
        <rFont val="Calibri"/>
      </rPr>
      <t xml:space="preserve">
</t>
    </r>
    <r>
      <rPr>
        <sz val="11"/>
        <color rgb="FF000000"/>
        <rFont val="Calibri"/>
      </rPr>
      <t xml:space="preserve">5. Click </t>
    </r>
    <r>
      <rPr>
        <b/>
        <sz val="11"/>
        <color rgb="FF000000"/>
        <rFont val="Calibri"/>
      </rPr>
      <t>Save</t>
    </r>
    <r>
      <rPr>
        <sz val="11"/>
        <color rgb="FF000000"/>
        <rFont val="Calibri"/>
      </rPr>
      <t>.</t>
    </r>
    <r>
      <rPr>
        <sz val="11"/>
        <color rgb="FF000000"/>
        <rFont val="Calibri"/>
      </rPr>
      <t xml:space="preserve">
</t>
    </r>
    <r>
      <rPr>
        <sz val="11"/>
        <color rgb="FF000000"/>
        <rFont val="Calibri"/>
      </rPr>
      <t>6. If custom policies were created, repeat these steps for each policy, selecting the appropriate policy in step 3.</t>
    </r>
  </si>
  <si>
    <r>
      <rPr>
        <sz val="11"/>
        <color rgb="FF000000"/>
        <rFont val="Calibri"/>
      </rPr>
      <t>Limiting recording permissions to only the organizer minimizes the security risk to the organizer's discretion for these Live Events, reducing data leakage and other security risks. Administrators can also disable recording for all live events.</t>
    </r>
  </si>
  <si>
    <t>External User Access</t>
  </si>
  <si>
    <t>MS.TEAMS.2.1v2</t>
  </si>
  <si>
    <r>
      <rPr>
        <sz val="11"/>
        <color rgb="FF000000"/>
        <rFont val="Calibri"/>
      </rPr>
      <t>External access for users SHALL only be enabled on a per-domain basis.</t>
    </r>
  </si>
  <si>
    <t>SHALL</t>
  </si>
  <si>
    <r>
      <rPr>
        <sz val="11"/>
        <color rgb="FF000000"/>
        <rFont val="Calibri"/>
      </rPr>
      <t xml:space="preserve">Steps for the unmanaged users are outlined in Manage chat with external Teams users not managed by an organization </t>
    </r>
    <r>
      <rPr>
        <sz val="11"/>
        <color rgb="FF0000FF"/>
        <rFont val="Calibri"/>
      </rPr>
      <t>(https://learn.microsoft.com/en-us/microsoftteams/manage-external-access#manage-chat-with-external-teams-users-not-managed-by-an-organization)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To enable external access for only specific domains:</t>
    </r>
    <r>
      <rPr>
        <sz val="11"/>
        <color rgb="FF000000"/>
        <rFont val="Calibri"/>
      </rPr>
      <t xml:space="preserve">
</t>
    </r>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Users</t>
    </r>
    <r>
      <rPr>
        <sz val="11"/>
        <color rgb="FF000000"/>
        <rFont val="Calibri"/>
      </rPr>
      <t xml:space="preserve"> &gt; </t>
    </r>
    <r>
      <rPr>
        <b/>
        <sz val="11"/>
        <color rgb="FF000000"/>
        <rFont val="Calibri"/>
      </rPr>
      <t>External access</t>
    </r>
    <r>
      <rPr>
        <sz val="11"/>
        <color rgb="FF000000"/>
        <rFont val="Calibri"/>
      </rPr>
      <t xml:space="preserve"> &gt; </t>
    </r>
    <r>
      <rPr>
        <b/>
        <sz val="11"/>
        <color rgb="FF000000"/>
        <rFont val="Calibri"/>
      </rPr>
      <t>Organization settings</t>
    </r>
    <r>
      <rPr>
        <sz val="11"/>
        <color rgb="FF000000"/>
        <rFont val="Calibri"/>
      </rPr>
      <t>.</t>
    </r>
    <r>
      <rPr>
        <sz val="11"/>
        <color rgb="FF000000"/>
        <rFont val="Calibri"/>
      </rPr>
      <t xml:space="preserve">
</t>
    </r>
    <r>
      <rPr>
        <sz val="11"/>
        <color rgb="FF000000"/>
        <rFont val="Calibri"/>
      </rPr>
      <t xml:space="preserve">3. Next to </t>
    </r>
    <r>
      <rPr>
        <b/>
        <sz val="11"/>
        <color rgb="FF000000"/>
        <rFont val="Calibri"/>
      </rPr>
      <t>Teams and Skype for Business users in external organizations</t>
    </r>
    <r>
      <rPr>
        <sz val="11"/>
        <color rgb="FF000000"/>
        <rFont val="Calibri"/>
      </rPr>
      <t xml:space="preserve">, select </t>
    </r>
    <r>
      <rPr>
        <b/>
        <sz val="11"/>
        <color rgb="FF000000"/>
        <rFont val="Calibri"/>
      </rPr>
      <t>Allow only specific external domains</t>
    </r>
    <r>
      <rPr>
        <sz val="11"/>
        <color rgb="FF000000"/>
        <rFont val="Calibri"/>
      </rPr>
      <t xml:space="preserve">
</t>
    </r>
    <r>
      <rPr>
        <sz val="11"/>
        <color rgb="FF000000"/>
        <rFont val="Calibri"/>
      </rPr>
      <t xml:space="preserve">4. Select </t>
    </r>
    <r>
      <rPr>
        <b/>
        <sz val="11"/>
        <color rgb="FF000000"/>
        <rFont val="Calibri"/>
      </rPr>
      <t>Add external domains</t>
    </r>
    <r>
      <rPr>
        <sz val="11"/>
        <color rgb="FF000000"/>
        <rFont val="Calibri"/>
      </rPr>
      <t xml:space="preserve">. Enter domains allowed, and then select </t>
    </r>
    <r>
      <rPr>
        <b/>
        <sz val="11"/>
        <color rgb="FF000000"/>
        <rFont val="Calibri"/>
      </rPr>
      <t>Done</t>
    </r>
    <r>
      <rPr>
        <sz val="11"/>
        <color rgb="FF000000"/>
        <rFont val="Calibri"/>
      </rPr>
      <t xml:space="preserve">
</t>
    </r>
    <r>
      <rPr>
        <b/>
        <sz val="11"/>
        <color rgb="FF000000"/>
        <rFont val="Calibri"/>
      </rPr>
      <t>NOTE:</t>
    </r>
    <r>
      <rPr>
        <sz val="11"/>
        <color rgb="FF000000"/>
        <rFont val="Calibri"/>
      </rPr>
      <t xml:space="preserve"> Domains will need to be added in this step in order for users to communicate with them.</t>
    </r>
    <r>
      <rPr>
        <sz val="11"/>
        <color rgb="FF000000"/>
        <rFont val="Calibri"/>
      </rPr>
      <t xml:space="preserve">
</t>
    </r>
    <r>
      <rPr>
        <sz val="11"/>
        <color rgb="FF000000"/>
        <rFont val="Calibri"/>
      </rPr>
      <t xml:space="preserve">1. Click </t>
    </r>
    <r>
      <rPr>
        <b/>
        <sz val="11"/>
        <color rgb="FF000000"/>
        <rFont val="Calibri"/>
      </rPr>
      <t>Save</t>
    </r>
    <r>
      <rPr>
        <sz val="11"/>
        <color rgb="FF000000"/>
        <rFont val="Calibri"/>
      </rPr>
      <t>.</t>
    </r>
  </si>
  <si>
    <r>
      <rPr>
        <sz val="11"/>
        <color rgb="FF000000"/>
        <rFont val="Calibri"/>
      </rPr>
      <t>The default configuration allows members to communicate with all external users with similar access permissions. Unrestricted access can lead to data breaches and other security threats. This policy provides protection against threats posed by unrestricted access by allowing communication with only trusted domains.</t>
    </r>
  </si>
  <si>
    <r>
      <rPr>
        <sz val="11"/>
        <color rgb="FF000000"/>
        <rFont val="Calibri"/>
      </rPr>
      <t>This section helps reduce security risks related to external and unmanaged user access. In this instance, external users refer to members of a different M365 tenant, and unmanaged users refer to users who are not members of any M365 tenant or organization.</t>
    </r>
    <r>
      <rPr>
        <sz val="11"/>
        <color rgb="FF000000"/>
        <rFont val="Calibri"/>
      </rPr>
      <t xml:space="preserve">
</t>
    </r>
    <r>
      <rPr>
        <sz val="11"/>
        <color rgb="FF000000"/>
        <rFont val="Calibri"/>
      </rPr>
      <t>External access allows external users to look up internal users by their email address to initiate chats and calls entirely within Teams. Blocking external access prevents external users from using Teams as an avenue for reconnaissance or phishing. Even with external access disabled, external users will still be able to join Teams calls, assuming anonymous join is enabled. Depending on agency need, if both external access and anonymous join are blocked—neither required nor recommended by this baseline—external collaborators would only be able to attend meetings if added as B2B guest users.</t>
    </r>
    <r>
      <rPr>
        <sz val="11"/>
        <color rgb="FF000000"/>
        <rFont val="Calibri"/>
      </rPr>
      <t xml:space="preserve">
</t>
    </r>
    <r>
      <rPr>
        <sz val="11"/>
        <color rgb="FF000000"/>
        <rFont val="Calibri"/>
      </rPr>
      <t xml:space="preserve">External access may be granted on a per-domain basis. This may be desirable in some cases (e.g., for agency-to-agency collaboration). See the Chief Information Officer Council's Interagency Collaboration Program </t>
    </r>
    <r>
      <rPr>
        <sz val="11"/>
        <color rgb="FF0000FF"/>
        <rFont val="Calibri"/>
      </rPr>
      <t>(https://community.max.gov/display/Egov/Interagency+Collaboration+Program)</t>
    </r>
    <r>
      <rPr>
        <sz val="11"/>
        <color rgb="FF000000"/>
        <rFont val="Calibri"/>
      </rPr>
      <t xml:space="preserve"> Office of Management and Budget MA site for a list of .gov domains for sharing.</t>
    </r>
    <r>
      <rPr>
        <sz val="11"/>
        <color rgb="FF000000"/>
        <rFont val="Calibri"/>
      </rPr>
      <t xml:space="preserve">
</t>
    </r>
    <r>
      <rPr>
        <sz val="11"/>
        <color rgb="FF000000"/>
        <rFont val="Calibri"/>
      </rPr>
      <t>Similar to external users, blocking contact with unmanaged Teams users prevents these users from looking up internal users by their email address and initiating chats and calls within Teams. These users would still be able to join calls, assuming anonymous join is enabled. Additionally, unmanaged users may be added to Teams chats if the internal user initiates the contact.</t>
    </r>
  </si>
  <si>
    <r>
      <rPr>
        <b/>
        <sz val="11"/>
        <color rgb="FF000000"/>
        <rFont val="Calibri"/>
      </rPr>
      <t>IT Admins - Manage external meetings and chat with people and organizations using Microsoft identities | Microsoft Learn</t>
    </r>
    <r>
      <rPr>
        <sz val="11"/>
        <color rgb="FF000000"/>
        <rFont val="Calibri"/>
      </rPr>
      <t xml:space="preserve">
</t>
    </r>
    <r>
      <rPr>
        <sz val="11"/>
        <color rgb="FF0000FF"/>
        <rFont val="Calibri"/>
      </rPr>
      <t>https://learn.microsoft.com/en-us/microsoftteams/manage-external-access</t>
    </r>
    <r>
      <rPr>
        <sz val="11"/>
        <color rgb="FF000000"/>
        <rFont val="Calibri"/>
      </rPr>
      <t xml:space="preserve">
</t>
    </r>
    <r>
      <rPr>
        <b/>
        <sz val="11"/>
        <color rgb="FF000000"/>
        <rFont val="Calibri"/>
      </rPr>
      <t>Teams settings and policies reference | Microsoft Learn</t>
    </r>
    <r>
      <rPr>
        <sz val="11"/>
        <color rgb="FF000000"/>
        <rFont val="Calibri"/>
      </rPr>
      <t xml:space="preserve">
</t>
    </r>
    <r>
      <rPr>
        <sz val="11"/>
        <color rgb="FF0000FF"/>
        <rFont val="Calibri"/>
      </rPr>
      <t>https://learn.microsoft.com/en-us/microsoftteams/meeting-settings-in-teams#allow-anonymous-users-to-join-meetings</t>
    </r>
    <r>
      <rPr>
        <sz val="11"/>
        <color rgb="FF000000"/>
        <rFont val="Calibri"/>
      </rPr>
      <t xml:space="preserve">
</t>
    </r>
    <r>
      <rPr>
        <b/>
        <sz val="11"/>
        <color rgb="FF000000"/>
        <rFont val="Calibri"/>
      </rPr>
      <t>Use guest access and external access to collaborate with people outside your organization | Microsoft Learn</t>
    </r>
    <r>
      <rPr>
        <sz val="11"/>
        <color rgb="FF000000"/>
        <rFont val="Calibri"/>
      </rPr>
      <t xml:space="preserve">
</t>
    </r>
    <r>
      <rPr>
        <sz val="11"/>
        <color rgb="FF0000FF"/>
        <rFont val="Calibri"/>
      </rPr>
      <t>https://learn.microsoft.com/en-us/microsoftteams/communicate-with-users-from-other-organizations</t>
    </r>
    <r>
      <rPr>
        <sz val="11"/>
        <color rgb="FF000000"/>
        <rFont val="Calibri"/>
      </rPr>
      <t xml:space="preserve">
</t>
    </r>
    <r>
      <rPr>
        <b/>
        <sz val="11"/>
        <color rgb="FF000000"/>
        <rFont val="Calibri"/>
      </rPr>
      <t>Manage chat with external Teams users not managed by an organization | Microsoft Learn</t>
    </r>
    <r>
      <rPr>
        <sz val="11"/>
        <color rgb="FF000000"/>
        <rFont val="Calibri"/>
      </rPr>
      <t xml:space="preserve">
</t>
    </r>
    <r>
      <rPr>
        <sz val="11"/>
        <color rgb="FF0000FF"/>
        <rFont val="Calibri"/>
      </rPr>
      <t>https://learn.microsoft.com/en-us/microsoftteams/manage-external-access#manage-chat-with-external-teams-users-not-managed-by-an-organization</t>
    </r>
  </si>
  <si>
    <t>MS.TEAMS.2.2v2</t>
  </si>
  <si>
    <r>
      <rPr>
        <sz val="11"/>
        <color rgb="FF000000"/>
        <rFont val="Calibri"/>
      </rPr>
      <t>Unmanaged users SHALL NOT be enabled to initiate contact with internal users.</t>
    </r>
  </si>
  <si>
    <r>
      <rPr>
        <sz val="11"/>
        <color rgb="FF000000"/>
        <rFont val="Calibri"/>
      </rPr>
      <t xml:space="preserve">Steps for the unmanaged users are outlined in Manage chat with external Teams users not managed by an organization </t>
    </r>
    <r>
      <rPr>
        <sz val="11"/>
        <color rgb="FF0000FF"/>
        <rFont val="Calibri"/>
      </rPr>
      <t>(https://learn.microsoft.com/en-us/microsoftteams/manage-external-access#manage-chat-with-external-teams-users-not-managed-by-an-organization)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Users &gt; External access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Global (Org-wide Default)</t>
    </r>
    <r>
      <rPr>
        <sz val="11"/>
        <color rgb="FF000000"/>
        <rFont val="Calibri"/>
      </rPr>
      <t>.</t>
    </r>
    <r>
      <rPr>
        <sz val="11"/>
        <color rgb="FF000000"/>
        <rFont val="Calibri"/>
      </rPr>
      <t xml:space="preserve">
</t>
    </r>
    <r>
      <rPr>
        <sz val="11"/>
        <color rgb="FF000000"/>
        <rFont val="Calibri"/>
      </rPr>
      <t xml:space="preserve">5. Under </t>
    </r>
    <r>
      <rPr>
        <b/>
        <sz val="11"/>
        <color rgb="FF000000"/>
        <rFont val="Calibri"/>
      </rPr>
      <t>Edit policy details</t>
    </r>
    <r>
      <rPr>
        <sz val="11"/>
        <color rgb="FF000000"/>
        <rFont val="Calibri"/>
      </rPr>
      <t xml:space="preserve">, toggle </t>
    </r>
    <r>
      <rPr>
        <b/>
        <sz val="11"/>
        <color rgb="FF000000"/>
        <rFont val="Calibri"/>
      </rPr>
      <t>People in my organization can communicate with unmanaged Teams accounts</t>
    </r>
    <r>
      <rPr>
        <sz val="11"/>
        <color rgb="FF000000"/>
        <rFont val="Calibri"/>
      </rPr>
      <t xml:space="preserve"> to one of the following:</t>
    </r>
    <r>
      <rPr>
        <sz val="11"/>
        <color rgb="FF000000"/>
        <rFont val="Calibri"/>
      </rPr>
      <t xml:space="preserve">
</t>
    </r>
    <r>
      <rPr>
        <sz val="11"/>
        <color rgb="FF000000"/>
        <rFont val="Calibri"/>
      </rPr>
      <t xml:space="preserve">2. To completely block contact with unmanaged users, toggle the setting to </t>
    </r>
    <r>
      <rPr>
        <b/>
        <sz val="11"/>
        <color rgb="FF000000"/>
        <rFont val="Calibri"/>
      </rPr>
      <t>Off</t>
    </r>
    <r>
      <rPr>
        <sz val="11"/>
        <color rgb="FF000000"/>
        <rFont val="Calibri"/>
      </rPr>
      <t>.</t>
    </r>
    <r>
      <rPr>
        <sz val="11"/>
        <color rgb="FF000000"/>
        <rFont val="Calibri"/>
      </rPr>
      <t xml:space="preserve">
</t>
    </r>
    <r>
      <rPr>
        <sz val="11"/>
        <color rgb="FF000000"/>
        <rFont val="Calibri"/>
      </rPr>
      <t>3. To allow contact with unmanaged users only if the internal user initiates the contact:</t>
    </r>
    <r>
      <rPr>
        <sz val="11"/>
        <color rgb="FF000000"/>
        <rFont val="Calibri"/>
      </rPr>
      <t xml:space="preserve">
</t>
    </r>
    <r>
      <rPr>
        <sz val="11"/>
        <color rgb="FF000000"/>
        <rFont val="Calibri"/>
      </rPr>
      <t xml:space="preserve">- Toggle the setting to </t>
    </r>
    <r>
      <rPr>
        <b/>
        <sz val="11"/>
        <color rgb="FF000000"/>
        <rFont val="Calibri"/>
      </rPr>
      <t>On</t>
    </r>
    <r>
      <rPr>
        <sz val="11"/>
        <color rgb="FF000000"/>
        <rFont val="Calibri"/>
      </rPr>
      <t>.</t>
    </r>
    <r>
      <rPr>
        <sz val="11"/>
        <color rgb="FF000000"/>
        <rFont val="Calibri"/>
      </rPr>
      <t xml:space="preserve">
</t>
    </r>
    <r>
      <rPr>
        <sz val="11"/>
        <color rgb="FF000000"/>
        <rFont val="Calibri"/>
      </rPr>
      <t xml:space="preserve">- Clear the check next to </t>
    </r>
    <r>
      <rPr>
        <b/>
        <sz val="11"/>
        <color rgb="FF000000"/>
        <rFont val="Calibri"/>
      </rPr>
      <t>External users with Teams accounts not managed by an organization can contact users in my organization</t>
    </r>
    <r>
      <rPr>
        <sz val="11"/>
        <color rgb="FF000000"/>
        <rFont val="Calibri"/>
      </rPr>
      <t>.</t>
    </r>
  </si>
  <si>
    <r>
      <rPr>
        <sz val="11"/>
        <color rgb="FF000000"/>
        <rFont val="Calibri"/>
      </rPr>
      <t>Allowing contact from unmanaged users can expose users to email and contact address harvesting. This policy provides protection against this type of harvesting.</t>
    </r>
  </si>
  <si>
    <t>MS.TEAMS.2.3v2</t>
  </si>
  <si>
    <r>
      <rPr>
        <sz val="11"/>
        <color rgb="FF000000"/>
        <rFont val="Calibri"/>
      </rPr>
      <t>Internal users SHOULD NOT be enabled to initiate contact with unmanaged users.</t>
    </r>
  </si>
  <si>
    <r>
      <rPr>
        <sz val="11"/>
        <color rgb="FF000000"/>
        <rFont val="Calibri"/>
      </rPr>
      <t xml:space="preserve">Steps for the unmanaged users are outlined in Manage chat with external Teams users not managed by an organization </t>
    </r>
    <r>
      <rPr>
        <sz val="11"/>
        <color rgb="FF0000FF"/>
        <rFont val="Calibri"/>
      </rPr>
      <t>(https://learn.microsoft.com/en-us/microsoftteams/manage-external-access#manage-chat-with-external-teams-users-not-managed-by-an-organization)</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Users &gt; External access</t>
    </r>
    <r>
      <rPr>
        <sz val="11"/>
        <color rgb="FF000000"/>
        <rFont val="Calibri"/>
      </rPr>
      <t>.</t>
    </r>
    <r>
      <rPr>
        <sz val="11"/>
        <color rgb="FF000000"/>
        <rFont val="Calibri"/>
      </rPr>
      <t xml:space="preserve">
</t>
    </r>
    <r>
      <rPr>
        <sz val="11"/>
        <color rgb="FF000000"/>
        <rFont val="Calibri"/>
      </rPr>
      <t xml:space="preserve">3. Select </t>
    </r>
    <r>
      <rPr>
        <b/>
        <sz val="11"/>
        <color rgb="FF000000"/>
        <rFont val="Calibri"/>
      </rPr>
      <t>Policies</t>
    </r>
    <r>
      <rPr>
        <sz val="11"/>
        <color rgb="FF000000"/>
        <rFont val="Calibri"/>
      </rPr>
      <t>.</t>
    </r>
    <r>
      <rPr>
        <sz val="11"/>
        <color rgb="FF000000"/>
        <rFont val="Calibri"/>
      </rPr>
      <t xml:space="preserve">
</t>
    </r>
    <r>
      <rPr>
        <sz val="11"/>
        <color rgb="FF000000"/>
        <rFont val="Calibri"/>
      </rPr>
      <t xml:space="preserve">4. Select </t>
    </r>
    <r>
      <rPr>
        <b/>
        <sz val="11"/>
        <color rgb="FF000000"/>
        <rFont val="Calibri"/>
      </rPr>
      <t>Global (Org-wide Default)</t>
    </r>
    <r>
      <rPr>
        <sz val="11"/>
        <color rgb="FF000000"/>
        <rFont val="Calibri"/>
      </rPr>
      <t>.</t>
    </r>
    <r>
      <rPr>
        <sz val="11"/>
        <color rgb="FF000000"/>
        <rFont val="Calibri"/>
      </rPr>
      <t xml:space="preserve">
</t>
    </r>
    <r>
      <rPr>
        <sz val="11"/>
        <color rgb="FF000000"/>
        <rFont val="Calibri"/>
      </rPr>
      <t xml:space="preserve">5. To completely block contact with unmanaged users, under </t>
    </r>
    <r>
      <rPr>
        <b/>
        <sz val="11"/>
        <color rgb="FF000000"/>
        <rFont val="Calibri"/>
      </rPr>
      <t>Edit policy details</t>
    </r>
    <r>
      <rPr>
        <sz val="11"/>
        <color rgb="FF000000"/>
        <rFont val="Calibri"/>
      </rPr>
      <t xml:space="preserve">, set </t>
    </r>
    <r>
      <rPr>
        <b/>
        <sz val="11"/>
        <color rgb="FF000000"/>
        <rFont val="Calibri"/>
      </rPr>
      <t>People in my organization can communicate with unmanaged Teams accounts</t>
    </r>
    <r>
      <rPr>
        <sz val="11"/>
        <color rgb="FF000000"/>
        <rFont val="Calibri"/>
      </rPr>
      <t xml:space="preserve"> to </t>
    </r>
    <r>
      <rPr>
        <b/>
        <sz val="11"/>
        <color rgb="FF000000"/>
        <rFont val="Calibri"/>
      </rPr>
      <t>Off</t>
    </r>
    <r>
      <rPr>
        <sz val="11"/>
        <color rgb="FF000000"/>
        <rFont val="Calibri"/>
      </rPr>
      <t>.</t>
    </r>
  </si>
  <si>
    <r>
      <rPr>
        <sz val="11"/>
        <color rgb="FF000000"/>
        <rFont val="Calibri"/>
      </rPr>
      <t>Contact with unmanaged users can pose the risk of data leakage and other security threats. This policy provides protection by disabling internal user access to unmanaged users.</t>
    </r>
  </si>
  <si>
    <t>Teams Email Integration</t>
  </si>
  <si>
    <t>MS.TEAMS.4.1v1</t>
  </si>
  <si>
    <r>
      <rPr>
        <sz val="11"/>
        <color rgb="FF000000"/>
        <rFont val="Calibri"/>
      </rPr>
      <t>Teams email integration SHALL be disabled.</t>
    </r>
  </si>
  <si>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Teams</t>
    </r>
    <r>
      <rPr>
        <sz val="11"/>
        <color rgb="FF000000"/>
        <rFont val="Calibri"/>
      </rPr>
      <t xml:space="preserve"> &gt; </t>
    </r>
    <r>
      <rPr>
        <b/>
        <sz val="11"/>
        <color rgb="FF000000"/>
        <rFont val="Calibri"/>
      </rPr>
      <t>Teams Settings</t>
    </r>
    <r>
      <rPr>
        <sz val="11"/>
        <color rgb="FF000000"/>
        <rFont val="Calibri"/>
      </rPr>
      <t>.</t>
    </r>
    <r>
      <rPr>
        <sz val="11"/>
        <color rgb="FF000000"/>
        <rFont val="Calibri"/>
      </rPr>
      <t xml:space="preserve">
</t>
    </r>
    <r>
      <rPr>
        <sz val="11"/>
        <color rgb="FF000000"/>
        <rFont val="Calibri"/>
      </rPr>
      <t xml:space="preserve">3. Under the </t>
    </r>
    <r>
      <rPr>
        <b/>
        <sz val="11"/>
        <color rgb="FF000000"/>
        <rFont val="Calibri"/>
      </rPr>
      <t>Email integration</t>
    </r>
    <r>
      <rPr>
        <sz val="11"/>
        <color rgb="FF000000"/>
        <rFont val="Calibri"/>
      </rPr>
      <t xml:space="preserve"> section, set </t>
    </r>
    <r>
      <rPr>
        <b/>
        <sz val="11"/>
        <color rgb="FF000000"/>
        <rFont val="Calibri"/>
      </rPr>
      <t>Users can send emails to a channel email address</t>
    </r>
    <r>
      <rPr>
        <sz val="11"/>
        <color rgb="FF000000"/>
        <rFont val="Calibri"/>
      </rPr>
      <t xml:space="preserve"> to </t>
    </r>
    <r>
      <rPr>
        <b/>
        <sz val="11"/>
        <color rgb="FF000000"/>
        <rFont val="Calibri"/>
      </rPr>
      <t>Off</t>
    </r>
    <r>
      <rPr>
        <sz val="11"/>
        <color rgb="FF000000"/>
        <rFont val="Calibri"/>
      </rPr>
      <t>.</t>
    </r>
  </si>
  <si>
    <r>
      <rPr>
        <sz val="11"/>
        <color rgb="FF000000"/>
        <rFont val="Calibri"/>
      </rPr>
      <t xml:space="preserve">Microsoft Teams email integration associates a Microsoft, not tenant domain, email address with a Teams channel. Channel emails are addressed using the Microsoft-owned domain </t>
    </r>
    <r>
      <rPr>
        <b/>
        <sz val="11"/>
        <color rgb="FF000000"/>
        <rFont val="Calibri"/>
      </rPr>
      <t>&lt;teams.ms&gt;</t>
    </r>
    <r>
      <rPr>
        <sz val="11"/>
        <color rgb="FF000000"/>
        <rFont val="Calibri"/>
      </rPr>
      <t>. By disabling Teams email integration, an agency prevents potentially sensitive Teams messages from being sent through external email gateways.</t>
    </r>
  </si>
  <si>
    <r>
      <rPr>
        <sz val="11"/>
        <color rgb="FF000000"/>
        <rFont val="Calibri"/>
      </rPr>
      <t>This section helps reduce security risks related to Teams email integration. Teams provides an optional feature allowing channels to have an email address and receive email.</t>
    </r>
  </si>
  <si>
    <r>
      <rPr>
        <b/>
        <sz val="11"/>
        <color rgb="FF000000"/>
        <rFont val="Calibri"/>
      </rPr>
      <t>Email Integration | Microsoft Learn</t>
    </r>
    <r>
      <rPr>
        <sz val="11"/>
        <color rgb="FF000000"/>
        <rFont val="Calibri"/>
      </rPr>
      <t xml:space="preserve">
</t>
    </r>
    <r>
      <rPr>
        <sz val="11"/>
        <color rgb="FF0000FF"/>
        <rFont val="Calibri"/>
      </rPr>
      <t>https://learn.microsoft.com/en-us/microsoftteams/settings-policies-reference#email-integration</t>
    </r>
  </si>
  <si>
    <t>App Management</t>
  </si>
  <si>
    <t>MS.TEAMS.5.1v2</t>
  </si>
  <si>
    <r>
      <rPr>
        <sz val="11"/>
        <color rgb="FF000000"/>
        <rFont val="Calibri"/>
      </rPr>
      <t>Agencies SHOULD only allow installation of Microsoft apps approved by the agency.</t>
    </r>
  </si>
  <si>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Teams apps</t>
    </r>
    <r>
      <rPr>
        <sz val="11"/>
        <color rgb="FF000000"/>
        <rFont val="Calibri"/>
      </rPr>
      <t xml:space="preserve"> &gt; </t>
    </r>
    <r>
      <rPr>
        <b/>
        <sz val="11"/>
        <color rgb="FF000000"/>
        <rFont val="Calibri"/>
      </rPr>
      <t>Manage apps</t>
    </r>
    <r>
      <rPr>
        <sz val="11"/>
        <color rgb="FF000000"/>
        <rFont val="Calibri"/>
      </rPr>
      <t>.</t>
    </r>
    <r>
      <rPr>
        <sz val="11"/>
        <color rgb="FF000000"/>
        <rFont val="Calibri"/>
      </rPr>
      <t xml:space="preserve">
</t>
    </r>
    <r>
      <rPr>
        <sz val="11"/>
        <color rgb="FF000000"/>
        <rFont val="Calibri"/>
      </rPr>
      <t xml:space="preserve">3. In the upper right-hand corner select </t>
    </r>
    <r>
      <rPr>
        <b/>
        <sz val="11"/>
        <color rgb="FF000000"/>
        <rFont val="Calibri"/>
      </rPr>
      <t>Actions</t>
    </r>
    <r>
      <rPr>
        <sz val="11"/>
        <color rgb="FF000000"/>
        <rFont val="Calibri"/>
      </rPr>
      <t xml:space="preserve">
</t>
    </r>
    <r>
      <rPr>
        <sz val="11"/>
        <color rgb="FF000000"/>
        <rFont val="Calibri"/>
      </rPr>
      <t xml:space="preserve">4. Select </t>
    </r>
    <r>
      <rPr>
        <b/>
        <sz val="11"/>
        <color rgb="FF000000"/>
        <rFont val="Calibri"/>
      </rPr>
      <t>Org-wide app settings</t>
    </r>
    <r>
      <rPr>
        <sz val="11"/>
        <color rgb="FF000000"/>
        <rFont val="Calibri"/>
      </rPr>
      <t>.</t>
    </r>
    <r>
      <rPr>
        <sz val="11"/>
        <color rgb="FF000000"/>
        <rFont val="Calibri"/>
      </rPr>
      <t xml:space="preserve">
</t>
    </r>
    <r>
      <rPr>
        <sz val="11"/>
        <color rgb="FF000000"/>
        <rFont val="Calibri"/>
      </rPr>
      <t xml:space="preserve">5. Under </t>
    </r>
    <r>
      <rPr>
        <b/>
        <sz val="11"/>
        <color rgb="FF000000"/>
        <rFont val="Calibri"/>
      </rPr>
      <t>Microsoft apps</t>
    </r>
    <r>
      <rPr>
        <sz val="11"/>
        <color rgb="FF000000"/>
        <rFont val="Calibri"/>
      </rPr>
      <t xml:space="preserve"> &gt; Select </t>
    </r>
    <r>
      <rPr>
        <b/>
        <sz val="11"/>
        <color rgb="FF000000"/>
        <rFont val="Calibri"/>
      </rPr>
      <t>On</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make Microsoft apps in the application list available to "Everyone." If adjustments are needed follow the remaining instructions</t>
    </r>
    <r>
      <rPr>
        <sz val="11"/>
        <color rgb="FF000000"/>
        <rFont val="Calibri"/>
      </rPr>
      <t xml:space="preserve">
</t>
    </r>
    <r>
      <rPr>
        <sz val="11"/>
        <color rgb="FF000000"/>
        <rFont val="Calibri"/>
      </rPr>
      <t xml:space="preserve">1. Select </t>
    </r>
    <r>
      <rPr>
        <b/>
        <sz val="11"/>
        <color rgb="FF000000"/>
        <rFont val="Calibri"/>
      </rPr>
      <t>Teams apps</t>
    </r>
    <r>
      <rPr>
        <sz val="11"/>
        <color rgb="FF000000"/>
        <rFont val="Calibri"/>
      </rPr>
      <t xml:space="preserve"> &gt; </t>
    </r>
    <r>
      <rPr>
        <b/>
        <sz val="11"/>
        <color rgb="FF000000"/>
        <rFont val="Calibri"/>
      </rPr>
      <t>Manage apps</t>
    </r>
    <r>
      <rPr>
        <sz val="11"/>
        <color rgb="FF000000"/>
        <rFont val="Calibri"/>
      </rPr>
      <t>.</t>
    </r>
    <r>
      <rPr>
        <sz val="11"/>
        <color rgb="FF000000"/>
        <rFont val="Calibri"/>
      </rPr>
      <t xml:space="preserve">
</t>
    </r>
    <r>
      <rPr>
        <sz val="11"/>
        <color rgb="FF000000"/>
        <rFont val="Calibri"/>
      </rPr>
      <t>2. Select each individual app.</t>
    </r>
    <r>
      <rPr>
        <sz val="11"/>
        <color rgb="FF000000"/>
        <rFont val="Calibri"/>
      </rPr>
      <t xml:space="preserve">
</t>
    </r>
    <r>
      <rPr>
        <sz val="11"/>
        <color rgb="FF000000"/>
        <rFont val="Calibri"/>
      </rPr>
      <t xml:space="preserve">3. Select </t>
    </r>
    <r>
      <rPr>
        <b/>
        <sz val="11"/>
        <color rgb="FF000000"/>
        <rFont val="Calibri"/>
      </rPr>
      <t>Users and groups</t>
    </r>
    <r>
      <rPr>
        <sz val="11"/>
        <color rgb="FF000000"/>
        <rFont val="Calibri"/>
      </rPr>
      <t xml:space="preserve"> &gt; </t>
    </r>
    <r>
      <rPr>
        <b/>
        <sz val="11"/>
        <color rgb="FF000000"/>
        <rFont val="Calibri"/>
      </rPr>
      <t>Edit availability</t>
    </r>
    <r>
      <rPr>
        <sz val="11"/>
        <color rgb="FF000000"/>
        <rFont val="Calibri"/>
      </rPr>
      <t xml:space="preserve">
</t>
    </r>
    <r>
      <rPr>
        <sz val="11"/>
        <color rgb="FF000000"/>
        <rFont val="Calibri"/>
      </rPr>
      <t xml:space="preserve">4. Change </t>
    </r>
    <r>
      <rPr>
        <b/>
        <sz val="11"/>
        <color rgb="FF000000"/>
        <rFont val="Calibri"/>
      </rPr>
      <t>Available to</t>
    </r>
    <r>
      <rPr>
        <sz val="11"/>
        <color rgb="FF000000"/>
        <rFont val="Calibri"/>
      </rPr>
      <t xml:space="preserve"> to the appropriate setting for your organization. (Everyone, Specific users or groups, or No one)</t>
    </r>
    <r>
      <rPr>
        <sz val="11"/>
        <color rgb="FF000000"/>
        <rFont val="Calibri"/>
      </rPr>
      <t xml:space="preserve">
</t>
    </r>
    <r>
      <rPr>
        <sz val="11"/>
        <color rgb="FF000000"/>
        <rFont val="Calibri"/>
      </rPr>
      <t>5. Repeat steps 7 to 10 for each application</t>
    </r>
  </si>
  <si>
    <r>
      <rPr>
        <sz val="11"/>
        <color rgb="FF000000"/>
        <rFont val="Calibri"/>
      </rPr>
      <t>Allowing Teams integration with all Microsoft apps can expose the agency to potential vulnerabilities present in those apps. By only allowing specific apps and blocking all others, the agency can better manage app integration and potential exposure points.</t>
    </r>
  </si>
  <si>
    <r>
      <rPr>
        <sz val="11"/>
        <color rgb="FF000000"/>
        <rFont val="Calibri"/>
      </rPr>
      <t>This section helps reduce security risks related to app integration with Microsoft Teams. Teams can integrate with the following classes of apps:</t>
    </r>
    <r>
      <rPr>
        <sz val="11"/>
        <color rgb="FF000000"/>
        <rFont val="Calibri"/>
      </rPr>
      <t xml:space="preserve">
</t>
    </r>
    <r>
      <rPr>
        <sz val="11"/>
        <color rgb="FF000000"/>
        <rFont val="Calibri"/>
      </rPr>
      <t xml:space="preserve">- </t>
    </r>
    <r>
      <rPr>
        <i/>
        <sz val="11"/>
        <color rgb="FF000000"/>
        <rFont val="Calibri"/>
      </rPr>
      <t>Microsoft apps</t>
    </r>
    <r>
      <rPr>
        <sz val="11"/>
        <color rgb="FF000000"/>
        <rFont val="Calibri"/>
      </rPr>
      <t>: apps published by Microsoft.</t>
    </r>
    <r>
      <rPr>
        <sz val="11"/>
        <color rgb="FF000000"/>
        <rFont val="Calibri"/>
      </rPr>
      <t xml:space="preserve">
</t>
    </r>
    <r>
      <rPr>
        <sz val="11"/>
        <color rgb="FF000000"/>
        <rFont val="Calibri"/>
      </rPr>
      <t xml:space="preserve">- </t>
    </r>
    <r>
      <rPr>
        <i/>
        <sz val="11"/>
        <color rgb="FF000000"/>
        <rFont val="Calibri"/>
      </rPr>
      <t>Third-party apps</t>
    </r>
    <r>
      <rPr>
        <sz val="11"/>
        <color rgb="FF000000"/>
        <rFont val="Calibri"/>
      </rPr>
      <t>: apps not authored by Microsoft, published to the</t>
    </r>
    <r>
      <rPr>
        <sz val="11"/>
        <color rgb="FF000000"/>
        <rFont val="Calibri"/>
      </rPr>
      <t xml:space="preserve">
</t>
    </r>
    <r>
      <rPr>
        <sz val="11"/>
        <color rgb="FF000000"/>
        <rFont val="Calibri"/>
      </rPr>
      <t>Teams store.</t>
    </r>
    <r>
      <rPr>
        <sz val="11"/>
        <color rgb="FF000000"/>
        <rFont val="Calibri"/>
      </rPr>
      <t xml:space="preserve">
</t>
    </r>
    <r>
      <rPr>
        <sz val="11"/>
        <color rgb="FF000000"/>
        <rFont val="Calibri"/>
      </rPr>
      <t xml:space="preserve">- </t>
    </r>
    <r>
      <rPr>
        <i/>
        <sz val="11"/>
        <color rgb="FF000000"/>
        <rFont val="Calibri"/>
      </rPr>
      <t>Custom apps</t>
    </r>
    <r>
      <rPr>
        <sz val="11"/>
        <color rgb="FF000000"/>
        <rFont val="Calibri"/>
      </rPr>
      <t>: apps not published to the Teams store, such as apps under</t>
    </r>
    <r>
      <rPr>
        <sz val="11"/>
        <color rgb="FF000000"/>
        <rFont val="Calibri"/>
      </rPr>
      <t xml:space="preserve">
</t>
    </r>
    <r>
      <rPr>
        <sz val="11"/>
        <color rgb="FF000000"/>
        <rFont val="Calibri"/>
      </rPr>
      <t>development, that users sideload into Teams.</t>
    </r>
  </si>
  <si>
    <r>
      <rPr>
        <b/>
        <sz val="11"/>
        <color rgb="FF000000"/>
        <rFont val="Calibri"/>
      </rPr>
      <t>Use app permission policies to control user access to apps | Microsoft Learn</t>
    </r>
    <r>
      <rPr>
        <sz val="11"/>
        <color rgb="FF000000"/>
        <rFont val="Calibri"/>
      </rPr>
      <t xml:space="preserve">
</t>
    </r>
    <r>
      <rPr>
        <sz val="11"/>
        <color rgb="FF0000FF"/>
        <rFont val="Calibri"/>
      </rPr>
      <t>https://learn.microsoft.com/en-us/microsoftteams/teams-app-permission-policies</t>
    </r>
    <r>
      <rPr>
        <sz val="11"/>
        <color rgb="FF000000"/>
        <rFont val="Calibri"/>
      </rPr>
      <t xml:space="preserve">
</t>
    </r>
    <r>
      <rPr>
        <b/>
        <sz val="11"/>
        <color rgb="FF000000"/>
        <rFont val="Calibri"/>
      </rPr>
      <t>Upload your app in Microsoft Teams | Microsoft Learn</t>
    </r>
    <r>
      <rPr>
        <sz val="11"/>
        <color rgb="FF000000"/>
        <rFont val="Calibri"/>
      </rPr>
      <t xml:space="preserve">
</t>
    </r>
    <r>
      <rPr>
        <sz val="11"/>
        <color rgb="FF0000FF"/>
        <rFont val="Calibri"/>
      </rPr>
      <t>https://learn.microsoft.com/en-us/microsoftteams/platform/concepts/deploy-and-publish/apps-upload</t>
    </r>
  </si>
  <si>
    <t>MS.TEAMS.5.2v2</t>
  </si>
  <si>
    <r>
      <rPr>
        <sz val="11"/>
        <color rgb="FF000000"/>
        <rFont val="Calibri"/>
      </rPr>
      <t>Agencies SHOULD only allow installation of third-party apps approved by the agency.</t>
    </r>
  </si>
  <si>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Teams apps</t>
    </r>
    <r>
      <rPr>
        <sz val="11"/>
        <color rgb="FF000000"/>
        <rFont val="Calibri"/>
      </rPr>
      <t xml:space="preserve"> &gt; </t>
    </r>
    <r>
      <rPr>
        <b/>
        <sz val="11"/>
        <color rgb="FF000000"/>
        <rFont val="Calibri"/>
      </rPr>
      <t>Manage apps</t>
    </r>
    <r>
      <rPr>
        <sz val="11"/>
        <color rgb="FF000000"/>
        <rFont val="Calibri"/>
      </rPr>
      <t>.</t>
    </r>
    <r>
      <rPr>
        <sz val="11"/>
        <color rgb="FF000000"/>
        <rFont val="Calibri"/>
      </rPr>
      <t xml:space="preserve">
</t>
    </r>
    <r>
      <rPr>
        <sz val="11"/>
        <color rgb="FF000000"/>
        <rFont val="Calibri"/>
      </rPr>
      <t xml:space="preserve">3. In the upper right-hand corner select </t>
    </r>
    <r>
      <rPr>
        <b/>
        <sz val="11"/>
        <color rgb="FF000000"/>
        <rFont val="Calibri"/>
      </rPr>
      <t>Actions</t>
    </r>
    <r>
      <rPr>
        <sz val="11"/>
        <color rgb="FF000000"/>
        <rFont val="Calibri"/>
      </rPr>
      <t xml:space="preserve">
</t>
    </r>
    <r>
      <rPr>
        <sz val="11"/>
        <color rgb="FF000000"/>
        <rFont val="Calibri"/>
      </rPr>
      <t xml:space="preserve">4. Select </t>
    </r>
    <r>
      <rPr>
        <b/>
        <sz val="11"/>
        <color rgb="FF000000"/>
        <rFont val="Calibri"/>
      </rPr>
      <t>Org-wide app settings</t>
    </r>
    <r>
      <rPr>
        <sz val="11"/>
        <color rgb="FF000000"/>
        <rFont val="Calibri"/>
      </rPr>
      <t>.</t>
    </r>
    <r>
      <rPr>
        <sz val="11"/>
        <color rgb="FF000000"/>
        <rFont val="Calibri"/>
      </rPr>
      <t xml:space="preserve">
</t>
    </r>
    <r>
      <rPr>
        <sz val="11"/>
        <color rgb="FF000000"/>
        <rFont val="Calibri"/>
      </rPr>
      <t xml:space="preserve">5. Under </t>
    </r>
    <r>
      <rPr>
        <b/>
        <sz val="11"/>
        <color rgb="FF000000"/>
        <rFont val="Calibri"/>
      </rPr>
      <t>Third-party apps</t>
    </r>
    <r>
      <rPr>
        <sz val="11"/>
        <color rgb="FF000000"/>
        <rFont val="Calibri"/>
      </rPr>
      <t xml:space="preserve"> &gt; Select </t>
    </r>
    <r>
      <rPr>
        <b/>
        <sz val="11"/>
        <color rgb="FF000000"/>
        <rFont val="Calibri"/>
      </rPr>
      <t>Off</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make third party apps in the application list available to "No one." If adjustments are needed follow the remaining instructions</t>
    </r>
    <r>
      <rPr>
        <sz val="11"/>
        <color rgb="FF000000"/>
        <rFont val="Calibri"/>
      </rPr>
      <t xml:space="preserve">
</t>
    </r>
    <r>
      <rPr>
        <sz val="11"/>
        <color rgb="FF000000"/>
        <rFont val="Calibri"/>
      </rPr>
      <t xml:space="preserve">1. Select </t>
    </r>
    <r>
      <rPr>
        <b/>
        <sz val="11"/>
        <color rgb="FF000000"/>
        <rFont val="Calibri"/>
      </rPr>
      <t>Teams apps</t>
    </r>
    <r>
      <rPr>
        <sz val="11"/>
        <color rgb="FF000000"/>
        <rFont val="Calibri"/>
      </rPr>
      <t xml:space="preserve"> &gt; </t>
    </r>
    <r>
      <rPr>
        <b/>
        <sz val="11"/>
        <color rgb="FF000000"/>
        <rFont val="Calibri"/>
      </rPr>
      <t>Manage apps</t>
    </r>
    <r>
      <rPr>
        <sz val="11"/>
        <color rgb="FF000000"/>
        <rFont val="Calibri"/>
      </rPr>
      <t>.</t>
    </r>
    <r>
      <rPr>
        <sz val="11"/>
        <color rgb="FF000000"/>
        <rFont val="Calibri"/>
      </rPr>
      <t xml:space="preserve">
</t>
    </r>
    <r>
      <rPr>
        <sz val="11"/>
        <color rgb="FF000000"/>
        <rFont val="Calibri"/>
      </rPr>
      <t>2. Select each individual app.</t>
    </r>
    <r>
      <rPr>
        <sz val="11"/>
        <color rgb="FF000000"/>
        <rFont val="Calibri"/>
      </rPr>
      <t xml:space="preserve">
</t>
    </r>
    <r>
      <rPr>
        <sz val="11"/>
        <color rgb="FF000000"/>
        <rFont val="Calibri"/>
      </rPr>
      <t xml:space="preserve">3. Select </t>
    </r>
    <r>
      <rPr>
        <b/>
        <sz val="11"/>
        <color rgb="FF000000"/>
        <rFont val="Calibri"/>
      </rPr>
      <t>Users and groups</t>
    </r>
    <r>
      <rPr>
        <sz val="11"/>
        <color rgb="FF000000"/>
        <rFont val="Calibri"/>
      </rPr>
      <t xml:space="preserve"> &gt; </t>
    </r>
    <r>
      <rPr>
        <b/>
        <sz val="11"/>
        <color rgb="FF000000"/>
        <rFont val="Calibri"/>
      </rPr>
      <t>Edit availability</t>
    </r>
    <r>
      <rPr>
        <sz val="11"/>
        <color rgb="FF000000"/>
        <rFont val="Calibri"/>
      </rPr>
      <t xml:space="preserve">
</t>
    </r>
    <r>
      <rPr>
        <sz val="11"/>
        <color rgb="FF000000"/>
        <rFont val="Calibri"/>
      </rPr>
      <t xml:space="preserve">4. Change </t>
    </r>
    <r>
      <rPr>
        <b/>
        <sz val="11"/>
        <color rgb="FF000000"/>
        <rFont val="Calibri"/>
      </rPr>
      <t>Available to</t>
    </r>
    <r>
      <rPr>
        <sz val="11"/>
        <color rgb="FF000000"/>
        <rFont val="Calibri"/>
      </rPr>
      <t xml:space="preserve"> to the appropriate setting for your organization. (Everyone, Specific users or groups, or No one)</t>
    </r>
    <r>
      <rPr>
        <sz val="11"/>
        <color rgb="FF000000"/>
        <rFont val="Calibri"/>
      </rPr>
      <t xml:space="preserve">
</t>
    </r>
    <r>
      <rPr>
        <sz val="11"/>
        <color rgb="FF000000"/>
        <rFont val="Calibri"/>
      </rPr>
      <t>5. Repeat steps 7 to 10 for each application</t>
    </r>
  </si>
  <si>
    <r>
      <rPr>
        <sz val="11"/>
        <color rgb="FF000000"/>
        <rFont val="Calibri"/>
      </rPr>
      <t>Allowing Teams integration with third-party apps can expose the agency to potential vulnerabilities present in an app not managed by the agency. By allowing only specific apps approved by the agency and blocking all others, the agency can limit its exposure to third-party app vulnerabilities.</t>
    </r>
  </si>
  <si>
    <t>MS.TEAMS.5.3v2</t>
  </si>
  <si>
    <r>
      <rPr>
        <sz val="11"/>
        <color rgb="FF000000"/>
        <rFont val="Calibri"/>
      </rPr>
      <t>Agencies SHOULD only allow installation of custom apps approved by the agency.</t>
    </r>
  </si>
  <si>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Teams apps</t>
    </r>
    <r>
      <rPr>
        <sz val="11"/>
        <color rgb="FF000000"/>
        <rFont val="Calibri"/>
      </rPr>
      <t xml:space="preserve"> &gt; </t>
    </r>
    <r>
      <rPr>
        <b/>
        <sz val="11"/>
        <color rgb="FF000000"/>
        <rFont val="Calibri"/>
      </rPr>
      <t>Manage apps</t>
    </r>
    <r>
      <rPr>
        <sz val="11"/>
        <color rgb="FF000000"/>
        <rFont val="Calibri"/>
      </rPr>
      <t>.</t>
    </r>
    <r>
      <rPr>
        <sz val="11"/>
        <color rgb="FF000000"/>
        <rFont val="Calibri"/>
      </rPr>
      <t xml:space="preserve">
</t>
    </r>
    <r>
      <rPr>
        <sz val="11"/>
        <color rgb="FF000000"/>
        <rFont val="Calibri"/>
      </rPr>
      <t xml:space="preserve">3. In the upper right-hand corner select </t>
    </r>
    <r>
      <rPr>
        <b/>
        <sz val="11"/>
        <color rgb="FF000000"/>
        <rFont val="Calibri"/>
      </rPr>
      <t>Actions</t>
    </r>
    <r>
      <rPr>
        <sz val="11"/>
        <color rgb="FF000000"/>
        <rFont val="Calibri"/>
      </rPr>
      <t xml:space="preserve">
</t>
    </r>
    <r>
      <rPr>
        <sz val="11"/>
        <color rgb="FF000000"/>
        <rFont val="Calibri"/>
      </rPr>
      <t xml:space="preserve">4. Select </t>
    </r>
    <r>
      <rPr>
        <b/>
        <sz val="11"/>
        <color rgb="FF000000"/>
        <rFont val="Calibri"/>
      </rPr>
      <t>Org-wide app settings</t>
    </r>
    <r>
      <rPr>
        <sz val="11"/>
        <color rgb="FF000000"/>
        <rFont val="Calibri"/>
      </rPr>
      <t>.</t>
    </r>
    <r>
      <rPr>
        <sz val="11"/>
        <color rgb="FF000000"/>
        <rFont val="Calibri"/>
      </rPr>
      <t xml:space="preserve">
</t>
    </r>
    <r>
      <rPr>
        <sz val="11"/>
        <color rgb="FF000000"/>
        <rFont val="Calibri"/>
      </rPr>
      <t xml:space="preserve">5. Under </t>
    </r>
    <r>
      <rPr>
        <b/>
        <sz val="11"/>
        <color rgb="FF000000"/>
        <rFont val="Calibri"/>
      </rPr>
      <t>Custom apps</t>
    </r>
    <r>
      <rPr>
        <sz val="11"/>
        <color rgb="FF000000"/>
        <rFont val="Calibri"/>
      </rPr>
      <t xml:space="preserve"> &gt; Select </t>
    </r>
    <r>
      <rPr>
        <b/>
        <sz val="11"/>
        <color rgb="FF000000"/>
        <rFont val="Calibri"/>
      </rPr>
      <t>Off</t>
    </r>
    <r>
      <rPr>
        <sz val="11"/>
        <color rgb="FF000000"/>
        <rFont val="Calibri"/>
      </rPr>
      <t xml:space="preserve">
</t>
    </r>
    <r>
      <rPr>
        <sz val="11"/>
        <color rgb="FF000000"/>
        <rFont val="Calibri"/>
      </rPr>
      <t xml:space="preserve">6. Click </t>
    </r>
    <r>
      <rPr>
        <b/>
        <sz val="11"/>
        <color rgb="FF000000"/>
        <rFont val="Calibri"/>
      </rPr>
      <t>Save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make Custom apps in the application list available to "No one." If adjustments are needed follow the remaining instructions</t>
    </r>
    <r>
      <rPr>
        <sz val="11"/>
        <color rgb="FF000000"/>
        <rFont val="Calibri"/>
      </rPr>
      <t xml:space="preserve">
</t>
    </r>
    <r>
      <rPr>
        <sz val="11"/>
        <color rgb="FF000000"/>
        <rFont val="Calibri"/>
      </rPr>
      <t xml:space="preserve">1. Select </t>
    </r>
    <r>
      <rPr>
        <b/>
        <sz val="11"/>
        <color rgb="FF000000"/>
        <rFont val="Calibri"/>
      </rPr>
      <t>Teams apps</t>
    </r>
    <r>
      <rPr>
        <sz val="11"/>
        <color rgb="FF000000"/>
        <rFont val="Calibri"/>
      </rPr>
      <t xml:space="preserve"> &gt; </t>
    </r>
    <r>
      <rPr>
        <b/>
        <sz val="11"/>
        <color rgb="FF000000"/>
        <rFont val="Calibri"/>
      </rPr>
      <t>Manage apps</t>
    </r>
    <r>
      <rPr>
        <sz val="11"/>
        <color rgb="FF000000"/>
        <rFont val="Calibri"/>
      </rPr>
      <t>.</t>
    </r>
    <r>
      <rPr>
        <sz val="11"/>
        <color rgb="FF000000"/>
        <rFont val="Calibri"/>
      </rPr>
      <t xml:space="preserve">
</t>
    </r>
    <r>
      <rPr>
        <sz val="11"/>
        <color rgb="FF000000"/>
        <rFont val="Calibri"/>
      </rPr>
      <t>2. Select each individual app.</t>
    </r>
    <r>
      <rPr>
        <sz val="11"/>
        <color rgb="FF000000"/>
        <rFont val="Calibri"/>
      </rPr>
      <t xml:space="preserve">
</t>
    </r>
    <r>
      <rPr>
        <sz val="11"/>
        <color rgb="FF000000"/>
        <rFont val="Calibri"/>
      </rPr>
      <t xml:space="preserve">3. Select </t>
    </r>
    <r>
      <rPr>
        <b/>
        <sz val="11"/>
        <color rgb="FF000000"/>
        <rFont val="Calibri"/>
      </rPr>
      <t>Users and groups</t>
    </r>
    <r>
      <rPr>
        <sz val="11"/>
        <color rgb="FF000000"/>
        <rFont val="Calibri"/>
      </rPr>
      <t xml:space="preserve"> &gt; </t>
    </r>
    <r>
      <rPr>
        <b/>
        <sz val="11"/>
        <color rgb="FF000000"/>
        <rFont val="Calibri"/>
      </rPr>
      <t>Edit availability</t>
    </r>
    <r>
      <rPr>
        <sz val="11"/>
        <color rgb="FF000000"/>
        <rFont val="Calibri"/>
      </rPr>
      <t xml:space="preserve">
</t>
    </r>
    <r>
      <rPr>
        <sz val="11"/>
        <color rgb="FF000000"/>
        <rFont val="Calibri"/>
      </rPr>
      <t xml:space="preserve">4. Change </t>
    </r>
    <r>
      <rPr>
        <b/>
        <sz val="11"/>
        <color rgb="FF000000"/>
        <rFont val="Calibri"/>
      </rPr>
      <t>Available to</t>
    </r>
    <r>
      <rPr>
        <sz val="11"/>
        <color rgb="FF000000"/>
        <rFont val="Calibri"/>
      </rPr>
      <t xml:space="preserve"> to the appropriate setting for your organization. (Everyone, Specific users or groups, or No one)</t>
    </r>
    <r>
      <rPr>
        <sz val="11"/>
        <color rgb="FF000000"/>
        <rFont val="Calibri"/>
      </rPr>
      <t xml:space="preserve">
</t>
    </r>
    <r>
      <rPr>
        <sz val="11"/>
        <color rgb="FF000000"/>
        <rFont val="Calibri"/>
      </rPr>
      <t>5. Repeat steps 7 to 10 for each application</t>
    </r>
  </si>
  <si>
    <r>
      <rPr>
        <sz val="11"/>
        <color rgb="FF000000"/>
        <rFont val="Calibri"/>
      </rPr>
      <t>Allowing custom apps integration can expose the agency to potential vulnerabilities present in an app not managed by the agency. By allowing only specific apps approved by the agency and blocking all others, the agency can limit its exposure to custom app vulnerabilities.</t>
    </r>
  </si>
  <si>
    <t>Data Loss Prevention</t>
  </si>
  <si>
    <t>MS.TEAMS.6.1v1</t>
  </si>
  <si>
    <r>
      <rPr>
        <sz val="11"/>
        <color rgb="FF000000"/>
        <rFont val="Calibri"/>
      </rPr>
      <t>A DLP solution SHALL be enabled and SHOULD offer services comparable to the native DLP solution offered by Microsoft.</t>
    </r>
  </si>
  <si>
    <r>
      <rPr>
        <sz val="11"/>
        <color rgb="FF000000"/>
        <rFont val="Calibri"/>
      </rPr>
      <t xml:space="preserve">Any product meeting the requirements outlined in this baseline policy may be used. If the agency uses Microsoft Defender, see the following implementation steps for DLP </t>
    </r>
    <r>
      <rPr>
        <sz val="11"/>
        <color rgb="FF0000FF"/>
        <rFont val="Calibri"/>
      </rPr>
      <t>(./defender.md#implementation-3)</t>
    </r>
    <r>
      <rPr>
        <sz val="11"/>
        <color rgb="FF000000"/>
        <rFont val="Calibri"/>
      </rPr>
      <t xml:space="preserve"> for additional guidance.</t>
    </r>
  </si>
  <si>
    <r>
      <rPr>
        <sz val="11"/>
        <color rgb="FF000000"/>
        <rFont val="Calibri"/>
      </rPr>
      <t>Teams users may inadvertently disclose sensitive information to unauthorized individuals. DLP policies provide a way for agencies to detect and prevent unauthorized disclosures.</t>
    </r>
  </si>
  <si>
    <r>
      <rPr>
        <sz val="11"/>
        <color rgb="FF000000"/>
        <rFont val="Calibri"/>
      </rPr>
      <t>Data loss prevention (DLP) helps prevent both accidental leakage of sensitive information as well as intentional exfiltration of data. DLP forms an integral part of securing Microsoft Teams. There are several commercial DLP solutions available documenting support for M365. Microsoft itself offers DLP services, controlled within the Microsoft Purview compliance portal. Agencies may select any service that fits their needs and meets the requirements outlined in this baseline setting. The DLP solution selected by an agency should offer services comparable to those offered by Microsoft.</t>
    </r>
    <r>
      <rPr>
        <sz val="11"/>
        <color rgb="FF000000"/>
        <rFont val="Calibri"/>
      </rPr>
      <t xml:space="preserve">
</t>
    </r>
    <r>
      <rPr>
        <sz val="11"/>
        <color rgb="FF000000"/>
        <rFont val="Calibri"/>
      </rPr>
      <t>Though using Microsoft's DLP solution is not strictly required, guidance for configuring Microsoft's DLP solution can be found in following section of the CISA M365 Secure Configuration Baseline for Defender for Office 365.</t>
    </r>
    <r>
      <rPr>
        <sz val="11"/>
        <color rgb="FF000000"/>
        <rFont val="Calibri"/>
      </rPr>
      <t xml:space="preserve">
</t>
    </r>
    <r>
      <rPr>
        <sz val="11"/>
        <color rgb="FF000000"/>
        <rFont val="Calibri"/>
      </rPr>
      <t xml:space="preserve">- Data Loss Prevention \| CISA M365 Secure Configuration Baseline for Defender for Office 365 </t>
    </r>
    <r>
      <rPr>
        <sz val="11"/>
        <color rgb="FF0000FF"/>
        <rFont val="Calibri"/>
      </rPr>
      <t>(./defender.md#4-data-loss-prevention)</t>
    </r>
  </si>
  <si>
    <r>
      <rPr>
        <sz val="11"/>
        <color rgb="FF000000"/>
        <rFont val="Calibri"/>
      </rPr>
      <t xml:space="preserve">DLP for Teams within Microsoft Purview requires an E5 or G5 license. See Microsoft Purview Data Loss Prevention: Data Loss Prevention for Teams \| Microsoft Learn </t>
    </r>
    <r>
      <rPr>
        <sz val="11"/>
        <color rgb="FF0000FF"/>
        <rFont val="Calibri"/>
      </rPr>
      <t>(https://learn.microsoft.com/en-us/office365/servicedescriptions/microsoft-365-service-descriptions/microsoft-365-tenantlevel-services-licensing-guidance/microsoft-365-security-compliance-licensing-guidance#microsoft-purview-data-loss-prevention-data-loss-prevention-dlp-for-teams)</t>
    </r>
    <r>
      <rPr>
        <sz val="11"/>
        <color rgb="FF000000"/>
        <rFont val="Calibri"/>
      </rPr>
      <t xml:space="preserve"> for more information. However, this requirement can also be met through a third-party solution. If a third-party solution is used, then a E5 or G5 license is not required for the respective policies.</t>
    </r>
  </si>
  <si>
    <r>
      <rPr>
        <b/>
        <sz val="11"/>
        <color rgb="FF000000"/>
        <rFont val="Calibri"/>
      </rPr>
      <t>Plan for data loss prevention (DLP) | Microsoft Learn</t>
    </r>
    <r>
      <rPr>
        <sz val="11"/>
        <color rgb="FF000000"/>
        <rFont val="Calibri"/>
      </rPr>
      <t xml:space="preserve">
</t>
    </r>
    <r>
      <rPr>
        <sz val="11"/>
        <color rgb="FF0000FF"/>
        <rFont val="Calibri"/>
      </rPr>
      <t>https://learn.microsoft.com/en-us/microsoft-365/compliance/dlp-overview-plan-for-dlp?view=o365-worldwide</t>
    </r>
    <r>
      <rPr>
        <sz val="11"/>
        <color rgb="FF000000"/>
        <rFont val="Calibri"/>
      </rPr>
      <t xml:space="preserve">
</t>
    </r>
    <r>
      <rPr>
        <b/>
        <sz val="11"/>
        <color rgb="FF000000"/>
        <rFont val="Calibri"/>
      </rPr>
      <t>Personally identifiable information (PII) | NIST</t>
    </r>
    <r>
      <rPr>
        <sz val="11"/>
        <color rgb="FF000000"/>
        <rFont val="Calibri"/>
      </rPr>
      <t xml:space="preserve">
</t>
    </r>
    <r>
      <rPr>
        <sz val="11"/>
        <color rgb="FF0000FF"/>
        <rFont val="Calibri"/>
      </rPr>
      <t>https://csrc.nist.gov/glossary/term/personally_identifiable_information#:~:text=NISTIR%208259,2%20under%20PII%20from%20EGovAct</t>
    </r>
    <r>
      <rPr>
        <sz val="11"/>
        <color rgb="FF000000"/>
        <rFont val="Calibri"/>
      </rPr>
      <t xml:space="preserve">
</t>
    </r>
    <r>
      <rPr>
        <b/>
        <sz val="11"/>
        <color rgb="FF000000"/>
        <rFont val="Calibri"/>
      </rPr>
      <t>Sensitive information | NIST</t>
    </r>
    <r>
      <rPr>
        <sz val="11"/>
        <color rgb="FF000000"/>
        <rFont val="Calibri"/>
      </rPr>
      <t xml:space="preserve">
</t>
    </r>
    <r>
      <rPr>
        <sz val="11"/>
        <color rgb="FF0000FF"/>
        <rFont val="Calibri"/>
      </rPr>
      <t>https://csrc.nist.gov/glossary/term/sensitive_information</t>
    </r>
  </si>
  <si>
    <t>MS.TEAMS.6.2v1</t>
  </si>
  <si>
    <r>
      <rPr>
        <sz val="11"/>
        <color rgb="FF000000"/>
        <rFont val="Calibri"/>
      </rPr>
      <t>The DLP solution SHALL protect personally identifiable information (PII) and sensitive information, as defined by the agency. At a minimum, sharing credit card numbers, taxpayer identification numbers (TINs), and Social Security numbers (SSNs) via email SHALL be restricted.</t>
    </r>
  </si>
  <si>
    <r>
      <rPr>
        <sz val="11"/>
        <color rgb="FF000000"/>
        <rFont val="Calibri"/>
      </rPr>
      <t>Teams users may inadvertently share sensitive information with others who should not have access to it. DLP policies provide a way for agencies to detect and prevent unauthorized sharing of sensitive information.</t>
    </r>
  </si>
  <si>
    <t>Malware Scanning</t>
  </si>
  <si>
    <t>MS.TEAMS.7.1v1</t>
  </si>
  <si>
    <r>
      <rPr>
        <sz val="11"/>
        <color rgb="FF000000"/>
        <rFont val="Calibri"/>
      </rPr>
      <t>Attachments included with Teams messages SHOULD be scanned for malware.</t>
    </r>
  </si>
  <si>
    <r>
      <rPr>
        <sz val="11"/>
        <color rgb="FF000000"/>
        <rFont val="Calibri"/>
      </rPr>
      <t xml:space="preserve">Any product meeting the requirements outlined in this baseline policy may be used. If the agency uses Microsoft Defender, see the following implementation steps for Safe Attachments </t>
    </r>
    <r>
      <rPr>
        <sz val="11"/>
        <color rgb="FF0000FF"/>
        <rFont val="Calibri"/>
      </rPr>
      <t>(./defender.md#implementation-2)</t>
    </r>
    <r>
      <rPr>
        <sz val="11"/>
        <color rgb="FF000000"/>
        <rFont val="Calibri"/>
      </rPr>
      <t xml:space="preserve"> for additional guidance.</t>
    </r>
  </si>
  <si>
    <r>
      <rPr>
        <sz val="11"/>
        <color rgb="FF000000"/>
        <rFont val="Calibri"/>
      </rPr>
      <t>Teams can be used as a mechanism for delivering malware. In many cases, malware can be detected through scanning, reducing the risk for end users.</t>
    </r>
  </si>
  <si>
    <r>
      <rPr>
        <sz val="11"/>
        <color rgb="FF000000"/>
        <rFont val="Calibri"/>
      </rPr>
      <t>Malware scanning protects M365 Teams assets from malicious software. Several commercial anti-malware solutions detect and prevent computer viruses, malware, and other malicious software from being introduced into M365 Teams. Agencies may select any product that meets the requirements outlined in this baseline policy group. If the agency is using Microsoft Defender to implement malware scanning, see the following policies of the CISA M365 Secure Configuration Baseline for Defender for Office 365 for additional guidance.</t>
    </r>
    <r>
      <rPr>
        <sz val="11"/>
        <color rgb="FF000000"/>
        <rFont val="Calibri"/>
      </rPr>
      <t xml:space="preserve">
</t>
    </r>
    <r>
      <rPr>
        <sz val="11"/>
        <color rgb="FF000000"/>
        <rFont val="Calibri"/>
      </rPr>
      <t xml:space="preserve">- MS.DEFENDER.3.1v1 \| CISA M365 Secure Configuration Baseline for Defender for Office 365 </t>
    </r>
    <r>
      <rPr>
        <sz val="11"/>
        <color rgb="FF0000FF"/>
        <rFont val="Calibri"/>
      </rPr>
      <t>(./defender.md#msdefender31v1)</t>
    </r>
    <r>
      <rPr>
        <sz val="11"/>
        <color rgb="FF000000"/>
        <rFont val="Calibri"/>
      </rPr>
      <t xml:space="preserve">
</t>
    </r>
    <r>
      <rPr>
        <sz val="11"/>
        <color rgb="FF000000"/>
        <rFont val="Calibri"/>
      </rPr>
      <t>- Safe attachments SHOULD be enabled for SharePoint, OneDrive, and Microsoft Teams.</t>
    </r>
  </si>
  <si>
    <r>
      <rPr>
        <sz val="11"/>
        <color rgb="FF000000"/>
        <rFont val="Calibri"/>
      </rPr>
      <t>If using Microsoft Defender, require Defender for Office 365 Plan 1 or 2. These are included with E5 and G5 and are available as add-ons for E3 and G3.</t>
    </r>
  </si>
  <si>
    <r>
      <rPr>
        <b/>
        <sz val="11"/>
        <color rgb="FF000000"/>
        <rFont val="Calibri"/>
      </rPr>
      <t>Safe Attachments in Microsoft Defender for Office 365 | Microsoft Learn</t>
    </r>
    <r>
      <rPr>
        <sz val="11"/>
        <color rgb="FF000000"/>
        <rFont val="Calibri"/>
      </rPr>
      <t xml:space="preserve">
</t>
    </r>
    <r>
      <rPr>
        <sz val="11"/>
        <color rgb="FF0000FF"/>
        <rFont val="Calibri"/>
      </rPr>
      <t>https://learn.microsoft.com/en-us/microsoft-365/security/office-365-security/safe-attachments-about?view=o365-worldwide#safe-attachments-policy-settings</t>
    </r>
    <r>
      <rPr>
        <sz val="11"/>
        <color rgb="FF000000"/>
        <rFont val="Calibri"/>
      </rPr>
      <t xml:space="preserve">
</t>
    </r>
    <r>
      <rPr>
        <b/>
        <sz val="11"/>
        <color rgb="FF000000"/>
        <rFont val="Calibri"/>
      </rPr>
      <t>Turn on Safe Attachments for SharePoint, OneDrive, and Microsoft Teams | Microsoft Learn</t>
    </r>
    <r>
      <rPr>
        <sz val="11"/>
        <color rgb="FF000000"/>
        <rFont val="Calibri"/>
      </rPr>
      <t xml:space="preserve">
</t>
    </r>
    <r>
      <rPr>
        <sz val="11"/>
        <color rgb="FF0000FF"/>
        <rFont val="Calibri"/>
      </rPr>
      <t>https://learn.microsoft.com/en-us/microsoft-365/security/office-365-security/safe-attachments-for-spo-odfb-teams-configure?view=o365-worldwide</t>
    </r>
  </si>
  <si>
    <t>MS.TEAMS.7.2v1</t>
  </si>
  <si>
    <r>
      <rPr>
        <sz val="11"/>
        <color rgb="FF000000"/>
        <rFont val="Calibri"/>
      </rPr>
      <t>Users SHOULD be prevented from opening or downloading files detected as malware.</t>
    </r>
  </si>
  <si>
    <t>Link Protection</t>
  </si>
  <si>
    <t>MS.TEAMS.8.1v1</t>
  </si>
  <si>
    <r>
      <rPr>
        <sz val="11"/>
        <color rgb="FF000000"/>
        <rFont val="Calibri"/>
      </rPr>
      <t>URL comparison with a blocklist SHOULD be enabled.</t>
    </r>
  </si>
  <si>
    <r>
      <rPr>
        <sz val="11"/>
        <color rgb="FF000000"/>
        <rFont val="Calibri"/>
      </rPr>
      <t xml:space="preserve">Any product meeting the requirements outlined in this baseline policy may be used. If the agency uses Microsoft Defender, see the following implementation steps for standard or strict preset security policy </t>
    </r>
    <r>
      <rPr>
        <sz val="11"/>
        <color rgb="FF0000FF"/>
        <rFont val="Calibri"/>
      </rPr>
      <t>(defender.md#msdefender13v1-instructions)</t>
    </r>
    <r>
      <rPr>
        <sz val="11"/>
        <color rgb="FF000000"/>
        <rFont val="Calibri"/>
      </rPr>
      <t xml:space="preserve"> for additional guidance.</t>
    </r>
  </si>
  <si>
    <r>
      <rPr>
        <sz val="11"/>
        <color rgb="FF000000"/>
        <rFont val="Calibri"/>
      </rPr>
      <t>Users may be directed to malicious websites via links in Teams. Blocking access to known malicious URLs can help prevent users from accessing known malicious websites.</t>
    </r>
  </si>
  <si>
    <r>
      <rPr>
        <sz val="11"/>
        <color rgb="FF000000"/>
        <rFont val="Calibri"/>
      </rPr>
      <t>Several technologies exist for protecting users from malicious links included in emails. For example, Microsoft Defender accomplishes this by prepending</t>
    </r>
    <r>
      <rPr>
        <sz val="11"/>
        <color rgb="FF000000"/>
        <rFont val="Calibri"/>
      </rPr>
      <t xml:space="preserve">
</t>
    </r>
    <r>
      <rPr>
        <b/>
        <sz val="11"/>
        <color rgb="FF000000"/>
        <rFont val="Calibri"/>
      </rPr>
      <t>https://*.safelinks.protection.outlook.com/?url=</t>
    </r>
    <r>
      <rPr>
        <sz val="11"/>
        <color rgb="FF000000"/>
        <rFont val="Calibri"/>
      </rPr>
      <t xml:space="preserve">
</t>
    </r>
    <r>
      <rPr>
        <sz val="11"/>
        <color rgb="FF000000"/>
        <rFont val="Calibri"/>
      </rPr>
      <t>to any URLs included in emails. By prepending the safe links URL, Microsoft can proxy the initial URL through their scanning service. Their proxy can perform the following actions:</t>
    </r>
    <r>
      <rPr>
        <sz val="11"/>
        <color rgb="FF000000"/>
        <rFont val="Calibri"/>
      </rPr>
      <t xml:space="preserve">
</t>
    </r>
    <r>
      <rPr>
        <sz val="11"/>
        <color rgb="FF000000"/>
        <rFont val="Calibri"/>
      </rPr>
      <t>- Compare the URL with a block list.</t>
    </r>
    <r>
      <rPr>
        <sz val="11"/>
        <color rgb="FF000000"/>
        <rFont val="Calibri"/>
      </rPr>
      <t xml:space="preserve">
</t>
    </r>
    <r>
      <rPr>
        <sz val="11"/>
        <color rgb="FF000000"/>
        <rFont val="Calibri"/>
      </rPr>
      <t>- Compare the URL with a list of know malicious sites.</t>
    </r>
    <r>
      <rPr>
        <sz val="11"/>
        <color rgb="FF000000"/>
        <rFont val="Calibri"/>
      </rPr>
      <t xml:space="preserve">
</t>
    </r>
    <r>
      <rPr>
        <sz val="11"/>
        <color rgb="FF000000"/>
        <rFont val="Calibri"/>
      </rPr>
      <t>- If the URL points to a downloadable file, apply real-time file scanning.</t>
    </r>
    <r>
      <rPr>
        <sz val="11"/>
        <color rgb="FF000000"/>
        <rFont val="Calibri"/>
      </rPr>
      <t xml:space="preserve">
</t>
    </r>
    <r>
      <rPr>
        <sz val="11"/>
        <color rgb="FF000000"/>
        <rFont val="Calibri"/>
      </rPr>
      <t>If all checks pass, the user is redirected to the original URL.</t>
    </r>
    <r>
      <rPr>
        <sz val="11"/>
        <color rgb="FF000000"/>
        <rFont val="Calibri"/>
      </rPr>
      <t xml:space="preserve">
</t>
    </r>
    <r>
      <rPr>
        <sz val="11"/>
        <color rgb="FF000000"/>
        <rFont val="Calibri"/>
      </rPr>
      <t>Microsoft Defender includes link-scanning capabilities. Using Microsoft Defender is not strictly required for this purpose; any product fulfilling the requirements outlined in this baseline policy group may be used. If the agency uses Microsoft Defender to meet this baseline policy group, see the following policy of the CISA M365 Secure Configuration Baseline for Defender for Office 365 for additional guidance.</t>
    </r>
    <r>
      <rPr>
        <sz val="11"/>
        <color rgb="FF000000"/>
        <rFont val="Calibri"/>
      </rPr>
      <t xml:space="preserve">
</t>
    </r>
    <r>
      <rPr>
        <sz val="11"/>
        <color rgb="FF000000"/>
        <rFont val="Calibri"/>
      </rPr>
      <t xml:space="preserve">- MS.DEFENDER.1.3v1 \| CISA M365 Secure Configuration Baseline for Defender for Office 365 </t>
    </r>
    <r>
      <rPr>
        <sz val="11"/>
        <color rgb="FF0000FF"/>
        <rFont val="Calibri"/>
      </rPr>
      <t>(./defender.md#msdefender13v1)</t>
    </r>
    <r>
      <rPr>
        <sz val="11"/>
        <color rgb="FF000000"/>
        <rFont val="Calibri"/>
      </rPr>
      <t>.</t>
    </r>
    <r>
      <rPr>
        <sz val="11"/>
        <color rgb="FF000000"/>
        <rFont val="Calibri"/>
      </rPr>
      <t xml:space="preserve">
</t>
    </r>
    <r>
      <rPr>
        <sz val="11"/>
        <color rgb="FF000000"/>
        <rFont val="Calibri"/>
      </rPr>
      <t>- All users SHALL be added to Defender for Office 365 Protection in either the standard or strict preset security policy.</t>
    </r>
  </si>
  <si>
    <r>
      <rPr>
        <b/>
        <sz val="11"/>
        <color rgb="FF000000"/>
        <rFont val="Calibri"/>
      </rPr>
      <t>Recommended settings for EOP and Microsoft Defender for Office 365 security | Microsoft Learn</t>
    </r>
    <r>
      <rPr>
        <sz val="11"/>
        <color rgb="FF000000"/>
        <rFont val="Calibri"/>
      </rPr>
      <t xml:space="preserve">
</t>
    </r>
    <r>
      <rPr>
        <sz val="11"/>
        <color rgb="FF0000FF"/>
        <rFont val="Calibri"/>
      </rPr>
      <t>https://learn.microsoft.com/en-us/microsoft-365/security/office-365-security/recommended-settings-for-eop-and-office365</t>
    </r>
    <r>
      <rPr>
        <sz val="11"/>
        <color rgb="FF000000"/>
        <rFont val="Calibri"/>
      </rPr>
      <t xml:space="preserve">
</t>
    </r>
    <r>
      <rPr>
        <b/>
        <sz val="11"/>
        <color rgb="FF000000"/>
        <rFont val="Calibri"/>
      </rPr>
      <t>Set up Safe Links policies in Microsoft Defender for Office 365 | Microsoft Learn</t>
    </r>
    <r>
      <rPr>
        <sz val="11"/>
        <color rgb="FF000000"/>
        <rFont val="Calibri"/>
      </rPr>
      <t xml:space="preserve">
</t>
    </r>
    <r>
      <rPr>
        <sz val="11"/>
        <color rgb="FF0000FF"/>
        <rFont val="Calibri"/>
      </rPr>
      <t>https://learn.microsoft.com/en-us/microsoft-365/security/office-365-security/safe-links-policies-configure?view=o365-worldwide</t>
    </r>
  </si>
  <si>
    <t>MS.TEAMS.8.2v1</t>
  </si>
  <si>
    <r>
      <rPr>
        <sz val="11"/>
        <color rgb="FF000000"/>
        <rFont val="Calibri"/>
      </rPr>
      <t>User click tracking SHOULD be enabled.</t>
    </r>
  </si>
  <si>
    <r>
      <rPr>
        <sz val="11"/>
        <color rgb="FF000000"/>
        <rFont val="Calibri"/>
      </rPr>
      <t xml:space="preserve">Any product meeting the requirements outlined in this baseline policy may be used. If the agency uses Microsoft Defender, see the following implementation steps for standard or strict preset security policy </t>
    </r>
    <r>
      <rPr>
        <sz val="11"/>
        <color rgb="FF0000FF"/>
        <rFont val="Calibri"/>
      </rPr>
      <t>(defender.md#msdefender13v1-instructions)</t>
    </r>
    <r>
      <rPr>
        <sz val="11"/>
        <color rgb="FF000000"/>
        <rFont val="Calibri"/>
      </rPr>
      <t xml:space="preserve"> for additional guidance.</t>
    </r>
    <r>
      <rPr>
        <sz val="11"/>
        <color rgb="FF000000"/>
        <rFont val="Calibri"/>
      </rPr>
      <t xml:space="preserve">
</t>
    </r>
    <r>
      <rPr>
        <sz val="11"/>
        <color rgb="FF000000"/>
        <rFont val="Calibri"/>
      </rPr>
      <t>[^1]: Note that B2B guest users and all anonymous users except for external users appear in Teams calls as _John Doe (Guest)_. To avoid potential confusion, true guest users are always referred to as B2B guest users in this document.</t>
    </r>
  </si>
  <si>
    <r>
      <rPr>
        <sz val="11"/>
        <color rgb="FF000000"/>
        <rFont val="Calibri"/>
      </rPr>
      <t>Users may click on malicious links in Teams, leading to compromise or authorized data disclosure. Enabling user click tracking lets agencies know if a malicious link may have been visited after the fact to help tailor a response to a potential incident.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</si>
  <si>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</si>
  <si>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</si>
  <si>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</si>
  <si>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</si>
  <si>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</si>
  <si>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</si>
  <si>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</si>
  <si>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</si>
  <si>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</si>
  <si>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</si>
  <si>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</si>
  <si>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</si>
  <si>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</si>
  <si>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</si>
  <si>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</si>
  <si>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</si>
  <si>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</si>
  <si>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</si>
  <si>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</si>
  <si>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</si>
  <si>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</si>
  <si>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</si>
  <si>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</si>
  <si>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</si>
  <si>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</si>
  <si>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</si>
  <si>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</si>
  <si>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</si>
  <si>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</si>
  <si>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CISA M365 Secure Configuration Baseline for Teams</t>
  </si>
  <si>
    <t>Developed By:</t>
  </si>
  <si>
    <t>Cybersecurity and Infrastructure Security Agency (CISA)</t>
  </si>
  <si>
    <t>Release Information:</t>
  </si>
  <si>
    <r>
      <rPr>
        <b/>
        <sz val="11"/>
        <color rgb="FF000000"/>
        <rFont val="Calibri"/>
      </rPr>
      <t>Version:</t>
    </r>
    <r>
      <rPr>
        <sz val="11"/>
        <color rgb="FF000000"/>
        <rFont val="Calibri"/>
      </rPr>
      <t xml:space="preserve"> 1.8.0     </t>
    </r>
    <r>
      <rPr>
        <b/>
        <sz val="11"/>
        <color rgb="FF000000"/>
        <rFont val="Calibri"/>
      </rPr>
      <t>Date:</t>
    </r>
    <r>
      <rPr>
        <sz val="11"/>
        <color rgb="FF000000"/>
        <rFont val="Calibri"/>
      </rPr>
      <t xml:space="preserve"> 07 May 2026     </t>
    </r>
    <r>
      <rPr>
        <b/>
        <sz val="11"/>
        <color rgb="FF000000"/>
        <rFont val="Calibri"/>
      </rPr>
      <t>Classification:</t>
    </r>
    <r>
      <rPr>
        <sz val="11"/>
        <color rgb="FF000000"/>
        <rFont val="Calibri"/>
      </rPr>
      <t xml:space="preserve"> TLP:CLEAR     </t>
    </r>
    <r>
      <rPr>
        <b/>
        <sz val="11"/>
        <color rgb="FF000000"/>
        <rFont val="Calibri"/>
      </rPr>
      <t>Recommendation Count:</t>
    </r>
    <r>
      <rPr>
        <sz val="11"/>
        <color rgb="FF000000"/>
        <rFont val="Calibri"/>
      </rPr>
      <t xml:space="preserve"> 20</t>
    </r>
  </si>
  <si>
    <t>Development Url:</t>
  </si>
  <si>
    <t>https://github.com/cisagov/ScubaGear/blob/v1.8.0/PowerShell/ScubaGear/baselines/teams.md</t>
  </si>
  <si>
    <t>Guide Overview:</t>
  </si>
  <si>
    <r>
      <rPr>
        <sz val="11"/>
        <color rgb="FF000000"/>
        <rFont val="Calibri"/>
      </rPr>
      <t>Microsoft 365 (M365) Teams is a cloud-based text and live chat workspace that supports video calls, chat messaging, screen sharing, and file sharing. This secure configuration baseline (SCB) provides specific policies to strengthen Microsoft Teams' security.</t>
    </r>
    <r>
      <rPr>
        <sz val="11"/>
        <color rgb="FF000000"/>
        <rFont val="Calibri"/>
      </rPr>
      <t xml:space="preserve">
</t>
    </r>
    <r>
      <rPr>
        <sz val="11"/>
        <color rgb="FF000000"/>
        <rFont val="Calibri"/>
      </rPr>
      <t>The Secure Cloud Business Applications (SCuBA) project, run by the Cybersecurity and Infrastructure Security Agency (CISA), provides guidance and capabilities to secure federal civilian executive branch (FCEB) agencies’ cloud business application environments and protect federal information that is created, accessed, shared, and stored in those environments.</t>
    </r>
    <r>
      <rPr>
        <sz val="11"/>
        <color rgb="FF000000"/>
        <rFont val="Calibri"/>
      </rPr>
      <t xml:space="preserve">
</t>
    </r>
    <r>
      <rPr>
        <sz val="11"/>
        <color rgb="FF000000"/>
        <rFont val="Calibri"/>
      </rPr>
      <t>The CISA SCuBA SCBs for M365 help secure federal information assets stored within M365 cloud business application environments through consistent, effective, and manageable security configurations. CISA created baselines tailored to the federal government’s threats and risk tolerance with the knowledge that every organization has different threat models and risk tolerance. While use of these baselines will be mandatory for civilian Federal Government agencies, organizations outside of the Federal Government may also find these baselines to be useful references to help reduce risks.</t>
    </r>
    <r>
      <rPr>
        <sz val="11"/>
        <color rgb="FF000000"/>
        <rFont val="Calibri"/>
      </rPr>
      <t xml:space="preserve">
</t>
    </r>
    <r>
      <rPr>
        <sz val="11"/>
        <color rgb="FF000000"/>
        <rFont val="Calibri"/>
      </rPr>
      <t>For non-Federal users, the information in this document is being provided “as is” for INFORMATIONAL PURPOSES ONLY. CISA does not endorse any commercial product or service, including any subjects of analysis. Any reference to specific commercial entities or commercial products, processes, or services by service mark, trademark, manufacturer, or otherwise, does not constitute or imply endorsement, recommendation, or favoritism by CISA. Without limiting the generality of the foregoing, some controls and settings are not available in all products; CISA has no control over vendor changes to products offerings or features. Accordingly, these SCuBA SCBs for M365 may not be applicable to the products available to you. This document does not address, ensure compliance with, or supersede any law, regulation, or other authority. Entities are responsible for complying with any recordkeeping, privacy, and other laws that may apply to the use of technology. This document is not intended to, and does not, create any right or benefit for anyone against the United States, its departments, agencies, or entities, its officers, employees, or agents, or any other person.</t>
    </r>
    <r>
      <rPr>
        <sz val="11"/>
        <color rgb="FF000000"/>
        <rFont val="Calibri"/>
      </rPr>
      <t xml:space="preserve">
</t>
    </r>
    <r>
      <rPr>
        <i/>
        <sz val="11"/>
        <color rgb="FF000000"/>
        <rFont val="Calibri"/>
      </rPr>
      <t xml:space="preserve">This document is marked TLP:CLEAR. Recipients may share this information without restriction. Information is subject to standard copyright rules. For more information on the Traffic Light Protocol, see </t>
    </r>
    <r>
      <rPr>
        <i/>
        <sz val="11"/>
        <color rgb="FF0000FF"/>
        <rFont val="Calibri"/>
      </rPr>
      <t>https://www.cisa.gov/tlp.</t>
    </r>
  </si>
  <si>
    <t>License Compliance and Copyright</t>
  </si>
  <si>
    <r>
      <rPr>
        <sz val="11"/>
        <color rgb="FF000000"/>
        <rFont val="Calibri"/>
      </rPr>
      <t xml:space="preserve">Portions of this document are adapted from documents in Microsoft's M365 </t>
    </r>
    <r>
      <rPr>
        <sz val="11"/>
        <color rgb="FF0000FF"/>
        <rFont val="Calibri"/>
      </rPr>
      <t>(https://github.com/MicrosoftDocs/microsoft-365-docs/blob/public/LICENSE)</t>
    </r>
    <r>
      <rPr>
        <sz val="11"/>
        <color rgb="FF000000"/>
        <rFont val="Calibri"/>
      </rPr>
      <t xml:space="preserve"> and Azure </t>
    </r>
    <r>
      <rPr>
        <sz val="11"/>
        <color rgb="FF0000FF"/>
        <rFont val="Calibri"/>
      </rPr>
      <t>(https://github.com/MicrosoftDocs/azure-docs/blob/main/LICENSE)</t>
    </r>
    <r>
      <rPr>
        <sz val="11"/>
        <color rgb="FF000000"/>
        <rFont val="Calibri"/>
      </rPr>
      <t xml:space="preserve"> GitHub repositories. The respective documents are subject to copyright and are adapted under the terms of the Creative Commons Attribution 4.0 International license. Source documents are linked throughout this document. The United States government has adapted selections of these documents to develop innovative and scalable configuration standards to strengthen the security of widely used cloud-based software services.</t>
    </r>
  </si>
  <si>
    <t>Assumptions</t>
  </si>
  <si>
    <r>
      <rPr>
        <sz val="11"/>
        <color rgb="FF000000"/>
        <rFont val="Calibri"/>
      </rPr>
      <t xml:space="preserve">The </t>
    </r>
    <r>
      <rPr>
        <b/>
        <sz val="11"/>
        <color rgb="FF000000"/>
        <rFont val="Calibri"/>
      </rPr>
      <t>License Requirements</t>
    </r>
    <r>
      <rPr>
        <sz val="11"/>
        <color rgb="FF000000"/>
        <rFont val="Calibri"/>
      </rPr>
      <t xml:space="preserve"> sections of this document assume the organization is using an M365 E3 </t>
    </r>
    <r>
      <rPr>
        <sz val="11"/>
        <color rgb="FF0000FF"/>
        <rFont val="Calibri"/>
      </rPr>
      <t>(https://www.microsoft.com/en-us/microsoft-365/compare-microsoft-365-enterprise-plans)</t>
    </r>
    <r>
      <rPr>
        <sz val="11"/>
        <color rgb="FF000000"/>
        <rFont val="Calibri"/>
      </rPr>
      <t xml:space="preserve"> or G3 </t>
    </r>
    <r>
      <rPr>
        <sz val="11"/>
        <color rgb="FF0000FF"/>
        <rFont val="Calibri"/>
      </rPr>
      <t>(https://www.microsoft.com/en-us/microsoft-365/government)</t>
    </r>
    <r>
      <rPr>
        <sz val="11"/>
        <color rgb="FF000000"/>
        <rFont val="Calibri"/>
      </rPr>
      <t xml:space="preserve"> license level at a minimum. Therefore, only licenses not included in E3/G3 are listed.</t>
    </r>
  </si>
  <si>
    <t>Key Terminology</t>
  </si>
  <si>
    <r>
      <rPr>
        <sz val="11"/>
        <color rgb="FF000000"/>
        <rFont val="Calibri"/>
      </rPr>
      <t xml:space="preserve">The key words "MUST", "MUST NOT", "REQUIRED", "SHALL", "SHALL NOT", "SHOULD", "SHOULD NOT", "RECOMMENDED", "MAY", and "OPTIONAL" in this document are to be interpreted as described in RFC 2119 </t>
    </r>
    <r>
      <rPr>
        <sz val="11"/>
        <color rgb="FF0000FF"/>
        <rFont val="Calibri"/>
      </rPr>
      <t>(https://datatracker.ietf.org/doc/html/rfc2119)</t>
    </r>
    <r>
      <rPr>
        <sz val="11"/>
        <color rgb="FF000000"/>
        <rFont val="Calibri"/>
      </rPr>
      <t>.</t>
    </r>
    <r>
      <rPr>
        <sz val="11"/>
        <color rgb="FF000000"/>
        <rFont val="Calibri"/>
      </rPr>
      <t xml:space="preserve">
</t>
    </r>
    <r>
      <rPr>
        <sz val="11"/>
        <color rgb="FF000000"/>
        <rFont val="Calibri"/>
      </rPr>
      <t>Access to Teams can be controlled by the user type. In this baseline, the types of users are defined as follows:</t>
    </r>
    <r>
      <rPr>
        <sz val="11"/>
        <color rgb="FF000000"/>
        <rFont val="Calibri"/>
      </rPr>
      <t xml:space="preserve">
</t>
    </r>
    <r>
      <rPr>
        <sz val="11"/>
        <color rgb="FF000000"/>
        <rFont val="Calibri"/>
      </rPr>
      <t xml:space="preserve">1. </t>
    </r>
    <r>
      <rPr>
        <b/>
        <sz val="11"/>
        <color rgb="FF000000"/>
        <rFont val="Calibri"/>
      </rPr>
      <t>Internal users</t>
    </r>
    <r>
      <rPr>
        <sz val="11"/>
        <color rgb="FF000000"/>
        <rFont val="Calibri"/>
      </rPr>
      <t>: Members of the agency's M365 tenant.</t>
    </r>
    <r>
      <rPr>
        <sz val="11"/>
        <color rgb="FF000000"/>
        <rFont val="Calibri"/>
      </rPr>
      <t xml:space="preserve">
</t>
    </r>
    <r>
      <rPr>
        <sz val="11"/>
        <color rgb="FF000000"/>
        <rFont val="Calibri"/>
      </rPr>
      <t xml:space="preserve">2. </t>
    </r>
    <r>
      <rPr>
        <b/>
        <sz val="11"/>
        <color rgb="FF000000"/>
        <rFont val="Calibri"/>
      </rPr>
      <t>External users</t>
    </r>
    <r>
      <rPr>
        <sz val="11"/>
        <color rgb="FF000000"/>
        <rFont val="Calibri"/>
      </rPr>
      <t>: Members of a different M365 tenant.</t>
    </r>
    <r>
      <rPr>
        <sz val="11"/>
        <color rgb="FF000000"/>
        <rFont val="Calibri"/>
      </rPr>
      <t xml:space="preserve">
</t>
    </r>
    <r>
      <rPr>
        <sz val="11"/>
        <color rgb="FF000000"/>
        <rFont val="Calibri"/>
      </rPr>
      <t xml:space="preserve">3. </t>
    </r>
    <r>
      <rPr>
        <b/>
        <sz val="11"/>
        <color rgb="FF000000"/>
        <rFont val="Calibri"/>
      </rPr>
      <t>Business to Business (B2B) guest users</t>
    </r>
    <r>
      <rPr>
        <sz val="11"/>
        <color rgb="FF000000"/>
        <rFont val="Calibri"/>
      </rPr>
      <t>: External users who are formally invited to collaborate with the team and added to the agency's Microsoft Entra as guest users. These users authenticate with their home organization/tenant and are granted access to the team by virtue of being listed as guest users on the tenant's Microsoft Entra.</t>
    </r>
    <r>
      <rPr>
        <sz val="11"/>
        <color rgb="FF000000"/>
        <rFont val="Calibri"/>
      </rPr>
      <t xml:space="preserve">
</t>
    </r>
    <r>
      <rPr>
        <sz val="11"/>
        <color rgb="FF000000"/>
        <rFont val="Calibri"/>
      </rPr>
      <t xml:space="preserve">4. </t>
    </r>
    <r>
      <rPr>
        <b/>
        <sz val="11"/>
        <color rgb="FF000000"/>
        <rFont val="Calibri"/>
      </rPr>
      <t>Unmanaged users</t>
    </r>
    <r>
      <rPr>
        <sz val="11"/>
        <color rgb="FF000000"/>
        <rFont val="Calibri"/>
      </rPr>
      <t>: Users who are not members of any M365 tenant or organization (e.g., personal Microsoft accounts).</t>
    </r>
    <r>
      <rPr>
        <sz val="11"/>
        <color rgb="FF000000"/>
        <rFont val="Calibri"/>
      </rPr>
      <t xml:space="preserve">
</t>
    </r>
    <r>
      <rPr>
        <sz val="11"/>
        <color rgb="FF000000"/>
        <rFont val="Calibri"/>
      </rPr>
      <t xml:space="preserve">5. </t>
    </r>
    <r>
      <rPr>
        <b/>
        <sz val="11"/>
        <color rgb="FF000000"/>
        <rFont val="Calibri"/>
      </rPr>
      <t>Anonymous users</t>
    </r>
    <r>
      <rPr>
        <sz val="11"/>
        <color rgb="FF000000"/>
        <rFont val="Calibri"/>
      </rPr>
      <t>: Teams users joining calls who are not authenticated through the agency's tenant; these users include unmanaged users, external users (except for B2B guests), and true anonymous users (i.e., users who are not logged in to any Microsoft or organization account, such as dial-in users[^1]).</t>
    </r>
  </si>
  <si>
    <t>Appendix A - Custom Meeting Policies</t>
  </si>
  <si>
    <r>
      <rPr>
        <sz val="11"/>
        <color rgb="FF000000"/>
        <rFont val="Calibri"/>
      </rPr>
      <t>If there is a legitimate business need, custom meeting policies can be defined with _specific_ users assigned to them. For example, custom meeting policies can be configured with _specific_ users having permission to record meetings. To allow specific users the ability to record meetings:</t>
    </r>
    <r>
      <rPr>
        <sz val="11"/>
        <color rgb="FF000000"/>
        <rFont val="Calibri"/>
      </rPr>
      <t xml:space="preserve">
</t>
    </r>
    <r>
      <rPr>
        <sz val="11"/>
        <color rgb="FF000000"/>
        <rFont val="Calibri"/>
      </rPr>
      <t xml:space="preserve">1. Sign in to the </t>
    </r>
    <r>
      <rPr>
        <b/>
        <sz val="11"/>
        <color rgb="FF000000"/>
        <rFont val="Calibri"/>
      </rPr>
      <t>Microsoft Teams admin center</t>
    </r>
    <r>
      <rPr>
        <sz val="11"/>
        <color rgb="FF000000"/>
        <rFont val="Calibri"/>
      </rPr>
      <t>.</t>
    </r>
    <r>
      <rPr>
        <sz val="11"/>
        <color rgb="FF000000"/>
        <rFont val="Calibri"/>
      </rPr>
      <t xml:space="preserve">
</t>
    </r>
    <r>
      <rPr>
        <sz val="11"/>
        <color rgb="FF000000"/>
        <rFont val="Calibri"/>
      </rPr>
      <t xml:space="preserve">2. Select </t>
    </r>
    <r>
      <rPr>
        <b/>
        <sz val="11"/>
        <color rgb="FF000000"/>
        <rFont val="Calibri"/>
      </rPr>
      <t>Meetings</t>
    </r>
    <r>
      <rPr>
        <sz val="11"/>
        <color rgb="FF000000"/>
        <rFont val="Calibri"/>
      </rPr>
      <t xml:space="preserve"> &gt; </t>
    </r>
    <r>
      <rPr>
        <b/>
        <sz val="11"/>
        <color rgb="FF000000"/>
        <rFont val="Calibri"/>
      </rPr>
      <t>Meeting policies</t>
    </r>
    <r>
      <rPr>
        <sz val="11"/>
        <color rgb="FF000000"/>
        <rFont val="Calibri"/>
      </rPr>
      <t>.</t>
    </r>
    <r>
      <rPr>
        <sz val="11"/>
        <color rgb="FF000000"/>
        <rFont val="Calibri"/>
      </rPr>
      <t xml:space="preserve">
</t>
    </r>
    <r>
      <rPr>
        <sz val="11"/>
        <color rgb="FF000000"/>
        <rFont val="Calibri"/>
      </rPr>
      <t xml:space="preserve">3. Create a new policy by selecting </t>
    </r>
    <r>
      <rPr>
        <b/>
        <sz val="11"/>
        <color rgb="FF000000"/>
        <rFont val="Calibri"/>
      </rPr>
      <t>Add</t>
    </r>
    <r>
      <rPr>
        <sz val="11"/>
        <color rgb="FF000000"/>
        <rFont val="Calibri"/>
      </rPr>
      <t>. Give this new policy a name and appropriate description.</t>
    </r>
    <r>
      <rPr>
        <sz val="11"/>
        <color rgb="FF000000"/>
        <rFont val="Calibri"/>
      </rPr>
      <t xml:space="preserve">
</t>
    </r>
    <r>
      <rPr>
        <sz val="11"/>
        <color rgb="FF000000"/>
        <rFont val="Calibri"/>
      </rPr>
      <t xml:space="preserve">4. Under the </t>
    </r>
    <r>
      <rPr>
        <b/>
        <sz val="11"/>
        <color rgb="FF000000"/>
        <rFont val="Calibri"/>
      </rPr>
      <t>Recording &amp; transcription</t>
    </r>
    <r>
      <rPr>
        <sz val="11"/>
        <color rgb="FF000000"/>
        <rFont val="Calibri"/>
      </rPr>
      <t xml:space="preserve"> section, set </t>
    </r>
    <r>
      <rPr>
        <b/>
        <sz val="11"/>
        <color rgb="FF000000"/>
        <rFont val="Calibri"/>
      </rPr>
      <t>Cloud recording</t>
    </r>
    <r>
      <rPr>
        <sz val="11"/>
        <color rgb="FF000000"/>
        <rFont val="Calibri"/>
      </rPr>
      <t xml:space="preserve"> to </t>
    </r>
    <r>
      <rPr>
        <b/>
        <sz val="11"/>
        <color rgb="FF000000"/>
        <rFont val="Calibri"/>
      </rPr>
      <t>On</t>
    </r>
    <r>
      <rPr>
        <sz val="11"/>
        <color rgb="FF000000"/>
        <rFont val="Calibri"/>
      </rPr>
      <t>.</t>
    </r>
    <r>
      <rPr>
        <sz val="11"/>
        <color rgb="FF000000"/>
        <rFont val="Calibri"/>
      </rPr>
      <t xml:space="preserve">
</t>
    </r>
    <r>
      <rPr>
        <sz val="11"/>
        <color rgb="FF000000"/>
        <rFont val="Calibri"/>
      </rPr>
      <t xml:space="preserve">5. Select </t>
    </r>
    <r>
      <rPr>
        <b/>
        <sz val="11"/>
        <color rgb="FF000000"/>
        <rFont val="Calibri"/>
      </rPr>
      <t>Save</t>
    </r>
    <r>
      <rPr>
        <sz val="11"/>
        <color rgb="FF000000"/>
        <rFont val="Calibri"/>
      </rPr>
      <t>.</t>
    </r>
    <r>
      <rPr>
        <sz val="11"/>
        <color rgb="FF000000"/>
        <rFont val="Calibri"/>
      </rPr>
      <t xml:space="preserve">
</t>
    </r>
    <r>
      <rPr>
        <sz val="11"/>
        <color rgb="FF000000"/>
        <rFont val="Calibri"/>
      </rPr>
      <t xml:space="preserve">6. After selecting </t>
    </r>
    <r>
      <rPr>
        <b/>
        <sz val="11"/>
        <color rgb="FF000000"/>
        <rFont val="Calibri"/>
      </rPr>
      <t>Save</t>
    </r>
    <r>
      <rPr>
        <sz val="11"/>
        <color rgb="FF000000"/>
        <rFont val="Calibri"/>
      </rPr>
      <t xml:space="preserve">, a table displays the set of policies. Select the row containing the new policy, then select </t>
    </r>
    <r>
      <rPr>
        <b/>
        <sz val="11"/>
        <color rgb="FF000000"/>
        <rFont val="Calibri"/>
      </rPr>
      <t>Manage users</t>
    </r>
    <r>
      <rPr>
        <sz val="11"/>
        <color rgb="FF000000"/>
        <rFont val="Calibri"/>
      </rPr>
      <t>.</t>
    </r>
    <r>
      <rPr>
        <sz val="11"/>
        <color rgb="FF000000"/>
        <rFont val="Calibri"/>
      </rPr>
      <t xml:space="preserve">
</t>
    </r>
    <r>
      <rPr>
        <sz val="11"/>
        <color rgb="FF000000"/>
        <rFont val="Calibri"/>
      </rPr>
      <t>7. Assign the users who need the ability to record to this policy.</t>
    </r>
    <r>
      <rPr>
        <sz val="11"/>
        <color rgb="FF000000"/>
        <rFont val="Calibri"/>
      </rPr>
      <t xml:space="preserve">
</t>
    </r>
    <r>
      <rPr>
        <sz val="11"/>
        <color rgb="FF000000"/>
        <rFont val="Calibri"/>
      </rPr>
      <t xml:space="preserve">8. Select </t>
    </r>
    <r>
      <rPr>
        <b/>
        <sz val="11"/>
        <color rgb="FF000000"/>
        <rFont val="Calibri"/>
      </rPr>
      <t>Apply</t>
    </r>
    <r>
      <rPr>
        <sz val="11"/>
        <color rgb="FF000000"/>
        <rFont val="Calibri"/>
      </rPr>
      <t>.</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</si>
  <si>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</si>
  <si>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</si>
  <si>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</si>
  <si>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</si>
  <si>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</si>
  <si>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</si>
  <si>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</si>
  <si>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</si>
  <si>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</si>
  <si>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</si>
  <si>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</si>
  <si>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</si>
  <si>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</si>
  <si>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</si>
  <si>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</si>
  <si>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</si>
  <si>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</si>
  <si>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CISA M365 Secure Configuration Baseline for Teams 1.8.0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</si>
  <si>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</si>
  <si>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</si>
  <si>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</si>
  <si>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</si>
  <si>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</si>
  <si>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</si>
  <si>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</si>
  <si>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</si>
  <si>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</si>
  <si>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</si>
  <si>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</si>
  <si>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</si>
  <si>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</si>
  <si>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</si>
  <si>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</si>
  <si>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</si>
  <si>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</si>
  <si>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Criticality</t>
  </si>
  <si>
    <t>Status by Phase</t>
  </si>
  <si>
    <t>Phase1</t>
  </si>
  <si>
    <t>Phase2</t>
  </si>
  <si>
    <t>Phase3</t>
  </si>
  <si>
    <t>Phase4</t>
  </si>
  <si>
    <t>Phase5</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</si>
  <si>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</si>
  <si>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</si>
  <si>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</si>
  <si>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</si>
  <si>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</si>
  <si>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</si>
  <si>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</si>
  <si>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</si>
  <si>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</si>
  <si>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</si>
  <si>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</si>
  <si>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</si>
  <si>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</si>
  <si>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</si>
  <si>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</si>
  <si>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</si>
  <si>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</si>
  <si>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</si>
  <si>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</si>
  <si>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</si>
  <si>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</si>
  <si>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</si>
  <si>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(C71)</t>
  </si>
  <si>
    <t>% Must</t>
  </si>
  <si>
    <t>Should Count (C72)</t>
  </si>
  <si>
    <t>% Should</t>
  </si>
  <si>
    <t>Could Count (C73)</t>
  </si>
  <si>
    <t>% Could</t>
  </si>
  <si>
    <t>Example Snapshot →</t>
  </si>
  <si>
    <t>2026-05-10</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</si>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</sst>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28"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center" vertical="center"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wrapText="1"/>
    </xf>
    <xf numFmtId="0" fontId="0" fillId="0" borderId="6" xfId="0" applyNumberFormat="1" applyFont="1" applyBorder="1" applyAlignment="1" applyProtection="1">
      <alignment horizontal="center" vertical="center" wrapText="1"/>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9"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0" fillId="4" borderId="11" xfId="0" applyNumberFormat="1" applyFont="1" applyFill="1" applyBorder="1" applyAlignment="1" applyProtection="1">
      <alignment horizontal="left"/>
    </xf>
    <xf numFmtId="0" fontId="10" fillId="4" borderId="11" xfId="0" applyNumberFormat="1" applyFont="1" applyFill="1" applyBorder="1" applyAlignment="1" applyProtection="1">
      <alignment horizontal="center"/>
    </xf>
    <xf numFmtId="164" fontId="10" fillId="4" borderId="11" xfId="0" applyNumberFormat="1" applyFont="1" applyFill="1" applyBorder="1" applyAlignment="1" applyProtection="1">
      <alignment horizontal="center"/>
    </xf>
    <xf numFmtId="0" fontId="11" fillId="3" borderId="0" xfId="0" applyNumberFormat="1" applyFont="1" applyFill="1" applyProtection="1"/>
    <xf numFmtId="0" fontId="9"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3" fillId="3" borderId="0" xfId="0" applyNumberFormat="1" applyFont="1" applyFill="1" applyProtection="1"/>
    <xf numFmtId="0" fontId="14" fillId="3" borderId="13" xfId="0" applyNumberFormat="1" applyFont="1" applyFill="1" applyBorder="1" applyAlignment="1" applyProtection="1">
      <alignment horizontal="right" vertical="center"/>
    </xf>
    <xf numFmtId="0" fontId="15"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9" fillId="2" borderId="11" xfId="0" applyNumberFormat="1" applyFont="1" applyFill="1" applyBorder="1" applyAlignment="1" applyProtection="1">
      <alignment horizontal="center" vertical="center" wrapText="1"/>
    </xf>
    <xf numFmtId="0" fontId="16"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9"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8" fillId="14" borderId="11" xfId="0" applyNumberFormat="1" applyFont="1" applyFill="1" applyBorder="1" applyAlignment="1" applyProtection="1">
      <alignment horizontal="center" vertical="center" wrapText="1"/>
    </xf>
    <xf numFmtId="0" fontId="18" fillId="15" borderId="11" xfId="0" applyNumberFormat="1" applyFont="1" applyFill="1" applyBorder="1" applyAlignment="1" applyProtection="1">
      <alignment horizontal="center" vertical="center" wrapText="1"/>
    </xf>
    <xf numFmtId="0" fontId="18" fillId="16" borderId="11" xfId="0" applyNumberFormat="1" applyFont="1" applyFill="1" applyBorder="1" applyAlignment="1" applyProtection="1">
      <alignment horizontal="center" vertical="center" wrapText="1"/>
    </xf>
    <xf numFmtId="0" fontId="18" fillId="17" borderId="11" xfId="0" applyNumberFormat="1" applyFont="1" applyFill="1" applyBorder="1" applyAlignment="1" applyProtection="1">
      <alignment horizontal="center" vertical="center" wrapText="1"/>
    </xf>
    <xf numFmtId="0" fontId="18" fillId="18" borderId="11" xfId="0" applyNumberFormat="1" applyFont="1" applyFill="1" applyBorder="1" applyAlignment="1" applyProtection="1">
      <alignment horizontal="center" vertical="center" wrapText="1"/>
    </xf>
    <xf numFmtId="0" fontId="18" fillId="19" borderId="11" xfId="0" applyNumberFormat="1" applyFont="1" applyFill="1" applyBorder="1" applyAlignment="1" applyProtection="1">
      <alignment horizontal="center" vertical="center" wrapText="1"/>
    </xf>
    <xf numFmtId="0" fontId="19"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0"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9"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9"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2" fillId="3" borderId="0" xfId="0" applyNumberFormat="1" applyFont="1" applyFill="1" applyAlignment="1" applyProtection="1">
      <alignment vertical="top" wrapText="1"/>
    </xf>
    <xf numFmtId="3" fontId="17"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7"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9"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3">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5F6-4004-A227-3D589F53449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5F6-4004-A227-3D589F53449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c:v>
                </c:pt>
              </c:numCache>
            </c:numRef>
          </c:val>
          <c:extLst>
            <c:ext xmlns:c16="http://schemas.microsoft.com/office/drawing/2014/chart" uri="{C3380CC4-5D6E-409C-BE32-E72D297353CC}">
              <c16:uniqueId val="{00000002-05F6-4004-A227-3D589F53449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Criticality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SHALL</c:v>
                </c:pt>
                <c:pt idx="1">
                  <c:v>SHALL NOT</c:v>
                </c:pt>
                <c:pt idx="2">
                  <c:v>SHOULD</c:v>
                </c:pt>
                <c:pt idx="3">
                  <c:v>SHOULD NOT</c:v>
                </c:pt>
              </c:strCache>
            </c:strRef>
          </c:cat>
          <c:val>
            <c:numRef>
              <c:f>Dashboard!$C$29:$C$32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7BC-4D0C-AE9D-27493C97FF2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SHALL</c:v>
                </c:pt>
                <c:pt idx="1">
                  <c:v>SHALL NOT</c:v>
                </c:pt>
                <c:pt idx="2">
                  <c:v>SHOULD</c:v>
                </c:pt>
                <c:pt idx="3">
                  <c:v>SHOULD NOT</c:v>
                </c:pt>
              </c:strCache>
            </c:strRef>
          </c:cat>
          <c:val>
            <c:numRef>
              <c:f>Dashboard!$D$29:$D$32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7BC-4D0C-AE9D-27493C97FF2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SHALL</c:v>
                </c:pt>
                <c:pt idx="1">
                  <c:v>SHALL NOT</c:v>
                </c:pt>
                <c:pt idx="2">
                  <c:v>SHOULD</c:v>
                </c:pt>
                <c:pt idx="3">
                  <c:v>SHOULD NOT</c:v>
                </c:pt>
              </c:strCache>
            </c:strRef>
          </c:cat>
          <c:val>
            <c:numRef>
              <c:f>Dashboard!$E$29:$E$32</c:f>
              <c:numCache>
                <c:formatCode>General</c:formatCode>
                <c:ptCount val="4"/>
                <c:pt idx="0">
                  <c:v>4</c:v>
                </c:pt>
                <c:pt idx="1">
                  <c:v>2</c:v>
                </c:pt>
                <c:pt idx="2">
                  <c:v>9</c:v>
                </c:pt>
                <c:pt idx="3">
                  <c:v>5</c:v>
                </c:pt>
              </c:numCache>
            </c:numRef>
          </c:val>
          <c:extLst>
            <c:ext xmlns:c16="http://schemas.microsoft.com/office/drawing/2014/chart" uri="{C3380CC4-5D6E-409C-BE32-E72D297353CC}">
              <c16:uniqueId val="{00000002-17BC-4D0C-AE9D-27493C97FF2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Dashboard!$C$48:$C$53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E52-4902-82E8-8B07DF443D7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Dashboard!$D$48:$D$53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E52-4902-82E8-8B07DF443D7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Dashboard!$B$48:$B$53</c:f>
              <c:strCache>
                <c:ptCount val="6"/>
                <c:pt idx="0">
                  <c:v>Phase1</c:v>
                </c:pt>
                <c:pt idx="1">
                  <c:v>Phase2</c:v>
                </c:pt>
                <c:pt idx="2">
                  <c:v>Phase3</c:v>
                </c:pt>
                <c:pt idx="3">
                  <c:v>Phase4</c:v>
                </c:pt>
                <c:pt idx="4">
                  <c:v>Phase5</c:v>
                </c:pt>
                <c:pt idx="5">
                  <c:v>Pending</c:v>
                </c:pt>
              </c:strCache>
            </c:strRef>
          </c:cat>
          <c:val>
            <c:numRef>
              <c:f>Dashboard!$E$48:$E$53</c:f>
              <c:numCache>
                <c:formatCode>General</c:formatCode>
                <c:ptCount val="6"/>
                <c:pt idx="0">
                  <c:v>0</c:v>
                </c:pt>
                <c:pt idx="1">
                  <c:v>0</c:v>
                </c:pt>
                <c:pt idx="2">
                  <c:v>0</c:v>
                </c:pt>
                <c:pt idx="3">
                  <c:v>0</c:v>
                </c:pt>
                <c:pt idx="4">
                  <c:v>0</c:v>
                </c:pt>
                <c:pt idx="5">
                  <c:v>20</c:v>
                </c:pt>
              </c:numCache>
            </c:numRef>
          </c:val>
          <c:extLst>
            <c:ext xmlns:c16="http://schemas.microsoft.com/office/drawing/2014/chart" uri="{C3380CC4-5D6E-409C-BE32-E72D297353CC}">
              <c16:uniqueId val="{00000002-0E52-4902-82E8-8B07DF443D7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Dashboard!$B$71:$B$75</c:f>
              <c:strCache>
                <c:ptCount val="5"/>
                <c:pt idx="0">
                  <c:v>Must</c:v>
                </c:pt>
                <c:pt idx="1">
                  <c:v>Should</c:v>
                </c:pt>
                <c:pt idx="2">
                  <c:v>Could</c:v>
                </c:pt>
                <c:pt idx="3">
                  <c:v>Won't</c:v>
                </c:pt>
                <c:pt idx="4">
                  <c:v>Unassigned</c:v>
                </c:pt>
              </c:strCache>
            </c:strRef>
          </c:cat>
          <c:val>
            <c:numRef>
              <c:f>Dashboard!$C$71:$C$75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E45-48B0-BE55-8C10FB678D3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Dashboard!$B$71:$B$75</c:f>
              <c:strCache>
                <c:ptCount val="5"/>
                <c:pt idx="0">
                  <c:v>Must</c:v>
                </c:pt>
                <c:pt idx="1">
                  <c:v>Should</c:v>
                </c:pt>
                <c:pt idx="2">
                  <c:v>Could</c:v>
                </c:pt>
                <c:pt idx="3">
                  <c:v>Won't</c:v>
                </c:pt>
                <c:pt idx="4">
                  <c:v>Unassigned</c:v>
                </c:pt>
              </c:strCache>
            </c:strRef>
          </c:cat>
          <c:val>
            <c:numRef>
              <c:f>Dashboard!$D$71:$D$75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E45-48B0-BE55-8C10FB678D3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Dashboard!$B$71:$B$75</c:f>
              <c:strCache>
                <c:ptCount val="5"/>
                <c:pt idx="0">
                  <c:v>Must</c:v>
                </c:pt>
                <c:pt idx="1">
                  <c:v>Should</c:v>
                </c:pt>
                <c:pt idx="2">
                  <c:v>Could</c:v>
                </c:pt>
                <c:pt idx="3">
                  <c:v>Won't</c:v>
                </c:pt>
                <c:pt idx="4">
                  <c:v>Unassigned</c:v>
                </c:pt>
              </c:strCache>
            </c:strRef>
          </c:cat>
          <c:val>
            <c:numRef>
              <c:f>Dashboard!$E$71:$E$75</c:f>
              <c:numCache>
                <c:formatCode>General</c:formatCode>
                <c:ptCount val="5"/>
                <c:pt idx="0">
                  <c:v>0</c:v>
                </c:pt>
                <c:pt idx="1">
                  <c:v>0</c:v>
                </c:pt>
                <c:pt idx="2">
                  <c:v>0</c:v>
                </c:pt>
                <c:pt idx="3">
                  <c:v>0</c:v>
                </c:pt>
                <c:pt idx="4">
                  <c:v>20</c:v>
                </c:pt>
              </c:numCache>
            </c:numRef>
          </c:val>
          <c:extLst>
            <c:ext xmlns:c16="http://schemas.microsoft.com/office/drawing/2014/chart" uri="{C3380CC4-5D6E-409C-BE32-E72D297353CC}">
              <c16:uniqueId val="{00000002-7E45-48B0-BE55-8C10FB678D3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Dashboard!$B$92:$B$95</c:f>
              <c:strCache>
                <c:ptCount val="4"/>
                <c:pt idx="0">
                  <c:v>Low</c:v>
                </c:pt>
                <c:pt idx="1">
                  <c:v>Medium</c:v>
                </c:pt>
                <c:pt idx="2">
                  <c:v>High</c:v>
                </c:pt>
                <c:pt idx="3">
                  <c:v>Unassessed</c:v>
                </c:pt>
              </c:strCache>
            </c:strRef>
          </c:cat>
          <c:val>
            <c:numRef>
              <c:f>Dashboard!$C$92:$C$95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139-4470-A0DC-9CA168E8113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Dashboard!$B$92:$B$95</c:f>
              <c:strCache>
                <c:ptCount val="4"/>
                <c:pt idx="0">
                  <c:v>Low</c:v>
                </c:pt>
                <c:pt idx="1">
                  <c:v>Medium</c:v>
                </c:pt>
                <c:pt idx="2">
                  <c:v>High</c:v>
                </c:pt>
                <c:pt idx="3">
                  <c:v>Unassessed</c:v>
                </c:pt>
              </c:strCache>
            </c:strRef>
          </c:cat>
          <c:val>
            <c:numRef>
              <c:f>Dashboard!$D$92:$D$95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139-4470-A0DC-9CA168E8113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Dashboard!$B$92:$B$95</c:f>
              <c:strCache>
                <c:ptCount val="4"/>
                <c:pt idx="0">
                  <c:v>Low</c:v>
                </c:pt>
                <c:pt idx="1">
                  <c:v>Medium</c:v>
                </c:pt>
                <c:pt idx="2">
                  <c:v>High</c:v>
                </c:pt>
                <c:pt idx="3">
                  <c:v>Unassessed</c:v>
                </c:pt>
              </c:strCache>
            </c:strRef>
          </c:cat>
          <c:val>
            <c:numRef>
              <c:f>Dashboard!$E$92:$E$95</c:f>
              <c:numCache>
                <c:formatCode>General</c:formatCode>
                <c:ptCount val="4"/>
                <c:pt idx="0">
                  <c:v>0</c:v>
                </c:pt>
                <c:pt idx="1">
                  <c:v>0</c:v>
                </c:pt>
                <c:pt idx="2">
                  <c:v>0</c:v>
                </c:pt>
                <c:pt idx="3">
                  <c:v>20</c:v>
                </c:pt>
              </c:numCache>
            </c:numRef>
          </c:val>
          <c:extLst>
            <c:ext xmlns:c16="http://schemas.microsoft.com/office/drawing/2014/chart" uri="{C3380CC4-5D6E-409C-BE32-E72D297353CC}">
              <c16:uniqueId val="{00000002-E139-4470-A0DC-9CA168E811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Dashboard!$P$128:$P$157</c:f>
              <c:numCache>
                <c:formatCode>yyyy\-mm\-dd</c:formatCode>
                <c:ptCount val="30"/>
              </c:numCache>
            </c:numRef>
          </c:cat>
          <c:val>
            <c:numRef>
              <c:f>Dashboard!$R$128:$R$157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B08-480F-821D-E4EB4A4598A3}"/>
            </c:ext>
          </c:extLst>
        </c:ser>
        <c:ser>
          <c:idx val="1"/>
          <c:order val="1"/>
          <c:tx>
            <c:v>Must % Resolved</c:v>
          </c:tx>
          <c:spPr>
            <a:ln w="22225" cap="rnd">
              <a:solidFill>
                <a:schemeClr val="accent2"/>
              </a:solidFill>
              <a:round/>
            </a:ln>
            <a:effectLst/>
          </c:spPr>
          <c:marker>
            <c:symbol val="none"/>
          </c:marker>
          <c:cat>
            <c:numRef>
              <c:f>Dashboard!$P$128:$P$157</c:f>
              <c:numCache>
                <c:formatCode>yyyy\-mm\-dd</c:formatCode>
                <c:ptCount val="30"/>
              </c:numCache>
            </c:numRef>
          </c:cat>
          <c:val>
            <c:numRef>
              <c:f>Dashboard!$T$128:$T$157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B08-480F-821D-E4EB4A4598A3}"/>
            </c:ext>
          </c:extLst>
        </c:ser>
        <c:ser>
          <c:idx val="2"/>
          <c:order val="2"/>
          <c:tx>
            <c:v>Should % Resolved</c:v>
          </c:tx>
          <c:spPr>
            <a:ln w="22225" cap="rnd">
              <a:solidFill>
                <a:schemeClr val="accent3"/>
              </a:solidFill>
              <a:round/>
            </a:ln>
            <a:effectLst/>
          </c:spPr>
          <c:marker>
            <c:symbol val="none"/>
          </c:marker>
          <c:cat>
            <c:numRef>
              <c:f>Dashboard!$P$128:$P$157</c:f>
              <c:numCache>
                <c:formatCode>yyyy\-mm\-dd</c:formatCode>
                <c:ptCount val="30"/>
              </c:numCache>
            </c:numRef>
          </c:cat>
          <c:val>
            <c:numRef>
              <c:f>Dashboard!$V$128:$V$157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B08-480F-821D-E4EB4A4598A3}"/>
            </c:ext>
          </c:extLst>
        </c:ser>
        <c:ser>
          <c:idx val="3"/>
          <c:order val="3"/>
          <c:tx>
            <c:v>Could % Resolved</c:v>
          </c:tx>
          <c:spPr>
            <a:ln w="22225" cap="rnd">
              <a:solidFill>
                <a:schemeClr val="accent4"/>
              </a:solidFill>
              <a:round/>
            </a:ln>
            <a:effectLst/>
          </c:spPr>
          <c:marker>
            <c:symbol val="none"/>
          </c:marker>
          <c:cat>
            <c:numRef>
              <c:f>Dashboard!$P$128:$P$157</c:f>
              <c:numCache>
                <c:formatCode>yyyy\-mm\-dd</c:formatCode>
                <c:ptCount val="30"/>
              </c:numCache>
            </c:numRef>
          </c:cat>
          <c:val>
            <c:numRef>
              <c:f>Dashboard!$X$128:$X$157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B08-480F-821D-E4EB4A4598A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Dashboard!$P$170:$P$189</c:f>
              <c:numCache>
                <c:formatCode>yyyy\-mm\-dd</c:formatCode>
                <c:ptCount val="20"/>
              </c:numCache>
            </c:numRef>
          </c:cat>
          <c:val>
            <c:numRef>
              <c:f>Dashboard!$R$170:$R$189</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771-4EE2-A871-99D450FFD91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3xqep">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ulszo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45</xdr:row>
      <xdr:rowOff>95250</xdr:rowOff>
    </xdr:from>
    <xdr:to>
      <xdr:col>15</xdr:col>
      <xdr:colOff>28575</xdr:colOff>
      <xdr:row>62</xdr:row>
      <xdr:rowOff>0</xdr:rowOff>
    </xdr:to>
    <xdr:graphicFrame macro="">
      <xdr:nvGraphicFramePr>
        <xdr:cNvPr id="4" name="Chartv5cxd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67</xdr:row>
      <xdr:rowOff>95250</xdr:rowOff>
    </xdr:from>
    <xdr:to>
      <xdr:col>15</xdr:col>
      <xdr:colOff>28575</xdr:colOff>
      <xdr:row>83</xdr:row>
      <xdr:rowOff>0</xdr:rowOff>
    </xdr:to>
    <xdr:graphicFrame macro="">
      <xdr:nvGraphicFramePr>
        <xdr:cNvPr id="5" name="Chartwss4x3">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86</xdr:row>
      <xdr:rowOff>95250</xdr:rowOff>
    </xdr:from>
    <xdr:to>
      <xdr:col>15</xdr:col>
      <xdr:colOff>28575</xdr:colOff>
      <xdr:row>101</xdr:row>
      <xdr:rowOff>142875</xdr:rowOff>
    </xdr:to>
    <xdr:graphicFrame macro="">
      <xdr:nvGraphicFramePr>
        <xdr:cNvPr id="6" name="Chartociy3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123</xdr:row>
      <xdr:rowOff>95250</xdr:rowOff>
    </xdr:from>
    <xdr:to>
      <xdr:col>14</xdr:col>
      <xdr:colOff>0</xdr:colOff>
      <xdr:row>146</xdr:row>
      <xdr:rowOff>38100</xdr:rowOff>
    </xdr:to>
    <xdr:graphicFrame macro="">
      <xdr:nvGraphicFramePr>
        <xdr:cNvPr id="7" name="Chartjvvcx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164</xdr:row>
      <xdr:rowOff>95250</xdr:rowOff>
    </xdr:from>
    <xdr:to>
      <xdr:col>14</xdr:col>
      <xdr:colOff>0</xdr:colOff>
      <xdr:row>182</xdr:row>
      <xdr:rowOff>123825</xdr:rowOff>
    </xdr:to>
    <xdr:graphicFrame macro="">
      <xdr:nvGraphicFramePr>
        <xdr:cNvPr id="8" name="Chartu2lte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P21">
  <autoFilter ref="A1:P21" xr:uid="{00000000-0009-0000-0100-000001000000}"/>
  <tableColumns count="16">
    <tableColumn id="1" xr3:uid="{00000000-0010-0000-0000-000001000000}" name="Category"/>
    <tableColumn id="2" xr3:uid="{00000000-0010-0000-0000-000002000000}" name="Id"/>
    <tableColumn id="3" xr3:uid="{00000000-0010-0000-0000-000003000000}" name="Title"/>
    <tableColumn id="4" xr3:uid="{00000000-0010-0000-0000-000004000000}" name="Criticality"/>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Rationale"/>
    <tableColumn id="12" xr3:uid="{00000000-0010-0000-0000-00000C000000}" name="Description"/>
    <tableColumn id="13" xr3:uid="{00000000-0010-0000-0000-00000D000000}" name="LicenseReqs"/>
    <tableColumn id="14" xr3:uid="{00000000-0010-0000-0000-00000E000000}" name="Resources"/>
    <tableColumn id="15" xr3:uid="{00000000-0010-0000-0000-00000F000000}" name="Status"/>
    <tableColumn id="16" xr3:uid="{00000000-0010-0000-0000-000010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ithub.com/cisagov/ScubaGear/blob/v1.8.0/PowerShell/ScubaGear/baselines/teams.md"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126</v>
      </c>
    </row>
    <row r="3" spans="2:3" ht="15" customHeight="1" x14ac:dyDescent="0.35"/>
    <row r="4" spans="2:3" ht="58" x14ac:dyDescent="0.35">
      <c r="B4" s="20" t="s">
        <v>127</v>
      </c>
      <c r="C4" s="21" t="s">
        <v>128</v>
      </c>
    </row>
    <row r="5" spans="2:3" x14ac:dyDescent="0.35">
      <c r="C5" s="21" t="s">
        <v>129</v>
      </c>
    </row>
    <row r="6" spans="2:3" x14ac:dyDescent="0.35">
      <c r="C6" s="18" t="s">
        <v>130</v>
      </c>
    </row>
    <row r="7" spans="2:3" ht="10" customHeight="1" x14ac:dyDescent="0.35"/>
    <row r="8" spans="2:3" ht="232" x14ac:dyDescent="0.35">
      <c r="B8" s="22" t="s">
        <v>131</v>
      </c>
      <c r="C8" s="21" t="s">
        <v>132</v>
      </c>
    </row>
    <row r="9" spans="2:3" ht="10" customHeight="1" x14ac:dyDescent="0.35"/>
    <row r="10" spans="2:3" ht="35" customHeight="1" x14ac:dyDescent="0.35">
      <c r="B10" s="22" t="s">
        <v>133</v>
      </c>
      <c r="C10" s="21" t="s">
        <v>134</v>
      </c>
    </row>
    <row r="11" spans="2:3" ht="75" customHeight="1" x14ac:dyDescent="0.35">
      <c r="B11" s="18" t="s">
        <v>23</v>
      </c>
      <c r="C11" s="21" t="s">
        <v>135</v>
      </c>
    </row>
    <row r="12" spans="2:3" ht="47" customHeight="1" x14ac:dyDescent="0.35">
      <c r="B12" s="18" t="s">
        <v>23</v>
      </c>
      <c r="C12" s="21" t="s">
        <v>136</v>
      </c>
    </row>
    <row r="13" spans="2:3" ht="35" customHeight="1" x14ac:dyDescent="0.35">
      <c r="B13" s="18" t="s">
        <v>23</v>
      </c>
      <c r="C13" s="21" t="s">
        <v>137</v>
      </c>
    </row>
    <row r="14" spans="2:3" ht="32" customHeight="1" x14ac:dyDescent="0.35">
      <c r="B14" s="18" t="s">
        <v>23</v>
      </c>
      <c r="C14" s="21" t="s">
        <v>138</v>
      </c>
    </row>
    <row r="15" spans="2:3" ht="30" customHeight="1" x14ac:dyDescent="0.35">
      <c r="B15" s="18" t="s">
        <v>23</v>
      </c>
      <c r="C15" s="21" t="s">
        <v>139</v>
      </c>
    </row>
    <row r="16" spans="2:3" ht="10" customHeight="1" x14ac:dyDescent="0.35"/>
    <row r="17" spans="1:3" ht="145" customHeight="1" x14ac:dyDescent="0.35">
      <c r="B17" s="22" t="s">
        <v>140</v>
      </c>
      <c r="C17" s="21" t="s">
        <v>141</v>
      </c>
    </row>
    <row r="18" spans="1:3" ht="10" customHeight="1" x14ac:dyDescent="0.35"/>
    <row r="19" spans="1:3" ht="3" customHeight="1" x14ac:dyDescent="0.35">
      <c r="B19" s="23"/>
      <c r="C19" s="23"/>
    </row>
    <row r="20" spans="1:3" ht="12" customHeight="1" x14ac:dyDescent="0.35"/>
    <row r="21" spans="1:3" ht="35" customHeight="1" x14ac:dyDescent="0.35">
      <c r="A21" s="25"/>
      <c r="B21" s="26" t="s">
        <v>142</v>
      </c>
      <c r="C21" s="27" t="s">
        <v>143</v>
      </c>
    </row>
    <row r="22" spans="1:3" ht="18" customHeight="1" x14ac:dyDescent="0.35">
      <c r="A22" s="25"/>
      <c r="B22" s="25" t="s">
        <v>23</v>
      </c>
      <c r="C22" s="27" t="s">
        <v>144</v>
      </c>
    </row>
    <row r="23" spans="1:3" ht="18" customHeight="1" x14ac:dyDescent="0.35">
      <c r="A23" s="25"/>
      <c r="B23" s="25" t="s">
        <v>23</v>
      </c>
      <c r="C23" s="27" t="s">
        <v>145</v>
      </c>
    </row>
    <row r="24" spans="1:3" ht="18" customHeight="1" x14ac:dyDescent="0.35">
      <c r="A24" s="25"/>
      <c r="B24" s="25" t="s">
        <v>23</v>
      </c>
      <c r="C24" s="27" t="s">
        <v>146</v>
      </c>
    </row>
    <row r="25" spans="1:3" ht="18" customHeight="1" x14ac:dyDescent="0.35">
      <c r="A25" s="25"/>
      <c r="B25" s="25" t="s">
        <v>23</v>
      </c>
      <c r="C25" s="27" t="s">
        <v>147</v>
      </c>
    </row>
    <row r="26" spans="1:3" ht="18" customHeight="1" x14ac:dyDescent="0.35">
      <c r="A26" s="25"/>
      <c r="B26" s="25" t="s">
        <v>23</v>
      </c>
      <c r="C26" s="27" t="s">
        <v>148</v>
      </c>
    </row>
    <row r="27" spans="1:3" ht="18" customHeight="1" x14ac:dyDescent="0.35">
      <c r="A27" s="25"/>
      <c r="B27" s="25" t="s">
        <v>23</v>
      </c>
      <c r="C27" s="27" t="s">
        <v>149</v>
      </c>
    </row>
    <row r="28" spans="1:3" ht="18" customHeight="1" x14ac:dyDescent="0.35">
      <c r="A28" s="25"/>
      <c r="B28" s="25" t="s">
        <v>23</v>
      </c>
      <c r="C28" s="27" t="s">
        <v>150</v>
      </c>
    </row>
    <row r="29" spans="1:3" ht="18" customHeight="1" x14ac:dyDescent="0.35">
      <c r="A29" s="25"/>
      <c r="B29" s="25" t="s">
        <v>23</v>
      </c>
      <c r="C29" s="27" t="s">
        <v>151</v>
      </c>
    </row>
    <row r="30" spans="1:3" ht="44" customHeight="1" x14ac:dyDescent="0.35">
      <c r="A30" s="25"/>
      <c r="B30" s="25" t="s">
        <v>23</v>
      </c>
      <c r="C30" s="28" t="s">
        <v>152</v>
      </c>
    </row>
    <row r="31" spans="1:3" ht="10" customHeight="1" x14ac:dyDescent="0.35"/>
    <row r="32" spans="1:3" ht="3" customHeight="1" x14ac:dyDescent="0.35">
      <c r="B32" s="23"/>
      <c r="C32" s="23"/>
    </row>
    <row r="33" spans="2:3" ht="12" customHeight="1" x14ac:dyDescent="0.35"/>
    <row r="34" spans="2:3" ht="24" customHeight="1" x14ac:dyDescent="0.35">
      <c r="B34" s="29" t="s">
        <v>153</v>
      </c>
      <c r="C34" s="30" t="s">
        <v>154</v>
      </c>
    </row>
    <row r="35" spans="2:3" ht="18.5" x14ac:dyDescent="0.35">
      <c r="B35" s="29" t="s">
        <v>155</v>
      </c>
      <c r="C35" s="31" t="s">
        <v>156</v>
      </c>
    </row>
    <row r="36" spans="2:3" ht="27" customHeight="1" x14ac:dyDescent="0.35">
      <c r="B36" s="32" t="s">
        <v>157</v>
      </c>
      <c r="C36" s="24" t="s">
        <v>158</v>
      </c>
    </row>
    <row r="37" spans="2:3" x14ac:dyDescent="0.35">
      <c r="B37" s="29" t="s">
        <v>159</v>
      </c>
      <c r="C37" s="33" t="s">
        <v>160</v>
      </c>
    </row>
    <row r="38" spans="2:3" ht="10" customHeight="1" x14ac:dyDescent="0.35"/>
    <row r="39" spans="2:3" ht="220" customHeight="1" x14ac:dyDescent="0.35">
      <c r="B39" s="29" t="s">
        <v>161</v>
      </c>
      <c r="C39" s="34" t="s">
        <v>162</v>
      </c>
    </row>
    <row r="40" spans="2:3" x14ac:dyDescent="0.35">
      <c r="C40" s="35" t="s">
        <v>163</v>
      </c>
    </row>
    <row r="41" spans="2:3" ht="100" customHeight="1" x14ac:dyDescent="0.35">
      <c r="C41" s="34" t="s">
        <v>164</v>
      </c>
    </row>
    <row r="42" spans="2:3" ht="6" customHeight="1" x14ac:dyDescent="0.35"/>
    <row r="43" spans="2:3" x14ac:dyDescent="0.35">
      <c r="C43" s="35" t="s">
        <v>165</v>
      </c>
    </row>
    <row r="44" spans="2:3" ht="58" x14ac:dyDescent="0.35">
      <c r="C44" s="34" t="s">
        <v>166</v>
      </c>
    </row>
    <row r="45" spans="2:3" ht="6" customHeight="1" x14ac:dyDescent="0.35"/>
    <row r="46" spans="2:3" x14ac:dyDescent="0.35">
      <c r="C46" s="35" t="s">
        <v>167</v>
      </c>
    </row>
    <row r="47" spans="2:3" ht="100" customHeight="1" x14ac:dyDescent="0.35">
      <c r="C47" s="34" t="s">
        <v>168</v>
      </c>
    </row>
    <row r="48" spans="2:3" ht="6" customHeight="1" x14ac:dyDescent="0.35"/>
    <row r="49" spans="2:3" x14ac:dyDescent="0.35">
      <c r="C49" s="35" t="s">
        <v>169</v>
      </c>
    </row>
    <row r="50" spans="2:3" ht="100" customHeight="1" x14ac:dyDescent="0.35">
      <c r="C50" s="34" t="s">
        <v>170</v>
      </c>
    </row>
    <row r="52" spans="2:3" ht="10" customHeight="1" x14ac:dyDescent="0.35"/>
    <row r="53" spans="2:3" ht="3" customHeight="1" x14ac:dyDescent="0.35">
      <c r="B53" s="23"/>
      <c r="C53" s="23"/>
    </row>
    <row r="54" spans="2:3" ht="12" customHeight="1" x14ac:dyDescent="0.35"/>
    <row r="55" spans="2:3" ht="130.5" x14ac:dyDescent="0.35">
      <c r="B55" s="20" t="s">
        <v>171</v>
      </c>
      <c r="C55" s="21" t="s">
        <v>172</v>
      </c>
    </row>
    <row r="56" spans="2:3" ht="6" customHeight="1" x14ac:dyDescent="0.35"/>
    <row r="57" spans="2:3" ht="217.5" x14ac:dyDescent="0.35">
      <c r="C57" s="21" t="s">
        <v>173</v>
      </c>
    </row>
    <row r="58" spans="2:3" ht="6" customHeight="1" x14ac:dyDescent="0.35"/>
    <row r="59" spans="2:3" ht="43.5" x14ac:dyDescent="0.35">
      <c r="C59" s="21" t="s">
        <v>174</v>
      </c>
    </row>
    <row r="60" spans="2:3" ht="10" customHeight="1" x14ac:dyDescent="0.35"/>
    <row r="61" spans="2:3" ht="3" customHeight="1" x14ac:dyDescent="0.35">
      <c r="B61" s="23"/>
      <c r="C61" s="23"/>
    </row>
    <row r="62" spans="2:3" ht="12" customHeight="1" x14ac:dyDescent="0.35"/>
    <row r="63" spans="2:3" ht="145" x14ac:dyDescent="0.35">
      <c r="B63" s="20" t="s">
        <v>175</v>
      </c>
      <c r="C63" s="21" t="s">
        <v>176</v>
      </c>
    </row>
    <row r="64" spans="2:3" ht="6" customHeight="1" x14ac:dyDescent="0.35"/>
    <row r="65" spans="2:3" ht="203" x14ac:dyDescent="0.35">
      <c r="C65" s="21" t="s">
        <v>177</v>
      </c>
    </row>
    <row r="66" spans="2:3" ht="6" customHeight="1" x14ac:dyDescent="0.35"/>
    <row r="67" spans="2:3" ht="43.5" x14ac:dyDescent="0.35">
      <c r="C67" s="21" t="s">
        <v>178</v>
      </c>
    </row>
    <row r="68" spans="2:3" ht="10" customHeight="1" x14ac:dyDescent="0.35"/>
    <row r="69" spans="2:3" ht="3" customHeight="1" x14ac:dyDescent="0.35">
      <c r="B69" s="23"/>
      <c r="C69" s="23"/>
    </row>
    <row r="70" spans="2:3" ht="12" customHeight="1" x14ac:dyDescent="0.35"/>
    <row r="71" spans="2:3" ht="101.5" x14ac:dyDescent="0.35">
      <c r="B71" s="20" t="s">
        <v>179</v>
      </c>
      <c r="C71" s="21" t="s">
        <v>180</v>
      </c>
    </row>
    <row r="72" spans="2:3" ht="6" customHeight="1" x14ac:dyDescent="0.35"/>
    <row r="73" spans="2:3" ht="145" x14ac:dyDescent="0.35">
      <c r="C73" s="21" t="s">
        <v>181</v>
      </c>
    </row>
    <row r="74" spans="2:3" ht="6" customHeight="1" x14ac:dyDescent="0.35"/>
    <row r="75" spans="2:3" ht="43.5" x14ac:dyDescent="0.35">
      <c r="C75" s="21" t="s">
        <v>182</v>
      </c>
    </row>
    <row r="79" spans="2:3" ht="32" customHeight="1" x14ac:dyDescent="0.35">
      <c r="B79" s="78" t="s">
        <v>125</v>
      </c>
      <c r="C79" s="78"/>
    </row>
  </sheetData>
  <sheetProtection password="90EA" sheet="1"/>
  <mergeCells count="1">
    <mergeCell ref="B79:C79"/>
  </mergeCells>
  <hyperlinks>
    <hyperlink ref="C5" r:id="rId1" xr:uid="{00000000-0004-0000-0000-000000000000}"/>
    <hyperlink ref="C6" r:id="rId2" xr:uid="{00000000-0004-0000-0000-000001000000}"/>
    <hyperlink ref="C37" r:id="rId3" xr:uid="{00000000-0004-0000-0000-000002000000}"/>
    <hyperlink ref="B79"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3"/>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79" t="s">
        <v>183</v>
      </c>
      <c r="C2" s="80"/>
      <c r="D2" s="80"/>
      <c r="E2" s="80"/>
      <c r="F2" s="80"/>
      <c r="G2" s="80"/>
      <c r="H2" s="80"/>
      <c r="I2" s="80"/>
    </row>
    <row r="4" spans="2:15" ht="18.5" x14ac:dyDescent="0.45">
      <c r="B4" s="37" t="s">
        <v>184</v>
      </c>
    </row>
    <row r="5" spans="2:15" x14ac:dyDescent="0.35">
      <c r="B5" s="39" t="s">
        <v>23</v>
      </c>
      <c r="C5" s="39" t="s">
        <v>185</v>
      </c>
      <c r="D5" s="39" t="s">
        <v>186</v>
      </c>
      <c r="F5" s="81" t="s">
        <v>187</v>
      </c>
      <c r="G5" s="81"/>
      <c r="H5" s="81"/>
      <c r="I5" s="82" t="s">
        <v>188</v>
      </c>
      <c r="J5" s="82"/>
      <c r="K5" s="82"/>
      <c r="L5" s="82"/>
      <c r="M5" s="82"/>
      <c r="N5" s="82"/>
      <c r="O5" s="82"/>
    </row>
    <row r="6" spans="2:15" x14ac:dyDescent="0.35">
      <c r="B6" s="45" t="s">
        <v>189</v>
      </c>
      <c r="C6" s="46">
        <v>20</v>
      </c>
      <c r="D6" s="47" t="s">
        <v>23</v>
      </c>
      <c r="F6" s="81" t="s">
        <v>190</v>
      </c>
      <c r="G6" s="81"/>
      <c r="H6" s="81"/>
      <c r="I6" s="83" t="s">
        <v>191</v>
      </c>
      <c r="J6" s="83"/>
      <c r="K6" s="83"/>
      <c r="L6" s="83"/>
      <c r="M6" s="83"/>
      <c r="N6" s="83"/>
      <c r="O6" s="83"/>
    </row>
    <row r="7" spans="2:15" x14ac:dyDescent="0.35">
      <c r="B7" s="48" t="s">
        <v>192</v>
      </c>
      <c r="C7" s="49">
        <f>C6-C8-C9</f>
        <v>20</v>
      </c>
      <c r="D7" s="50">
        <f>IF(C6&gt;0,C7/C6,0)</f>
        <v>1</v>
      </c>
      <c r="F7" s="81" t="s">
        <v>193</v>
      </c>
      <c r="G7" s="81"/>
      <c r="H7" s="81"/>
      <c r="I7" s="83" t="s">
        <v>191</v>
      </c>
      <c r="J7" s="83"/>
      <c r="K7" s="83"/>
      <c r="L7" s="83"/>
      <c r="M7" s="83"/>
      <c r="N7" s="83"/>
      <c r="O7" s="83"/>
    </row>
    <row r="8" spans="2:15" x14ac:dyDescent="0.35">
      <c r="B8" s="41" t="s">
        <v>194</v>
      </c>
      <c r="C8" s="42">
        <f>COUNTIF('Recommendations'!H:H,"Risk Accepted")</f>
        <v>0</v>
      </c>
      <c r="D8" s="43">
        <f>IF(C6&gt;0,C8/C6,0)</f>
        <v>0</v>
      </c>
      <c r="F8" s="81" t="s">
        <v>195</v>
      </c>
      <c r="G8" s="81"/>
      <c r="H8" s="81"/>
      <c r="I8" s="83" t="s">
        <v>191</v>
      </c>
      <c r="J8" s="83"/>
      <c r="K8" s="83"/>
      <c r="L8" s="83"/>
      <c r="M8" s="83"/>
      <c r="N8" s="83"/>
      <c r="O8" s="83"/>
    </row>
    <row r="9" spans="2:15" x14ac:dyDescent="0.35">
      <c r="B9" s="41" t="s">
        <v>196</v>
      </c>
      <c r="C9" s="42">
        <f>COUNTIF('Recommendations'!H:H,"N/A")</f>
        <v>0</v>
      </c>
      <c r="D9" s="43">
        <f>IF(C6&gt;0,C9/C6,0)</f>
        <v>0</v>
      </c>
      <c r="F9" s="81" t="s">
        <v>197</v>
      </c>
      <c r="G9" s="81"/>
      <c r="H9" s="81"/>
      <c r="I9" s="83" t="s">
        <v>191</v>
      </c>
      <c r="J9" s="83"/>
      <c r="K9" s="83"/>
      <c r="L9" s="83"/>
      <c r="M9" s="83"/>
      <c r="N9" s="83"/>
      <c r="O9" s="83"/>
    </row>
    <row r="12" spans="2:15" ht="18.5" x14ac:dyDescent="0.45">
      <c r="B12" s="37" t="s">
        <v>198</v>
      </c>
    </row>
    <row r="14" spans="2:15" x14ac:dyDescent="0.35">
      <c r="B14" s="51" t="s">
        <v>199</v>
      </c>
    </row>
    <row r="15" spans="2:15" x14ac:dyDescent="0.35">
      <c r="B15" s="39" t="s">
        <v>23</v>
      </c>
      <c r="C15" s="39" t="s">
        <v>200</v>
      </c>
      <c r="D15" s="39" t="s">
        <v>201</v>
      </c>
      <c r="E15" s="39" t="s">
        <v>202</v>
      </c>
      <c r="F15" s="39" t="s">
        <v>203</v>
      </c>
    </row>
    <row r="16" spans="2:15" x14ac:dyDescent="0.35">
      <c r="B16" s="41" t="s">
        <v>204</v>
      </c>
      <c r="C16" s="42">
        <f>COUNTIF('Recommendations'!O:O,"Resolved")</f>
        <v>0</v>
      </c>
      <c r="D16" s="42">
        <f>COUNTIF('Recommendations'!O:O,"Testing")</f>
        <v>0</v>
      </c>
      <c r="E16" s="42">
        <f>COUNTIF('Recommendations'!O:O,"Outstanding")</f>
        <v>20</v>
      </c>
      <c r="F16" s="42">
        <f>SUM(C16:E16)</f>
        <v>20</v>
      </c>
    </row>
    <row r="18" spans="2:6" x14ac:dyDescent="0.35">
      <c r="B18" s="51" t="s">
        <v>205</v>
      </c>
    </row>
    <row r="19" spans="2:6" x14ac:dyDescent="0.35">
      <c r="B19" s="52" t="s">
        <v>23</v>
      </c>
      <c r="C19" s="52" t="s">
        <v>200</v>
      </c>
      <c r="D19" s="52" t="s">
        <v>201</v>
      </c>
      <c r="E19" s="52" t="s">
        <v>202</v>
      </c>
      <c r="F19" s="52" t="s">
        <v>23</v>
      </c>
    </row>
    <row r="20" spans="2:6" x14ac:dyDescent="0.35">
      <c r="B20" s="41" t="s">
        <v>204</v>
      </c>
      <c r="C20" s="43">
        <f>IF(F16&gt;0, C16/F16, 0)</f>
        <v>0</v>
      </c>
      <c r="D20" s="43">
        <f>IF(F16&gt;0, D16/F16, 0)</f>
        <v>0</v>
      </c>
      <c r="E20" s="43">
        <f>IF(F16&gt;0, E16/F16, 0)</f>
        <v>1</v>
      </c>
      <c r="F20" s="44" t="s">
        <v>23</v>
      </c>
    </row>
    <row r="25" spans="2:6" ht="18.5" x14ac:dyDescent="0.45">
      <c r="B25" s="37" t="s">
        <v>206</v>
      </c>
    </row>
    <row r="27" spans="2:6" x14ac:dyDescent="0.35">
      <c r="B27" s="51" t="s">
        <v>199</v>
      </c>
    </row>
    <row r="28" spans="2:6" x14ac:dyDescent="0.35">
      <c r="B28" s="39" t="s">
        <v>3</v>
      </c>
      <c r="C28" s="39" t="s">
        <v>200</v>
      </c>
      <c r="D28" s="39" t="s">
        <v>201</v>
      </c>
      <c r="E28" s="39" t="s">
        <v>202</v>
      </c>
      <c r="F28" s="39" t="s">
        <v>203</v>
      </c>
    </row>
    <row r="29" spans="2:6" x14ac:dyDescent="0.35">
      <c r="B29" s="41" t="s">
        <v>58</v>
      </c>
      <c r="C29" s="42">
        <f>COUNTIFS('Recommendations'!D:D,"SHALL",'Recommendations'!O:O,"=Resolved")</f>
        <v>0</v>
      </c>
      <c r="D29" s="42">
        <f>COUNTIFS('Recommendations'!D:D,"=SHALL",'Recommendations'!O:O,"=Testing")</f>
        <v>0</v>
      </c>
      <c r="E29" s="42">
        <f>COUNTIFS('Recommendations'!D:D,"=SHALL",'Recommendations'!O:O,"=Outstanding")</f>
        <v>4</v>
      </c>
      <c r="F29" s="42">
        <f>SUM(C29:E29)</f>
        <v>4</v>
      </c>
    </row>
    <row r="30" spans="2:6" x14ac:dyDescent="0.35">
      <c r="B30" s="41" t="s">
        <v>31</v>
      </c>
      <c r="C30" s="42">
        <f>COUNTIFS('Recommendations'!D:D,"SHALL NOT",'Recommendations'!O:O,"=Resolved")</f>
        <v>0</v>
      </c>
      <c r="D30" s="42">
        <f>COUNTIFS('Recommendations'!D:D,"=SHALL NOT",'Recommendations'!O:O,"=Testing")</f>
        <v>0</v>
      </c>
      <c r="E30" s="42">
        <f>COUNTIFS('Recommendations'!D:D,"=SHALL NOT",'Recommendations'!O:O,"=Outstanding")</f>
        <v>2</v>
      </c>
      <c r="F30" s="42">
        <f>SUM(C30:E30)</f>
        <v>2</v>
      </c>
    </row>
    <row r="31" spans="2:6" x14ac:dyDescent="0.35">
      <c r="B31" s="41" t="s">
        <v>40</v>
      </c>
      <c r="C31" s="42">
        <f>COUNTIFS('Recommendations'!D:D,"SHOULD",'Recommendations'!O:O,"=Resolved")</f>
        <v>0</v>
      </c>
      <c r="D31" s="42">
        <f>COUNTIFS('Recommendations'!D:D,"=SHOULD",'Recommendations'!O:O,"=Testing")</f>
        <v>0</v>
      </c>
      <c r="E31" s="42">
        <f>COUNTIFS('Recommendations'!D:D,"=SHOULD",'Recommendations'!O:O,"=Outstanding")</f>
        <v>9</v>
      </c>
      <c r="F31" s="42">
        <f>SUM(C31:E31)</f>
        <v>9</v>
      </c>
    </row>
    <row r="32" spans="2:6" x14ac:dyDescent="0.35">
      <c r="B32" s="41" t="s">
        <v>19</v>
      </c>
      <c r="C32" s="42">
        <f>COUNTIFS('Recommendations'!D:D,"SHOULD NOT",'Recommendations'!O:O,"=Resolved")</f>
        <v>0</v>
      </c>
      <c r="D32" s="42">
        <f>COUNTIFS('Recommendations'!D:D,"=SHOULD NOT",'Recommendations'!O:O,"=Testing")</f>
        <v>0</v>
      </c>
      <c r="E32" s="42">
        <f>COUNTIFS('Recommendations'!D:D,"=SHOULD NOT",'Recommendations'!O:O,"=Outstanding")</f>
        <v>5</v>
      </c>
      <c r="F32" s="42">
        <f>SUM(C32:E32)</f>
        <v>5</v>
      </c>
    </row>
    <row r="34" spans="2:6" x14ac:dyDescent="0.35">
      <c r="B34" s="51" t="s">
        <v>205</v>
      </c>
    </row>
    <row r="35" spans="2:6" x14ac:dyDescent="0.35">
      <c r="B35" s="52" t="s">
        <v>3</v>
      </c>
      <c r="C35" s="52" t="s">
        <v>200</v>
      </c>
      <c r="D35" s="52" t="s">
        <v>201</v>
      </c>
      <c r="E35" s="52" t="s">
        <v>202</v>
      </c>
      <c r="F35" s="52" t="s">
        <v>23</v>
      </c>
    </row>
    <row r="36" spans="2:6" x14ac:dyDescent="0.35">
      <c r="B36" s="41" t="s">
        <v>58</v>
      </c>
      <c r="C36" s="43">
        <f>IF(F29&gt;0, C29/F29, 0)</f>
        <v>0</v>
      </c>
      <c r="D36" s="43">
        <f>IF(F29&gt;0, D29/F29, 0)</f>
        <v>0</v>
      </c>
      <c r="E36" s="43">
        <f>IF(F29&gt;0, E29/F29, 0)</f>
        <v>1</v>
      </c>
      <c r="F36" s="44" t="s">
        <v>23</v>
      </c>
    </row>
    <row r="37" spans="2:6" x14ac:dyDescent="0.35">
      <c r="B37" s="41" t="s">
        <v>31</v>
      </c>
      <c r="C37" s="43">
        <f>IF(F30&gt;0, C30/F30, 0)</f>
        <v>0</v>
      </c>
      <c r="D37" s="43">
        <f>IF(F30&gt;0, D30/F30, 0)</f>
        <v>0</v>
      </c>
      <c r="E37" s="43">
        <f>IF(F30&gt;0, E30/F30, 0)</f>
        <v>1</v>
      </c>
      <c r="F37" s="44" t="s">
        <v>23</v>
      </c>
    </row>
    <row r="38" spans="2:6" x14ac:dyDescent="0.35">
      <c r="B38" s="41" t="s">
        <v>40</v>
      </c>
      <c r="C38" s="43">
        <f>IF(F31&gt;0, C31/F31, 0)</f>
        <v>0</v>
      </c>
      <c r="D38" s="43">
        <f>IF(F31&gt;0, D31/F31, 0)</f>
        <v>0</v>
      </c>
      <c r="E38" s="43">
        <f>IF(F31&gt;0, E31/F31, 0)</f>
        <v>1</v>
      </c>
      <c r="F38" s="44" t="s">
        <v>23</v>
      </c>
    </row>
    <row r="39" spans="2:6" x14ac:dyDescent="0.35">
      <c r="B39" s="41" t="s">
        <v>19</v>
      </c>
      <c r="C39" s="43">
        <f>IF(F32&gt;0, C32/F32, 0)</f>
        <v>0</v>
      </c>
      <c r="D39" s="43">
        <f>IF(F32&gt;0, D32/F32, 0)</f>
        <v>0</v>
      </c>
      <c r="E39" s="43">
        <f>IF(F32&gt;0, E32/F32, 0)</f>
        <v>1</v>
      </c>
      <c r="F39" s="44" t="s">
        <v>23</v>
      </c>
    </row>
    <row r="44" spans="2:6" ht="18.5" x14ac:dyDescent="0.45">
      <c r="B44" s="37" t="s">
        <v>207</v>
      </c>
    </row>
    <row r="46" spans="2:6" x14ac:dyDescent="0.35">
      <c r="B46" s="51" t="s">
        <v>199</v>
      </c>
    </row>
    <row r="47" spans="2:6" x14ac:dyDescent="0.35">
      <c r="B47" s="39" t="s">
        <v>6</v>
      </c>
      <c r="C47" s="39" t="s">
        <v>200</v>
      </c>
      <c r="D47" s="39" t="s">
        <v>201</v>
      </c>
      <c r="E47" s="39" t="s">
        <v>202</v>
      </c>
      <c r="F47" s="39" t="s">
        <v>203</v>
      </c>
    </row>
    <row r="48" spans="2:6" x14ac:dyDescent="0.35">
      <c r="B48" s="41" t="s">
        <v>208</v>
      </c>
      <c r="C48" s="42">
        <f>COUNTIFS('Recommendations'!G:G,"Phase1",'Recommendations'!O:O,"=Resolved")</f>
        <v>0</v>
      </c>
      <c r="D48" s="42">
        <f>COUNTIFS('Recommendations'!G:G,"=Phase1",'Recommendations'!O:O,"=Testing")</f>
        <v>0</v>
      </c>
      <c r="E48" s="42">
        <f>COUNTIFS('Recommendations'!G:G,"=Phase1",'Recommendations'!O:O,"=Outstanding")</f>
        <v>0</v>
      </c>
      <c r="F48" s="42">
        <f t="shared" ref="F48:F53" si="0">SUM(C48:E48)</f>
        <v>0</v>
      </c>
    </row>
    <row r="49" spans="2:6" x14ac:dyDescent="0.35">
      <c r="B49" s="41" t="s">
        <v>209</v>
      </c>
      <c r="C49" s="42">
        <f>COUNTIFS('Recommendations'!G:G,"Phase2",'Recommendations'!O:O,"=Resolved")</f>
        <v>0</v>
      </c>
      <c r="D49" s="42">
        <f>COUNTIFS('Recommendations'!G:G,"=Phase2",'Recommendations'!O:O,"=Testing")</f>
        <v>0</v>
      </c>
      <c r="E49" s="42">
        <f>COUNTIFS('Recommendations'!G:G,"=Phase2",'Recommendations'!O:O,"=Outstanding")</f>
        <v>0</v>
      </c>
      <c r="F49" s="42">
        <f t="shared" si="0"/>
        <v>0</v>
      </c>
    </row>
    <row r="50" spans="2:6" x14ac:dyDescent="0.35">
      <c r="B50" s="41" t="s">
        <v>210</v>
      </c>
      <c r="C50" s="42">
        <f>COUNTIFS('Recommendations'!G:G,"Phase3",'Recommendations'!O:O,"=Resolved")</f>
        <v>0</v>
      </c>
      <c r="D50" s="42">
        <f>COUNTIFS('Recommendations'!G:G,"=Phase3",'Recommendations'!O:O,"=Testing")</f>
        <v>0</v>
      </c>
      <c r="E50" s="42">
        <f>COUNTIFS('Recommendations'!G:G,"=Phase3",'Recommendations'!O:O,"=Outstanding")</f>
        <v>0</v>
      </c>
      <c r="F50" s="42">
        <f t="shared" si="0"/>
        <v>0</v>
      </c>
    </row>
    <row r="51" spans="2:6" x14ac:dyDescent="0.35">
      <c r="B51" s="41" t="s">
        <v>211</v>
      </c>
      <c r="C51" s="42">
        <f>COUNTIFS('Recommendations'!G:G,"Phase4",'Recommendations'!O:O,"=Resolved")</f>
        <v>0</v>
      </c>
      <c r="D51" s="42">
        <f>COUNTIFS('Recommendations'!G:G,"=Phase4",'Recommendations'!O:O,"=Testing")</f>
        <v>0</v>
      </c>
      <c r="E51" s="42">
        <f>COUNTIFS('Recommendations'!G:G,"=Phase4",'Recommendations'!O:O,"=Outstanding")</f>
        <v>0</v>
      </c>
      <c r="F51" s="42">
        <f t="shared" si="0"/>
        <v>0</v>
      </c>
    </row>
    <row r="52" spans="2:6" x14ac:dyDescent="0.35">
      <c r="B52" s="41" t="s">
        <v>212</v>
      </c>
      <c r="C52" s="42">
        <f>COUNTIFS('Recommendations'!G:G,"Phase5",'Recommendations'!O:O,"=Resolved")</f>
        <v>0</v>
      </c>
      <c r="D52" s="42">
        <f>COUNTIFS('Recommendations'!G:G,"=Phase5",'Recommendations'!O:O,"=Testing")</f>
        <v>0</v>
      </c>
      <c r="E52" s="42">
        <f>COUNTIFS('Recommendations'!G:G,"=Phase5",'Recommendations'!O:O,"=Outstanding")</f>
        <v>0</v>
      </c>
      <c r="F52" s="42">
        <f t="shared" si="0"/>
        <v>0</v>
      </c>
    </row>
    <row r="53" spans="2:6" x14ac:dyDescent="0.35">
      <c r="B53" s="41" t="s">
        <v>22</v>
      </c>
      <c r="C53" s="42">
        <f>COUNTIFS('Recommendations'!G:G,"Pending",'Recommendations'!O:O,"=Resolved")</f>
        <v>0</v>
      </c>
      <c r="D53" s="42">
        <f>COUNTIFS('Recommendations'!G:G,"=Pending",'Recommendations'!O:O,"=Testing")</f>
        <v>0</v>
      </c>
      <c r="E53" s="42">
        <f>COUNTIFS('Recommendations'!G:G,"=Pending",'Recommendations'!O:O,"=Outstanding")</f>
        <v>20</v>
      </c>
      <c r="F53" s="42">
        <f t="shared" si="0"/>
        <v>20</v>
      </c>
    </row>
    <row r="55" spans="2:6" x14ac:dyDescent="0.35">
      <c r="B55" s="51" t="s">
        <v>205</v>
      </c>
    </row>
    <row r="56" spans="2:6" x14ac:dyDescent="0.35">
      <c r="B56" s="52" t="s">
        <v>6</v>
      </c>
      <c r="C56" s="52" t="s">
        <v>200</v>
      </c>
      <c r="D56" s="52" t="s">
        <v>201</v>
      </c>
      <c r="E56" s="52" t="s">
        <v>202</v>
      </c>
      <c r="F56" s="52" t="s">
        <v>23</v>
      </c>
    </row>
    <row r="57" spans="2:6" x14ac:dyDescent="0.35">
      <c r="B57" s="41" t="s">
        <v>208</v>
      </c>
      <c r="C57" s="43">
        <f t="shared" ref="C57:C62" si="1">IF(F48&gt;0, C48/F48, 0)</f>
        <v>0</v>
      </c>
      <c r="D57" s="43">
        <f t="shared" ref="D57:D62" si="2">IF(F48&gt;0, D48/F48, 0)</f>
        <v>0</v>
      </c>
      <c r="E57" s="43">
        <f t="shared" ref="E57:E62" si="3">IF(F48&gt;0, E48/F48, 0)</f>
        <v>0</v>
      </c>
      <c r="F57" s="44" t="s">
        <v>23</v>
      </c>
    </row>
    <row r="58" spans="2:6" x14ac:dyDescent="0.35">
      <c r="B58" s="41" t="s">
        <v>209</v>
      </c>
      <c r="C58" s="43">
        <f t="shared" si="1"/>
        <v>0</v>
      </c>
      <c r="D58" s="43">
        <f t="shared" si="2"/>
        <v>0</v>
      </c>
      <c r="E58" s="43">
        <f t="shared" si="3"/>
        <v>0</v>
      </c>
      <c r="F58" s="44" t="s">
        <v>23</v>
      </c>
    </row>
    <row r="59" spans="2:6" x14ac:dyDescent="0.35">
      <c r="B59" s="41" t="s">
        <v>210</v>
      </c>
      <c r="C59" s="43">
        <f t="shared" si="1"/>
        <v>0</v>
      </c>
      <c r="D59" s="43">
        <f t="shared" si="2"/>
        <v>0</v>
      </c>
      <c r="E59" s="43">
        <f t="shared" si="3"/>
        <v>0</v>
      </c>
      <c r="F59" s="44" t="s">
        <v>23</v>
      </c>
    </row>
    <row r="60" spans="2:6" x14ac:dyDescent="0.35">
      <c r="B60" s="41" t="s">
        <v>211</v>
      </c>
      <c r="C60" s="43">
        <f t="shared" si="1"/>
        <v>0</v>
      </c>
      <c r="D60" s="43">
        <f t="shared" si="2"/>
        <v>0</v>
      </c>
      <c r="E60" s="43">
        <f t="shared" si="3"/>
        <v>0</v>
      </c>
      <c r="F60" s="44" t="s">
        <v>23</v>
      </c>
    </row>
    <row r="61" spans="2:6" x14ac:dyDescent="0.35">
      <c r="B61" s="41" t="s">
        <v>212</v>
      </c>
      <c r="C61" s="43">
        <f t="shared" si="1"/>
        <v>0</v>
      </c>
      <c r="D61" s="43">
        <f t="shared" si="2"/>
        <v>0</v>
      </c>
      <c r="E61" s="43">
        <f t="shared" si="3"/>
        <v>0</v>
      </c>
      <c r="F61" s="44" t="s">
        <v>23</v>
      </c>
    </row>
    <row r="62" spans="2:6" x14ac:dyDescent="0.35">
      <c r="B62" s="41" t="s">
        <v>22</v>
      </c>
      <c r="C62" s="43">
        <f t="shared" si="1"/>
        <v>0</v>
      </c>
      <c r="D62" s="43">
        <f t="shared" si="2"/>
        <v>0</v>
      </c>
      <c r="E62" s="43">
        <f t="shared" si="3"/>
        <v>1</v>
      </c>
      <c r="F62" s="44" t="s">
        <v>23</v>
      </c>
    </row>
    <row r="67" spans="2:6" ht="18.5" x14ac:dyDescent="0.45">
      <c r="B67" s="37" t="s">
        <v>213</v>
      </c>
    </row>
    <row r="69" spans="2:6" x14ac:dyDescent="0.35">
      <c r="B69" s="51" t="s">
        <v>199</v>
      </c>
    </row>
    <row r="70" spans="2:6" x14ac:dyDescent="0.35">
      <c r="B70" s="39" t="s">
        <v>4</v>
      </c>
      <c r="C70" s="39" t="s">
        <v>200</v>
      </c>
      <c r="D70" s="39" t="s">
        <v>201</v>
      </c>
      <c r="E70" s="39" t="s">
        <v>202</v>
      </c>
      <c r="F70" s="39" t="s">
        <v>203</v>
      </c>
    </row>
    <row r="71" spans="2:6" x14ac:dyDescent="0.35">
      <c r="B71" s="41" t="s">
        <v>214</v>
      </c>
      <c r="C71" s="42">
        <f>COUNTIFS('Recommendations'!E:E,"Must",'Recommendations'!O:O,"=Resolved")</f>
        <v>0</v>
      </c>
      <c r="D71" s="42">
        <f>COUNTIFS('Recommendations'!E:E,"=Must",'Recommendations'!O:O,"=Testing")</f>
        <v>0</v>
      </c>
      <c r="E71" s="42">
        <f>COUNTIFS('Recommendations'!E:E,"=Must",'Recommendations'!O:O,"=Outstanding")</f>
        <v>0</v>
      </c>
      <c r="F71" s="42">
        <f>SUM(C71:E71)</f>
        <v>0</v>
      </c>
    </row>
    <row r="72" spans="2:6" x14ac:dyDescent="0.35">
      <c r="B72" s="41" t="s">
        <v>215</v>
      </c>
      <c r="C72" s="42">
        <f>COUNTIFS('Recommendations'!E:E,"Should",'Recommendations'!O:O,"=Resolved")</f>
        <v>0</v>
      </c>
      <c r="D72" s="42">
        <f>COUNTIFS('Recommendations'!E:E,"=Should",'Recommendations'!O:O,"=Testing")</f>
        <v>0</v>
      </c>
      <c r="E72" s="42">
        <f>COUNTIFS('Recommendations'!E:E,"=Should",'Recommendations'!O:O,"=Outstanding")</f>
        <v>0</v>
      </c>
      <c r="F72" s="42">
        <f>SUM(C72:E72)</f>
        <v>0</v>
      </c>
    </row>
    <row r="73" spans="2:6" x14ac:dyDescent="0.35">
      <c r="B73" s="41" t="s">
        <v>216</v>
      </c>
      <c r="C73" s="42">
        <f>COUNTIFS('Recommendations'!E:E,"Could",'Recommendations'!O:O,"=Resolved")</f>
        <v>0</v>
      </c>
      <c r="D73" s="42">
        <f>COUNTIFS('Recommendations'!E:E,"=Could",'Recommendations'!O:O,"=Testing")</f>
        <v>0</v>
      </c>
      <c r="E73" s="42">
        <f>COUNTIFS('Recommendations'!E:E,"=Could",'Recommendations'!O:O,"=Outstanding")</f>
        <v>0</v>
      </c>
      <c r="F73" s="42">
        <f>SUM(C73:E73)</f>
        <v>0</v>
      </c>
    </row>
    <row r="74" spans="2:6" x14ac:dyDescent="0.35">
      <c r="B74" s="41" t="s">
        <v>217</v>
      </c>
      <c r="C74" s="42">
        <f>COUNTIFS('Recommendations'!E:E,"Won't",'Recommendations'!O:O,"=Resolved")</f>
        <v>0</v>
      </c>
      <c r="D74" s="42">
        <f>COUNTIFS('Recommendations'!E:E,"=Won't",'Recommendations'!O:O,"=Testing")</f>
        <v>0</v>
      </c>
      <c r="E74" s="42">
        <f>COUNTIFS('Recommendations'!E:E,"=Won't",'Recommendations'!O:O,"=Outstanding")</f>
        <v>0</v>
      </c>
      <c r="F74" s="42">
        <f>SUM(C74:E74)</f>
        <v>0</v>
      </c>
    </row>
    <row r="75" spans="2:6" x14ac:dyDescent="0.35">
      <c r="B75" s="41" t="s">
        <v>20</v>
      </c>
      <c r="C75" s="42">
        <f>COUNTIFS('Recommendations'!E:E,"Unassigned",'Recommendations'!O:O,"=Resolved")</f>
        <v>0</v>
      </c>
      <c r="D75" s="42">
        <f>COUNTIFS('Recommendations'!E:E,"=Unassigned",'Recommendations'!O:O,"=Testing")</f>
        <v>0</v>
      </c>
      <c r="E75" s="42">
        <f>COUNTIFS('Recommendations'!E:E,"=Unassigned",'Recommendations'!O:O,"=Outstanding")</f>
        <v>20</v>
      </c>
      <c r="F75" s="42">
        <f>SUM(C75:E75)</f>
        <v>20</v>
      </c>
    </row>
    <row r="77" spans="2:6" x14ac:dyDescent="0.35">
      <c r="B77" s="51" t="s">
        <v>205</v>
      </c>
    </row>
    <row r="78" spans="2:6" x14ac:dyDescent="0.35">
      <c r="B78" s="52" t="s">
        <v>4</v>
      </c>
      <c r="C78" s="52" t="s">
        <v>200</v>
      </c>
      <c r="D78" s="52" t="s">
        <v>201</v>
      </c>
      <c r="E78" s="52" t="s">
        <v>202</v>
      </c>
      <c r="F78" s="52" t="s">
        <v>23</v>
      </c>
    </row>
    <row r="79" spans="2:6" x14ac:dyDescent="0.35">
      <c r="B79" s="41" t="s">
        <v>214</v>
      </c>
      <c r="C79" s="43">
        <f>IF(F71&gt;0, C71/F71, 0)</f>
        <v>0</v>
      </c>
      <c r="D79" s="43">
        <f>IF(F71&gt;0, D71/F71, 0)</f>
        <v>0</v>
      </c>
      <c r="E79" s="43">
        <f>IF(F71&gt;0, E71/F71, 0)</f>
        <v>0</v>
      </c>
      <c r="F79" s="44" t="s">
        <v>23</v>
      </c>
    </row>
    <row r="80" spans="2:6" x14ac:dyDescent="0.35">
      <c r="B80" s="41" t="s">
        <v>215</v>
      </c>
      <c r="C80" s="43">
        <f>IF(F72&gt;0, C72/F72, 0)</f>
        <v>0</v>
      </c>
      <c r="D80" s="43">
        <f>IF(F72&gt;0, D72/F72, 0)</f>
        <v>0</v>
      </c>
      <c r="E80" s="43">
        <f>IF(F72&gt;0, E72/F72, 0)</f>
        <v>0</v>
      </c>
      <c r="F80" s="44" t="s">
        <v>23</v>
      </c>
    </row>
    <row r="81" spans="2:6" x14ac:dyDescent="0.35">
      <c r="B81" s="41" t="s">
        <v>216</v>
      </c>
      <c r="C81" s="43">
        <f>IF(F73&gt;0, C73/F73, 0)</f>
        <v>0</v>
      </c>
      <c r="D81" s="43">
        <f>IF(F73&gt;0, D73/F73, 0)</f>
        <v>0</v>
      </c>
      <c r="E81" s="43">
        <f>IF(F73&gt;0, E73/F73, 0)</f>
        <v>0</v>
      </c>
      <c r="F81" s="44" t="s">
        <v>23</v>
      </c>
    </row>
    <row r="82" spans="2:6" x14ac:dyDescent="0.35">
      <c r="B82" s="41" t="s">
        <v>217</v>
      </c>
      <c r="C82" s="43">
        <f>IF(F74&gt;0, C74/F74, 0)</f>
        <v>0</v>
      </c>
      <c r="D82" s="43">
        <f>IF(F74&gt;0, D74/F74, 0)</f>
        <v>0</v>
      </c>
      <c r="E82" s="43">
        <f>IF(F74&gt;0, E74/F74, 0)</f>
        <v>0</v>
      </c>
      <c r="F82" s="44" t="s">
        <v>23</v>
      </c>
    </row>
    <row r="83" spans="2:6" x14ac:dyDescent="0.35">
      <c r="B83" s="41" t="s">
        <v>20</v>
      </c>
      <c r="C83" s="43">
        <f>IF(F75&gt;0, C75/F75, 0)</f>
        <v>0</v>
      </c>
      <c r="D83" s="43">
        <f>IF(F75&gt;0, D75/F75, 0)</f>
        <v>0</v>
      </c>
      <c r="E83" s="43">
        <f>IF(F75&gt;0, E75/F75, 0)</f>
        <v>1</v>
      </c>
      <c r="F83" s="44" t="s">
        <v>23</v>
      </c>
    </row>
    <row r="88" spans="2:6" ht="18.5" x14ac:dyDescent="0.45">
      <c r="B88" s="37" t="s">
        <v>218</v>
      </c>
    </row>
    <row r="90" spans="2:6" x14ac:dyDescent="0.35">
      <c r="B90" s="51" t="s">
        <v>199</v>
      </c>
    </row>
    <row r="91" spans="2:6" x14ac:dyDescent="0.35">
      <c r="B91" s="39" t="s">
        <v>219</v>
      </c>
      <c r="C91" s="39" t="s">
        <v>200</v>
      </c>
      <c r="D91" s="39" t="s">
        <v>201</v>
      </c>
      <c r="E91" s="39" t="s">
        <v>202</v>
      </c>
      <c r="F91" s="39" t="s">
        <v>203</v>
      </c>
    </row>
    <row r="92" spans="2:6" x14ac:dyDescent="0.35">
      <c r="B92" s="41" t="s">
        <v>220</v>
      </c>
      <c r="C92" s="42">
        <f>COUNTIFS('Recommendations'!F:F,"Low",'Recommendations'!O:O,"=Resolved")</f>
        <v>0</v>
      </c>
      <c r="D92" s="42">
        <f>COUNTIFS('Recommendations'!F:F,"=Low",'Recommendations'!O:O,"=Testing")</f>
        <v>0</v>
      </c>
      <c r="E92" s="42">
        <f>COUNTIFS('Recommendations'!F:F,"=Low",'Recommendations'!O:O,"=Outstanding")</f>
        <v>0</v>
      </c>
      <c r="F92" s="42">
        <f>SUM(C92:E92)</f>
        <v>0</v>
      </c>
    </row>
    <row r="93" spans="2:6" x14ac:dyDescent="0.35">
      <c r="B93" s="41" t="s">
        <v>221</v>
      </c>
      <c r="C93" s="42">
        <f>COUNTIFS('Recommendations'!F:F,"Medium",'Recommendations'!O:O,"=Resolved")</f>
        <v>0</v>
      </c>
      <c r="D93" s="42">
        <f>COUNTIFS('Recommendations'!F:F,"=Medium",'Recommendations'!O:O,"=Testing")</f>
        <v>0</v>
      </c>
      <c r="E93" s="42">
        <f>COUNTIFS('Recommendations'!F:F,"=Medium",'Recommendations'!O:O,"=Outstanding")</f>
        <v>0</v>
      </c>
      <c r="F93" s="42">
        <f>SUM(C93:E93)</f>
        <v>0</v>
      </c>
    </row>
    <row r="94" spans="2:6" x14ac:dyDescent="0.35">
      <c r="B94" s="41" t="s">
        <v>222</v>
      </c>
      <c r="C94" s="42">
        <f>COUNTIFS('Recommendations'!F:F,"High",'Recommendations'!O:O,"=Resolved")</f>
        <v>0</v>
      </c>
      <c r="D94" s="42">
        <f>COUNTIFS('Recommendations'!F:F,"=High",'Recommendations'!O:O,"=Testing")</f>
        <v>0</v>
      </c>
      <c r="E94" s="42">
        <f>COUNTIFS('Recommendations'!F:F,"=High",'Recommendations'!O:O,"=Outstanding")</f>
        <v>0</v>
      </c>
      <c r="F94" s="42">
        <f>SUM(C94:E94)</f>
        <v>0</v>
      </c>
    </row>
    <row r="95" spans="2:6" x14ac:dyDescent="0.35">
      <c r="B95" s="41" t="s">
        <v>21</v>
      </c>
      <c r="C95" s="42">
        <f>COUNTIFS('Recommendations'!F:F,"Unassessed",'Recommendations'!O:O,"=Resolved")</f>
        <v>0</v>
      </c>
      <c r="D95" s="42">
        <f>COUNTIFS('Recommendations'!F:F,"=Unassessed",'Recommendations'!O:O,"=Testing")</f>
        <v>0</v>
      </c>
      <c r="E95" s="42">
        <f>COUNTIFS('Recommendations'!F:F,"=Unassessed",'Recommendations'!O:O,"=Outstanding")</f>
        <v>20</v>
      </c>
      <c r="F95" s="42">
        <f>SUM(C95:E95)</f>
        <v>20</v>
      </c>
    </row>
    <row r="97" spans="2:15" x14ac:dyDescent="0.35">
      <c r="B97" s="51" t="s">
        <v>205</v>
      </c>
    </row>
    <row r="98" spans="2:15" x14ac:dyDescent="0.35">
      <c r="B98" s="52" t="s">
        <v>219</v>
      </c>
      <c r="C98" s="52" t="s">
        <v>200</v>
      </c>
      <c r="D98" s="52" t="s">
        <v>201</v>
      </c>
      <c r="E98" s="52" t="s">
        <v>202</v>
      </c>
      <c r="F98" s="52" t="s">
        <v>23</v>
      </c>
    </row>
    <row r="99" spans="2:15" x14ac:dyDescent="0.35">
      <c r="B99" s="41" t="s">
        <v>220</v>
      </c>
      <c r="C99" s="43">
        <f>IF(F92&gt;0, C92/F92, 0)</f>
        <v>0</v>
      </c>
      <c r="D99" s="43">
        <f>IF(F92&gt;0, D92/F92, 0)</f>
        <v>0</v>
      </c>
      <c r="E99" s="43">
        <f>IF(F92&gt;0, E92/F92, 0)</f>
        <v>0</v>
      </c>
      <c r="F99" s="44" t="s">
        <v>23</v>
      </c>
    </row>
    <row r="100" spans="2:15" x14ac:dyDescent="0.35">
      <c r="B100" s="41" t="s">
        <v>221</v>
      </c>
      <c r="C100" s="43">
        <f>IF(F93&gt;0, C93/F93, 0)</f>
        <v>0</v>
      </c>
      <c r="D100" s="43">
        <f>IF(F93&gt;0, D93/F93, 0)</f>
        <v>0</v>
      </c>
      <c r="E100" s="43">
        <f>IF(F93&gt;0, E93/F93, 0)</f>
        <v>0</v>
      </c>
      <c r="F100" s="44" t="s">
        <v>23</v>
      </c>
    </row>
    <row r="101" spans="2:15" x14ac:dyDescent="0.35">
      <c r="B101" s="41" t="s">
        <v>222</v>
      </c>
      <c r="C101" s="43">
        <f>IF(F94&gt;0, C94/F94, 0)</f>
        <v>0</v>
      </c>
      <c r="D101" s="43">
        <f>IF(F94&gt;0, D94/F94, 0)</f>
        <v>0</v>
      </c>
      <c r="E101" s="43">
        <f>IF(F94&gt;0, E94/F94, 0)</f>
        <v>0</v>
      </c>
      <c r="F101" s="44" t="s">
        <v>23</v>
      </c>
    </row>
    <row r="102" spans="2:15" x14ac:dyDescent="0.35">
      <c r="B102" s="41" t="s">
        <v>21</v>
      </c>
      <c r="C102" s="43">
        <f>IF(F95&gt;0, C95/F95, 0)</f>
        <v>0</v>
      </c>
      <c r="D102" s="43">
        <f>IF(F95&gt;0, D95/F95, 0)</f>
        <v>0</v>
      </c>
      <c r="E102" s="43">
        <f>IF(F95&gt;0, E95/F95, 0)</f>
        <v>1</v>
      </c>
      <c r="F102" s="44" t="s">
        <v>23</v>
      </c>
    </row>
    <row r="107" spans="2:15" ht="18.5" x14ac:dyDescent="0.45">
      <c r="B107" s="37" t="s">
        <v>223</v>
      </c>
      <c r="J107" s="37" t="s">
        <v>224</v>
      </c>
    </row>
    <row r="108" spans="2:15" x14ac:dyDescent="0.35">
      <c r="B108" s="39" t="s">
        <v>6</v>
      </c>
      <c r="C108" s="84" t="s">
        <v>225</v>
      </c>
      <c r="D108" s="84"/>
      <c r="E108" s="39" t="s">
        <v>192</v>
      </c>
      <c r="F108" s="39" t="s">
        <v>200</v>
      </c>
      <c r="G108" s="84" t="s">
        <v>226</v>
      </c>
      <c r="H108" s="84"/>
      <c r="J108" s="39" t="s">
        <v>6</v>
      </c>
      <c r="K108" s="39" t="s">
        <v>214</v>
      </c>
      <c r="L108" s="39" t="s">
        <v>215</v>
      </c>
      <c r="M108" s="39" t="s">
        <v>216</v>
      </c>
      <c r="N108" s="39" t="s">
        <v>217</v>
      </c>
      <c r="O108" s="39" t="s">
        <v>20</v>
      </c>
    </row>
    <row r="109" spans="2:15" x14ac:dyDescent="0.35">
      <c r="B109" s="45" t="s">
        <v>208</v>
      </c>
      <c r="C109" s="85" t="s">
        <v>23</v>
      </c>
      <c r="D109" s="85"/>
      <c r="E109" s="42">
        <f>COUNTIF('Recommendations'!G:G,"Phase1")-COUNTIFS('Recommendations'!G:G,"Phase1",'Recommendations'!H:H,"Risk Accepted")-COUNTIFS('Recommendations'!G:G,"Phase1",'Recommendations'!H:H,"N/A")</f>
        <v>0</v>
      </c>
      <c r="F109" s="42">
        <f>COUNTIFS('Recommendations'!G:G,"Phase1",'Recommendations'!O:O,"Resolved")</f>
        <v>0</v>
      </c>
      <c r="G109" s="86">
        <f t="shared" ref="G109:G114" si="4">IF(E109&gt;0,F109/E109,0)</f>
        <v>0</v>
      </c>
      <c r="H109" s="86"/>
      <c r="J109" s="45" t="s">
        <v>208</v>
      </c>
      <c r="K109" s="42">
        <f>COUNTIFS('Recommendations'!G:G,"Phase1",'Recommendations'!E:E,"Must")</f>
        <v>0</v>
      </c>
      <c r="L109" s="42">
        <f>COUNTIFS('Recommendations'!G:G,"Phase1",'Recommendations'!E:E,"Should")</f>
        <v>0</v>
      </c>
      <c r="M109" s="42">
        <f>COUNTIFS('Recommendations'!G:G,"Phase1",'Recommendations'!E:E,"Could")</f>
        <v>0</v>
      </c>
      <c r="N109" s="42">
        <f>COUNTIFS('Recommendations'!G:G,"Phase1",'Recommendations'!E:E,"Won't")</f>
        <v>0</v>
      </c>
      <c r="O109" s="42">
        <f>COUNTIFS('Recommendations'!G:G,"Phase1",'Recommendations'!E:E,"Unassigned")</f>
        <v>0</v>
      </c>
    </row>
    <row r="110" spans="2:15" x14ac:dyDescent="0.35">
      <c r="B110" s="45" t="s">
        <v>209</v>
      </c>
      <c r="C110" s="85" t="s">
        <v>23</v>
      </c>
      <c r="D110" s="85"/>
      <c r="E110" s="42">
        <f>COUNTIF('Recommendations'!G:G,"Phase2")-COUNTIFS('Recommendations'!G:G,"Phase2",'Recommendations'!H:H,"Risk Accepted")-COUNTIFS('Recommendations'!G:G,"Phase2",'Recommendations'!H:H,"N/A")</f>
        <v>0</v>
      </c>
      <c r="F110" s="42">
        <f>COUNTIFS('Recommendations'!G:G,"Phase2",'Recommendations'!O:O,"Resolved")</f>
        <v>0</v>
      </c>
      <c r="G110" s="86">
        <f t="shared" si="4"/>
        <v>0</v>
      </c>
      <c r="H110" s="86"/>
      <c r="J110" s="45" t="s">
        <v>209</v>
      </c>
      <c r="K110" s="42">
        <f>COUNTIFS('Recommendations'!G:G,"Phase2",'Recommendations'!E:E,"Must")</f>
        <v>0</v>
      </c>
      <c r="L110" s="42">
        <f>COUNTIFS('Recommendations'!G:G,"Phase2",'Recommendations'!E:E,"Should")</f>
        <v>0</v>
      </c>
      <c r="M110" s="42">
        <f>COUNTIFS('Recommendations'!G:G,"Phase2",'Recommendations'!E:E,"Could")</f>
        <v>0</v>
      </c>
      <c r="N110" s="42">
        <f>COUNTIFS('Recommendations'!G:G,"Phase2",'Recommendations'!E:E,"Won't")</f>
        <v>0</v>
      </c>
      <c r="O110" s="42">
        <f>COUNTIFS('Recommendations'!G:G,"Phase2",'Recommendations'!E:E,"Unassigned")</f>
        <v>0</v>
      </c>
    </row>
    <row r="111" spans="2:15" x14ac:dyDescent="0.35">
      <c r="B111" s="45" t="s">
        <v>210</v>
      </c>
      <c r="C111" s="85" t="s">
        <v>23</v>
      </c>
      <c r="D111" s="85"/>
      <c r="E111" s="42">
        <f>COUNTIF('Recommendations'!G:G,"Phase3")-COUNTIFS('Recommendations'!G:G,"Phase3",'Recommendations'!H:H,"Risk Accepted")-COUNTIFS('Recommendations'!G:G,"Phase3",'Recommendations'!H:H,"N/A")</f>
        <v>0</v>
      </c>
      <c r="F111" s="42">
        <f>COUNTIFS('Recommendations'!G:G,"Phase3",'Recommendations'!O:O,"Resolved")</f>
        <v>0</v>
      </c>
      <c r="G111" s="86">
        <f t="shared" si="4"/>
        <v>0</v>
      </c>
      <c r="H111" s="86"/>
      <c r="J111" s="45" t="s">
        <v>210</v>
      </c>
      <c r="K111" s="42">
        <f>COUNTIFS('Recommendations'!G:G,"Phase3",'Recommendations'!E:E,"Must")</f>
        <v>0</v>
      </c>
      <c r="L111" s="42">
        <f>COUNTIFS('Recommendations'!G:G,"Phase3",'Recommendations'!E:E,"Should")</f>
        <v>0</v>
      </c>
      <c r="M111" s="42">
        <f>COUNTIFS('Recommendations'!G:G,"Phase3",'Recommendations'!E:E,"Could")</f>
        <v>0</v>
      </c>
      <c r="N111" s="42">
        <f>COUNTIFS('Recommendations'!G:G,"Phase3",'Recommendations'!E:E,"Won't")</f>
        <v>0</v>
      </c>
      <c r="O111" s="42">
        <f>COUNTIFS('Recommendations'!G:G,"Phase3",'Recommendations'!E:E,"Unassigned")</f>
        <v>0</v>
      </c>
    </row>
    <row r="112" spans="2:15" x14ac:dyDescent="0.35">
      <c r="B112" s="45" t="s">
        <v>211</v>
      </c>
      <c r="C112" s="85" t="s">
        <v>23</v>
      </c>
      <c r="D112" s="85"/>
      <c r="E112" s="42">
        <f>COUNTIF('Recommendations'!G:G,"Phase4")-COUNTIFS('Recommendations'!G:G,"Phase4",'Recommendations'!H:H,"Risk Accepted")-COUNTIFS('Recommendations'!G:G,"Phase4",'Recommendations'!H:H,"N/A")</f>
        <v>0</v>
      </c>
      <c r="F112" s="42">
        <f>COUNTIFS('Recommendations'!G:G,"Phase4",'Recommendations'!O:O,"Resolved")</f>
        <v>0</v>
      </c>
      <c r="G112" s="86">
        <f t="shared" si="4"/>
        <v>0</v>
      </c>
      <c r="H112" s="86"/>
      <c r="J112" s="45" t="s">
        <v>211</v>
      </c>
      <c r="K112" s="42">
        <f>COUNTIFS('Recommendations'!G:G,"Phase4",'Recommendations'!E:E,"Must")</f>
        <v>0</v>
      </c>
      <c r="L112" s="42">
        <f>COUNTIFS('Recommendations'!G:G,"Phase4",'Recommendations'!E:E,"Should")</f>
        <v>0</v>
      </c>
      <c r="M112" s="42">
        <f>COUNTIFS('Recommendations'!G:G,"Phase4",'Recommendations'!E:E,"Could")</f>
        <v>0</v>
      </c>
      <c r="N112" s="42">
        <f>COUNTIFS('Recommendations'!G:G,"Phase4",'Recommendations'!E:E,"Won't")</f>
        <v>0</v>
      </c>
      <c r="O112" s="42">
        <f>COUNTIFS('Recommendations'!G:G,"Phase4",'Recommendations'!E:E,"Unassigned")</f>
        <v>0</v>
      </c>
    </row>
    <row r="113" spans="2:24" x14ac:dyDescent="0.35">
      <c r="B113" s="45" t="s">
        <v>212</v>
      </c>
      <c r="C113" s="85" t="s">
        <v>23</v>
      </c>
      <c r="D113" s="85"/>
      <c r="E113" s="42">
        <f>COUNTIF('Recommendations'!G:G,"Phase5")-COUNTIFS('Recommendations'!G:G,"Phase5",'Recommendations'!H:H,"Risk Accepted")-COUNTIFS('Recommendations'!G:G,"Phase5",'Recommendations'!H:H,"N/A")</f>
        <v>0</v>
      </c>
      <c r="F113" s="42">
        <f>COUNTIFS('Recommendations'!G:G,"Phase5",'Recommendations'!O:O,"Resolved")</f>
        <v>0</v>
      </c>
      <c r="G113" s="86">
        <f t="shared" si="4"/>
        <v>0</v>
      </c>
      <c r="H113" s="86"/>
      <c r="J113" s="45" t="s">
        <v>212</v>
      </c>
      <c r="K113" s="42">
        <f>COUNTIFS('Recommendations'!G:G,"Phase5",'Recommendations'!E:E,"Must")</f>
        <v>0</v>
      </c>
      <c r="L113" s="42">
        <f>COUNTIFS('Recommendations'!G:G,"Phase5",'Recommendations'!E:E,"Should")</f>
        <v>0</v>
      </c>
      <c r="M113" s="42">
        <f>COUNTIFS('Recommendations'!G:G,"Phase5",'Recommendations'!E:E,"Could")</f>
        <v>0</v>
      </c>
      <c r="N113" s="42">
        <f>COUNTIFS('Recommendations'!G:G,"Phase5",'Recommendations'!E:E,"Won't")</f>
        <v>0</v>
      </c>
      <c r="O113" s="42">
        <f>COUNTIFS('Recommendations'!G:G,"Phase5",'Recommendations'!E:E,"Unassigned")</f>
        <v>0</v>
      </c>
    </row>
    <row r="114" spans="2:24" x14ac:dyDescent="0.35">
      <c r="B114" s="45" t="s">
        <v>22</v>
      </c>
      <c r="C114" s="85" t="s">
        <v>23</v>
      </c>
      <c r="D114" s="85"/>
      <c r="E114" s="42">
        <f>COUNTIF('Recommendations'!G:G,"Pending")-COUNTIFS('Recommendations'!G:G,"Pending",'Recommendations'!H:H,"Risk Accepted")-COUNTIFS('Recommendations'!G:G,"Pending",'Recommendations'!H:H,"N/A")</f>
        <v>20</v>
      </c>
      <c r="F114" s="42">
        <f>COUNTIFS('Recommendations'!G:G,"Pending",'Recommendations'!O:O,"Resolved")</f>
        <v>0</v>
      </c>
      <c r="G114" s="86">
        <f t="shared" si="4"/>
        <v>0</v>
      </c>
      <c r="H114" s="86"/>
      <c r="J114" s="45" t="s">
        <v>22</v>
      </c>
      <c r="K114" s="42">
        <f>COUNTIFS('Recommendations'!G:G,"Pending",'Recommendations'!E:E,"Must")</f>
        <v>0</v>
      </c>
      <c r="L114" s="42">
        <f>COUNTIFS('Recommendations'!G:G,"Pending",'Recommendations'!E:E,"Should")</f>
        <v>0</v>
      </c>
      <c r="M114" s="42">
        <f>COUNTIFS('Recommendations'!G:G,"Pending",'Recommendations'!E:E,"Could")</f>
        <v>0</v>
      </c>
      <c r="N114" s="42">
        <f>COUNTIFS('Recommendations'!G:G,"Pending",'Recommendations'!E:E,"Won't")</f>
        <v>0</v>
      </c>
      <c r="O114" s="42">
        <f>COUNTIFS('Recommendations'!G:G,"Pending",'Recommendations'!E:E,"Unassigned")</f>
        <v>20</v>
      </c>
    </row>
    <row r="121" spans="2:24" ht="21" x14ac:dyDescent="0.5">
      <c r="B121" s="37" t="s">
        <v>227</v>
      </c>
      <c r="P121" s="54" t="s">
        <v>228</v>
      </c>
    </row>
    <row r="123" spans="2:24" ht="60" customHeight="1" x14ac:dyDescent="0.35">
      <c r="B123" s="87" t="s">
        <v>229</v>
      </c>
      <c r="C123" s="80"/>
      <c r="D123" s="80"/>
      <c r="E123" s="80"/>
      <c r="F123" s="80"/>
      <c r="P123" s="87" t="s">
        <v>230</v>
      </c>
      <c r="Q123" s="80"/>
      <c r="R123" s="80"/>
      <c r="S123" s="80"/>
      <c r="T123" s="80"/>
      <c r="U123" s="80"/>
      <c r="V123" s="80"/>
      <c r="W123" s="80"/>
    </row>
    <row r="125" spans="2:24" ht="30" customHeight="1" x14ac:dyDescent="0.35">
      <c r="P125" s="55" t="s">
        <v>231</v>
      </c>
      <c r="Q125" s="56">
        <f>C16</f>
        <v>0</v>
      </c>
      <c r="R125" s="57"/>
      <c r="S125" s="56">
        <f>C71</f>
        <v>0</v>
      </c>
      <c r="T125" s="57"/>
      <c r="U125" s="56">
        <f>C72</f>
        <v>0</v>
      </c>
      <c r="V125" s="57"/>
      <c r="W125" s="56">
        <f>C73</f>
        <v>0</v>
      </c>
      <c r="X125" s="57"/>
    </row>
    <row r="126" spans="2:24" ht="35" customHeight="1" x14ac:dyDescent="0.35">
      <c r="P126" s="58" t="s">
        <v>232</v>
      </c>
      <c r="Q126" s="58" t="s">
        <v>233</v>
      </c>
      <c r="R126" s="58" t="s">
        <v>234</v>
      </c>
      <c r="S126" s="58" t="s">
        <v>235</v>
      </c>
      <c r="T126" s="58" t="s">
        <v>236</v>
      </c>
      <c r="U126" s="58" t="s">
        <v>237</v>
      </c>
      <c r="V126" s="58" t="s">
        <v>238</v>
      </c>
      <c r="W126" s="58" t="s">
        <v>239</v>
      </c>
      <c r="X126" s="58" t="s">
        <v>240</v>
      </c>
    </row>
    <row r="127" spans="2:24" x14ac:dyDescent="0.35">
      <c r="O127" s="59" t="s">
        <v>241</v>
      </c>
      <c r="P127" s="60" t="s">
        <v>242</v>
      </c>
      <c r="Q127" s="61">
        <v>0</v>
      </c>
      <c r="R127" s="62">
        <f>IF(Dashboard!F16&gt;0, Q127/Dashboard!F16, "")</f>
        <v>0</v>
      </c>
      <c r="S127" s="61">
        <v>0</v>
      </c>
      <c r="T127" s="62" t="str">
        <f>IF(AND(NOT(ISBLANK(S127)),Dashboard!F71&gt;0), S127/Dashboard!F71, "")</f>
        <v/>
      </c>
      <c r="U127" s="61">
        <v>0</v>
      </c>
      <c r="V127" s="62" t="str">
        <f>IF(AND(NOT(ISBLANK(U127)),Dashboard!F72&gt;0), U127/Dashboard!F72, "")</f>
        <v/>
      </c>
      <c r="W127" s="61">
        <v>0</v>
      </c>
      <c r="X127" s="62" t="str">
        <f>IF(AND(NOT(ISBLANK(W127)),Dashboard!F73&gt;0), W127/Dashboard!F73, "")</f>
        <v/>
      </c>
    </row>
    <row r="128" spans="2:24" x14ac:dyDescent="0.35">
      <c r="P128" s="53"/>
      <c r="Q128" s="40"/>
      <c r="R128" s="43" t="str">
        <f>IF(AND(NOT(ISBLANK(Q128)),Dashboard!F16&gt;0), Q128/Dashboard!F16, "")</f>
        <v/>
      </c>
      <c r="S128" s="40"/>
      <c r="T128" s="43" t="str">
        <f>IF(AND(NOT(ISBLANK(S128)),Dashboard!F71&gt;0), S128/Dashboard!F71, "")</f>
        <v/>
      </c>
      <c r="U128" s="40"/>
      <c r="V128" s="43" t="str">
        <f>IF(AND(NOT(ISBLANK(U128)),Dashboard!F72&gt;0), U128/Dashboard!F72, "")</f>
        <v/>
      </c>
      <c r="W128" s="40"/>
      <c r="X128" s="43" t="str">
        <f>IF(AND(NOT(ISBLANK(W128)),Dashboard!F73&gt;0), W128/Dashboard!F73, "")</f>
        <v/>
      </c>
    </row>
    <row r="129" spans="16:24" x14ac:dyDescent="0.35">
      <c r="P129" s="53"/>
      <c r="Q129" s="40"/>
      <c r="R129" s="43" t="str">
        <f>IF(AND(NOT(ISBLANK(Q129)),Dashboard!F16&gt;0), Q129/Dashboard!F16, "")</f>
        <v/>
      </c>
      <c r="S129" s="40"/>
      <c r="T129" s="43" t="str">
        <f>IF(AND(NOT(ISBLANK(S129)),Dashboard!F71&gt;0), S129/Dashboard!F71, "")</f>
        <v/>
      </c>
      <c r="U129" s="40"/>
      <c r="V129" s="43" t="str">
        <f>IF(AND(NOT(ISBLANK(U129)),Dashboard!F72&gt;0), U129/Dashboard!F72, "")</f>
        <v/>
      </c>
      <c r="W129" s="40"/>
      <c r="X129" s="43" t="str">
        <f>IF(AND(NOT(ISBLANK(W129)),Dashboard!F73&gt;0), W129/Dashboard!F73, "")</f>
        <v/>
      </c>
    </row>
    <row r="130" spans="16:24" x14ac:dyDescent="0.35">
      <c r="P130" s="53"/>
      <c r="Q130" s="40"/>
      <c r="R130" s="43" t="str">
        <f>IF(AND(NOT(ISBLANK(Q130)),Dashboard!F16&gt;0), Q130/Dashboard!F16, "")</f>
        <v/>
      </c>
      <c r="S130" s="40"/>
      <c r="T130" s="43" t="str">
        <f>IF(AND(NOT(ISBLANK(S130)),Dashboard!F71&gt;0), S130/Dashboard!F71, "")</f>
        <v/>
      </c>
      <c r="U130" s="40"/>
      <c r="V130" s="43" t="str">
        <f>IF(AND(NOT(ISBLANK(U130)),Dashboard!F72&gt;0), U130/Dashboard!F72, "")</f>
        <v/>
      </c>
      <c r="W130" s="40"/>
      <c r="X130" s="43" t="str">
        <f>IF(AND(NOT(ISBLANK(W130)),Dashboard!F73&gt;0), W130/Dashboard!F73, "")</f>
        <v/>
      </c>
    </row>
    <row r="131" spans="16:24" x14ac:dyDescent="0.35">
      <c r="P131" s="53"/>
      <c r="Q131" s="40"/>
      <c r="R131" s="43" t="str">
        <f>IF(AND(NOT(ISBLANK(Q131)),Dashboard!F16&gt;0), Q131/Dashboard!F16, "")</f>
        <v/>
      </c>
      <c r="S131" s="40"/>
      <c r="T131" s="43" t="str">
        <f>IF(AND(NOT(ISBLANK(S131)),Dashboard!F71&gt;0), S131/Dashboard!F71, "")</f>
        <v/>
      </c>
      <c r="U131" s="40"/>
      <c r="V131" s="43" t="str">
        <f>IF(AND(NOT(ISBLANK(U131)),Dashboard!F72&gt;0), U131/Dashboard!F72, "")</f>
        <v/>
      </c>
      <c r="W131" s="40"/>
      <c r="X131" s="43" t="str">
        <f>IF(AND(NOT(ISBLANK(W131)),Dashboard!F73&gt;0), W131/Dashboard!F73, "")</f>
        <v/>
      </c>
    </row>
    <row r="132" spans="16:24" x14ac:dyDescent="0.35">
      <c r="P132" s="53"/>
      <c r="Q132" s="40"/>
      <c r="R132" s="43" t="str">
        <f>IF(AND(NOT(ISBLANK(Q132)),Dashboard!F16&gt;0), Q132/Dashboard!F16, "")</f>
        <v/>
      </c>
      <c r="S132" s="40"/>
      <c r="T132" s="43" t="str">
        <f>IF(AND(NOT(ISBLANK(S132)),Dashboard!F71&gt;0), S132/Dashboard!F71, "")</f>
        <v/>
      </c>
      <c r="U132" s="40"/>
      <c r="V132" s="43" t="str">
        <f>IF(AND(NOT(ISBLANK(U132)),Dashboard!F72&gt;0), U132/Dashboard!F72, "")</f>
        <v/>
      </c>
      <c r="W132" s="40"/>
      <c r="X132" s="43" t="str">
        <f>IF(AND(NOT(ISBLANK(W132)),Dashboard!F73&gt;0), W132/Dashboard!F73, "")</f>
        <v/>
      </c>
    </row>
    <row r="133" spans="16:24" x14ac:dyDescent="0.35">
      <c r="P133" s="53"/>
      <c r="Q133" s="40"/>
      <c r="R133" s="43" t="str">
        <f>IF(AND(NOT(ISBLANK(Q133)),Dashboard!F16&gt;0), Q133/Dashboard!F16, "")</f>
        <v/>
      </c>
      <c r="S133" s="40"/>
      <c r="T133" s="43" t="str">
        <f>IF(AND(NOT(ISBLANK(S133)),Dashboard!F71&gt;0), S133/Dashboard!F71, "")</f>
        <v/>
      </c>
      <c r="U133" s="40"/>
      <c r="V133" s="43" t="str">
        <f>IF(AND(NOT(ISBLANK(U133)),Dashboard!F72&gt;0), U133/Dashboard!F72, "")</f>
        <v/>
      </c>
      <c r="W133" s="40"/>
      <c r="X133" s="43" t="str">
        <f>IF(AND(NOT(ISBLANK(W133)),Dashboard!F73&gt;0), W133/Dashboard!F73, "")</f>
        <v/>
      </c>
    </row>
    <row r="134" spans="16:24" x14ac:dyDescent="0.35">
      <c r="P134" s="53"/>
      <c r="Q134" s="40"/>
      <c r="R134" s="43" t="str">
        <f>IF(AND(NOT(ISBLANK(Q134)),Dashboard!F16&gt;0), Q134/Dashboard!F16, "")</f>
        <v/>
      </c>
      <c r="S134" s="40"/>
      <c r="T134" s="43" t="str">
        <f>IF(AND(NOT(ISBLANK(S134)),Dashboard!F71&gt;0), S134/Dashboard!F71, "")</f>
        <v/>
      </c>
      <c r="U134" s="40"/>
      <c r="V134" s="43" t="str">
        <f>IF(AND(NOT(ISBLANK(U134)),Dashboard!F72&gt;0), U134/Dashboard!F72, "")</f>
        <v/>
      </c>
      <c r="W134" s="40"/>
      <c r="X134" s="43" t="str">
        <f>IF(AND(NOT(ISBLANK(W134)),Dashboard!F73&gt;0), W134/Dashboard!F73, "")</f>
        <v/>
      </c>
    </row>
    <row r="135" spans="16:24" x14ac:dyDescent="0.35">
      <c r="P135" s="53"/>
      <c r="Q135" s="40"/>
      <c r="R135" s="43" t="str">
        <f>IF(AND(NOT(ISBLANK(Q135)),Dashboard!F16&gt;0), Q135/Dashboard!F16, "")</f>
        <v/>
      </c>
      <c r="S135" s="40"/>
      <c r="T135" s="43" t="str">
        <f>IF(AND(NOT(ISBLANK(S135)),Dashboard!F71&gt;0), S135/Dashboard!F71, "")</f>
        <v/>
      </c>
      <c r="U135" s="40"/>
      <c r="V135" s="43" t="str">
        <f>IF(AND(NOT(ISBLANK(U135)),Dashboard!F72&gt;0), U135/Dashboard!F72, "")</f>
        <v/>
      </c>
      <c r="W135" s="40"/>
      <c r="X135" s="43" t="str">
        <f>IF(AND(NOT(ISBLANK(W135)),Dashboard!F73&gt;0), W135/Dashboard!F73, "")</f>
        <v/>
      </c>
    </row>
    <row r="136" spans="16:24" x14ac:dyDescent="0.35">
      <c r="P136" s="53"/>
      <c r="Q136" s="40"/>
      <c r="R136" s="43" t="str">
        <f>IF(AND(NOT(ISBLANK(Q136)),Dashboard!F16&gt;0), Q136/Dashboard!F16, "")</f>
        <v/>
      </c>
      <c r="S136" s="40"/>
      <c r="T136" s="43" t="str">
        <f>IF(AND(NOT(ISBLANK(S136)),Dashboard!F71&gt;0), S136/Dashboard!F71, "")</f>
        <v/>
      </c>
      <c r="U136" s="40"/>
      <c r="V136" s="43" t="str">
        <f>IF(AND(NOT(ISBLANK(U136)),Dashboard!F72&gt;0), U136/Dashboard!F72, "")</f>
        <v/>
      </c>
      <c r="W136" s="40"/>
      <c r="X136" s="43" t="str">
        <f>IF(AND(NOT(ISBLANK(W136)),Dashboard!F73&gt;0), W136/Dashboard!F73, "")</f>
        <v/>
      </c>
    </row>
    <row r="137" spans="16:24" x14ac:dyDescent="0.35">
      <c r="P137" s="53"/>
      <c r="Q137" s="40"/>
      <c r="R137" s="43" t="str">
        <f>IF(AND(NOT(ISBLANK(Q137)),Dashboard!F16&gt;0), Q137/Dashboard!F16, "")</f>
        <v/>
      </c>
      <c r="S137" s="40"/>
      <c r="T137" s="43" t="str">
        <f>IF(AND(NOT(ISBLANK(S137)),Dashboard!F71&gt;0), S137/Dashboard!F71, "")</f>
        <v/>
      </c>
      <c r="U137" s="40"/>
      <c r="V137" s="43" t="str">
        <f>IF(AND(NOT(ISBLANK(U137)),Dashboard!F72&gt;0), U137/Dashboard!F72, "")</f>
        <v/>
      </c>
      <c r="W137" s="40"/>
      <c r="X137" s="43" t="str">
        <f>IF(AND(NOT(ISBLANK(W137)),Dashboard!F73&gt;0), W137/Dashboard!F73, "")</f>
        <v/>
      </c>
    </row>
    <row r="138" spans="16:24" x14ac:dyDescent="0.35">
      <c r="P138" s="53"/>
      <c r="Q138" s="40"/>
      <c r="R138" s="43" t="str">
        <f>IF(AND(NOT(ISBLANK(Q138)),Dashboard!F16&gt;0), Q138/Dashboard!F16, "")</f>
        <v/>
      </c>
      <c r="S138" s="40"/>
      <c r="T138" s="43" t="str">
        <f>IF(AND(NOT(ISBLANK(S138)),Dashboard!F71&gt;0), S138/Dashboard!F71, "")</f>
        <v/>
      </c>
      <c r="U138" s="40"/>
      <c r="V138" s="43" t="str">
        <f>IF(AND(NOT(ISBLANK(U138)),Dashboard!F72&gt;0), U138/Dashboard!F72, "")</f>
        <v/>
      </c>
      <c r="W138" s="40"/>
      <c r="X138" s="43" t="str">
        <f>IF(AND(NOT(ISBLANK(W138)),Dashboard!F73&gt;0), W138/Dashboard!F73, "")</f>
        <v/>
      </c>
    </row>
    <row r="139" spans="16:24" x14ac:dyDescent="0.35">
      <c r="P139" s="53"/>
      <c r="Q139" s="40"/>
      <c r="R139" s="43" t="str">
        <f>IF(AND(NOT(ISBLANK(Q139)),Dashboard!F16&gt;0), Q139/Dashboard!F16, "")</f>
        <v/>
      </c>
      <c r="S139" s="40"/>
      <c r="T139" s="43" t="str">
        <f>IF(AND(NOT(ISBLANK(S139)),Dashboard!F71&gt;0), S139/Dashboard!F71, "")</f>
        <v/>
      </c>
      <c r="U139" s="40"/>
      <c r="V139" s="43" t="str">
        <f>IF(AND(NOT(ISBLANK(U139)),Dashboard!F72&gt;0), U139/Dashboard!F72, "")</f>
        <v/>
      </c>
      <c r="W139" s="40"/>
      <c r="X139" s="43" t="str">
        <f>IF(AND(NOT(ISBLANK(W139)),Dashboard!F73&gt;0), W139/Dashboard!F73, "")</f>
        <v/>
      </c>
    </row>
    <row r="140" spans="16:24" x14ac:dyDescent="0.35">
      <c r="P140" s="53"/>
      <c r="Q140" s="40"/>
      <c r="R140" s="43" t="str">
        <f>IF(AND(NOT(ISBLANK(Q140)),Dashboard!F16&gt;0), Q140/Dashboard!F16, "")</f>
        <v/>
      </c>
      <c r="S140" s="40"/>
      <c r="T140" s="43" t="str">
        <f>IF(AND(NOT(ISBLANK(S140)),Dashboard!F71&gt;0), S140/Dashboard!F71, "")</f>
        <v/>
      </c>
      <c r="U140" s="40"/>
      <c r="V140" s="43" t="str">
        <f>IF(AND(NOT(ISBLANK(U140)),Dashboard!F72&gt;0), U140/Dashboard!F72, "")</f>
        <v/>
      </c>
      <c r="W140" s="40"/>
      <c r="X140" s="43" t="str">
        <f>IF(AND(NOT(ISBLANK(W140)),Dashboard!F73&gt;0), W140/Dashboard!F73, "")</f>
        <v/>
      </c>
    </row>
    <row r="141" spans="16:24" x14ac:dyDescent="0.35">
      <c r="P141" s="53"/>
      <c r="Q141" s="40"/>
      <c r="R141" s="43" t="str">
        <f>IF(AND(NOT(ISBLANK(Q141)),Dashboard!F16&gt;0), Q141/Dashboard!F16, "")</f>
        <v/>
      </c>
      <c r="S141" s="40"/>
      <c r="T141" s="43" t="str">
        <f>IF(AND(NOT(ISBLANK(S141)),Dashboard!F71&gt;0), S141/Dashboard!F71, "")</f>
        <v/>
      </c>
      <c r="U141" s="40"/>
      <c r="V141" s="43" t="str">
        <f>IF(AND(NOT(ISBLANK(U141)),Dashboard!F72&gt;0), U141/Dashboard!F72, "")</f>
        <v/>
      </c>
      <c r="W141" s="40"/>
      <c r="X141" s="43" t="str">
        <f>IF(AND(NOT(ISBLANK(W141)),Dashboard!F73&gt;0), W141/Dashboard!F73, "")</f>
        <v/>
      </c>
    </row>
    <row r="142" spans="16:24" x14ac:dyDescent="0.35">
      <c r="P142" s="53"/>
      <c r="Q142" s="40"/>
      <c r="R142" s="43" t="str">
        <f>IF(AND(NOT(ISBLANK(Q142)),Dashboard!F16&gt;0), Q142/Dashboard!F16, "")</f>
        <v/>
      </c>
      <c r="S142" s="40"/>
      <c r="T142" s="43" t="str">
        <f>IF(AND(NOT(ISBLANK(S142)),Dashboard!F71&gt;0), S142/Dashboard!F71, "")</f>
        <v/>
      </c>
      <c r="U142" s="40"/>
      <c r="V142" s="43" t="str">
        <f>IF(AND(NOT(ISBLANK(U142)),Dashboard!F72&gt;0), U142/Dashboard!F72, "")</f>
        <v/>
      </c>
      <c r="W142" s="40"/>
      <c r="X142" s="43" t="str">
        <f>IF(AND(NOT(ISBLANK(W142)),Dashboard!F73&gt;0), W142/Dashboard!F73, "")</f>
        <v/>
      </c>
    </row>
    <row r="143" spans="16:24" x14ac:dyDescent="0.35">
      <c r="P143" s="53"/>
      <c r="Q143" s="40"/>
      <c r="R143" s="43" t="str">
        <f>IF(AND(NOT(ISBLANK(Q143)),Dashboard!F16&gt;0), Q143/Dashboard!F16, "")</f>
        <v/>
      </c>
      <c r="S143" s="40"/>
      <c r="T143" s="43" t="str">
        <f>IF(AND(NOT(ISBLANK(S143)),Dashboard!F71&gt;0), S143/Dashboard!F71, "")</f>
        <v/>
      </c>
      <c r="U143" s="40"/>
      <c r="V143" s="43" t="str">
        <f>IF(AND(NOT(ISBLANK(U143)),Dashboard!F72&gt;0), U143/Dashboard!F72, "")</f>
        <v/>
      </c>
      <c r="W143" s="40"/>
      <c r="X143" s="43" t="str">
        <f>IF(AND(NOT(ISBLANK(W143)),Dashboard!F73&gt;0), W143/Dashboard!F73, "")</f>
        <v/>
      </c>
    </row>
    <row r="144" spans="16:24" x14ac:dyDescent="0.35">
      <c r="P144" s="53"/>
      <c r="Q144" s="40"/>
      <c r="R144" s="43" t="str">
        <f>IF(AND(NOT(ISBLANK(Q144)),Dashboard!F16&gt;0), Q144/Dashboard!F16, "")</f>
        <v/>
      </c>
      <c r="S144" s="40"/>
      <c r="T144" s="43" t="str">
        <f>IF(AND(NOT(ISBLANK(S144)),Dashboard!F71&gt;0), S144/Dashboard!F71, "")</f>
        <v/>
      </c>
      <c r="U144" s="40"/>
      <c r="V144" s="43" t="str">
        <f>IF(AND(NOT(ISBLANK(U144)),Dashboard!F72&gt;0), U144/Dashboard!F72, "")</f>
        <v/>
      </c>
      <c r="W144" s="40"/>
      <c r="X144" s="43" t="str">
        <f>IF(AND(NOT(ISBLANK(W144)),Dashboard!F73&gt;0), W144/Dashboard!F73, "")</f>
        <v/>
      </c>
    </row>
    <row r="145" spans="16:24" x14ac:dyDescent="0.35">
      <c r="P145" s="53"/>
      <c r="Q145" s="40"/>
      <c r="R145" s="43" t="str">
        <f>IF(AND(NOT(ISBLANK(Q145)),Dashboard!F16&gt;0), Q145/Dashboard!F16, "")</f>
        <v/>
      </c>
      <c r="S145" s="40"/>
      <c r="T145" s="43" t="str">
        <f>IF(AND(NOT(ISBLANK(S145)),Dashboard!F71&gt;0), S145/Dashboard!F71, "")</f>
        <v/>
      </c>
      <c r="U145" s="40"/>
      <c r="V145" s="43" t="str">
        <f>IF(AND(NOT(ISBLANK(U145)),Dashboard!F72&gt;0), U145/Dashboard!F72, "")</f>
        <v/>
      </c>
      <c r="W145" s="40"/>
      <c r="X145" s="43" t="str">
        <f>IF(AND(NOT(ISBLANK(W145)),Dashboard!F73&gt;0), W145/Dashboard!F73, "")</f>
        <v/>
      </c>
    </row>
    <row r="146" spans="16:24" x14ac:dyDescent="0.35">
      <c r="P146" s="53"/>
      <c r="Q146" s="40"/>
      <c r="R146" s="43" t="str">
        <f>IF(AND(NOT(ISBLANK(Q146)),Dashboard!F16&gt;0), Q146/Dashboard!F16, "")</f>
        <v/>
      </c>
      <c r="S146" s="40"/>
      <c r="T146" s="43" t="str">
        <f>IF(AND(NOT(ISBLANK(S146)),Dashboard!F71&gt;0), S146/Dashboard!F71, "")</f>
        <v/>
      </c>
      <c r="U146" s="40"/>
      <c r="V146" s="43" t="str">
        <f>IF(AND(NOT(ISBLANK(U146)),Dashboard!F72&gt;0), U146/Dashboard!F72, "")</f>
        <v/>
      </c>
      <c r="W146" s="40"/>
      <c r="X146" s="43" t="str">
        <f>IF(AND(NOT(ISBLANK(W146)),Dashboard!F73&gt;0), W146/Dashboard!F73, "")</f>
        <v/>
      </c>
    </row>
    <row r="147" spans="16:24" x14ac:dyDescent="0.35">
      <c r="P147" s="53"/>
      <c r="Q147" s="40"/>
      <c r="R147" s="43" t="str">
        <f>IF(AND(NOT(ISBLANK(Q147)),Dashboard!F16&gt;0), Q147/Dashboard!F16, "")</f>
        <v/>
      </c>
      <c r="S147" s="40"/>
      <c r="T147" s="43" t="str">
        <f>IF(AND(NOT(ISBLANK(S147)),Dashboard!F71&gt;0), S147/Dashboard!F71, "")</f>
        <v/>
      </c>
      <c r="U147" s="40"/>
      <c r="V147" s="43" t="str">
        <f>IF(AND(NOT(ISBLANK(U147)),Dashboard!F72&gt;0), U147/Dashboard!F72, "")</f>
        <v/>
      </c>
      <c r="W147" s="40"/>
      <c r="X147" s="43" t="str">
        <f>IF(AND(NOT(ISBLANK(W147)),Dashboard!F73&gt;0), W147/Dashboard!F73, "")</f>
        <v/>
      </c>
    </row>
    <row r="148" spans="16:24" x14ac:dyDescent="0.35">
      <c r="P148" s="53"/>
      <c r="Q148" s="40"/>
      <c r="R148" s="43" t="str">
        <f>IF(AND(NOT(ISBLANK(Q148)),Dashboard!F16&gt;0), Q148/Dashboard!F16, "")</f>
        <v/>
      </c>
      <c r="S148" s="40"/>
      <c r="T148" s="43" t="str">
        <f>IF(AND(NOT(ISBLANK(S148)),Dashboard!F71&gt;0), S148/Dashboard!F71, "")</f>
        <v/>
      </c>
      <c r="U148" s="40"/>
      <c r="V148" s="43" t="str">
        <f>IF(AND(NOT(ISBLANK(U148)),Dashboard!F72&gt;0), U148/Dashboard!F72, "")</f>
        <v/>
      </c>
      <c r="W148" s="40"/>
      <c r="X148" s="43" t="str">
        <f>IF(AND(NOT(ISBLANK(W148)),Dashboard!F73&gt;0), W148/Dashboard!F73, "")</f>
        <v/>
      </c>
    </row>
    <row r="149" spans="16:24" x14ac:dyDescent="0.35">
      <c r="P149" s="53"/>
      <c r="Q149" s="40"/>
      <c r="R149" s="43" t="str">
        <f>IF(AND(NOT(ISBLANK(Q149)),Dashboard!F16&gt;0), Q149/Dashboard!F16, "")</f>
        <v/>
      </c>
      <c r="S149" s="40"/>
      <c r="T149" s="43" t="str">
        <f>IF(AND(NOT(ISBLANK(S149)),Dashboard!F71&gt;0), S149/Dashboard!F71, "")</f>
        <v/>
      </c>
      <c r="U149" s="40"/>
      <c r="V149" s="43" t="str">
        <f>IF(AND(NOT(ISBLANK(U149)),Dashboard!F72&gt;0), U149/Dashboard!F72, "")</f>
        <v/>
      </c>
      <c r="W149" s="40"/>
      <c r="X149" s="43" t="str">
        <f>IF(AND(NOT(ISBLANK(W149)),Dashboard!F73&gt;0), W149/Dashboard!F73, "")</f>
        <v/>
      </c>
    </row>
    <row r="150" spans="16:24" x14ac:dyDescent="0.35">
      <c r="P150" s="53"/>
      <c r="Q150" s="40"/>
      <c r="R150" s="43" t="str">
        <f>IF(AND(NOT(ISBLANK(Q150)),Dashboard!F16&gt;0), Q150/Dashboard!F16, "")</f>
        <v/>
      </c>
      <c r="S150" s="40"/>
      <c r="T150" s="43" t="str">
        <f>IF(AND(NOT(ISBLANK(S150)),Dashboard!F71&gt;0), S150/Dashboard!F71, "")</f>
        <v/>
      </c>
      <c r="U150" s="40"/>
      <c r="V150" s="43" t="str">
        <f>IF(AND(NOT(ISBLANK(U150)),Dashboard!F72&gt;0), U150/Dashboard!F72, "")</f>
        <v/>
      </c>
      <c r="W150" s="40"/>
      <c r="X150" s="43" t="str">
        <f>IF(AND(NOT(ISBLANK(W150)),Dashboard!F73&gt;0), W150/Dashboard!F73, "")</f>
        <v/>
      </c>
    </row>
    <row r="151" spans="16:24" x14ac:dyDescent="0.35">
      <c r="P151" s="53"/>
      <c r="Q151" s="40"/>
      <c r="R151" s="43" t="str">
        <f>IF(AND(NOT(ISBLANK(Q151)),Dashboard!F16&gt;0), Q151/Dashboard!F16, "")</f>
        <v/>
      </c>
      <c r="S151" s="40"/>
      <c r="T151" s="43" t="str">
        <f>IF(AND(NOT(ISBLANK(S151)),Dashboard!F71&gt;0), S151/Dashboard!F71, "")</f>
        <v/>
      </c>
      <c r="U151" s="40"/>
      <c r="V151" s="43" t="str">
        <f>IF(AND(NOT(ISBLANK(U151)),Dashboard!F72&gt;0), U151/Dashboard!F72, "")</f>
        <v/>
      </c>
      <c r="W151" s="40"/>
      <c r="X151" s="43" t="str">
        <f>IF(AND(NOT(ISBLANK(W151)),Dashboard!F73&gt;0), W151/Dashboard!F73, "")</f>
        <v/>
      </c>
    </row>
    <row r="152" spans="16:24" x14ac:dyDescent="0.35">
      <c r="P152" s="53"/>
      <c r="Q152" s="40"/>
      <c r="R152" s="43" t="str">
        <f>IF(AND(NOT(ISBLANK(Q152)),Dashboard!F16&gt;0), Q152/Dashboard!F16, "")</f>
        <v/>
      </c>
      <c r="S152" s="40"/>
      <c r="T152" s="43" t="str">
        <f>IF(AND(NOT(ISBLANK(S152)),Dashboard!F71&gt;0), S152/Dashboard!F71, "")</f>
        <v/>
      </c>
      <c r="U152" s="40"/>
      <c r="V152" s="43" t="str">
        <f>IF(AND(NOT(ISBLANK(U152)),Dashboard!F72&gt;0), U152/Dashboard!F72, "")</f>
        <v/>
      </c>
      <c r="W152" s="40"/>
      <c r="X152" s="43" t="str">
        <f>IF(AND(NOT(ISBLANK(W152)),Dashboard!F73&gt;0), W152/Dashboard!F73, "")</f>
        <v/>
      </c>
    </row>
    <row r="153" spans="16:24" x14ac:dyDescent="0.35">
      <c r="P153" s="53"/>
      <c r="Q153" s="40"/>
      <c r="R153" s="43" t="str">
        <f>IF(AND(NOT(ISBLANK(Q153)),Dashboard!F16&gt;0), Q153/Dashboard!F16, "")</f>
        <v/>
      </c>
      <c r="S153" s="40"/>
      <c r="T153" s="43" t="str">
        <f>IF(AND(NOT(ISBLANK(S153)),Dashboard!F71&gt;0), S153/Dashboard!F71, "")</f>
        <v/>
      </c>
      <c r="U153" s="40"/>
      <c r="V153" s="43" t="str">
        <f>IF(AND(NOT(ISBLANK(U153)),Dashboard!F72&gt;0), U153/Dashboard!F72, "")</f>
        <v/>
      </c>
      <c r="W153" s="40"/>
      <c r="X153" s="43" t="str">
        <f>IF(AND(NOT(ISBLANK(W153)),Dashboard!F73&gt;0), W153/Dashboard!F73, "")</f>
        <v/>
      </c>
    </row>
    <row r="154" spans="16:24" x14ac:dyDescent="0.35">
      <c r="P154" s="53"/>
      <c r="Q154" s="40"/>
      <c r="R154" s="43" t="str">
        <f>IF(AND(NOT(ISBLANK(Q154)),Dashboard!F16&gt;0), Q154/Dashboard!F16, "")</f>
        <v/>
      </c>
      <c r="S154" s="40"/>
      <c r="T154" s="43" t="str">
        <f>IF(AND(NOT(ISBLANK(S154)),Dashboard!F71&gt;0), S154/Dashboard!F71, "")</f>
        <v/>
      </c>
      <c r="U154" s="40"/>
      <c r="V154" s="43" t="str">
        <f>IF(AND(NOT(ISBLANK(U154)),Dashboard!F72&gt;0), U154/Dashboard!F72, "")</f>
        <v/>
      </c>
      <c r="W154" s="40"/>
      <c r="X154" s="43" t="str">
        <f>IF(AND(NOT(ISBLANK(W154)),Dashboard!F73&gt;0), W154/Dashboard!F73, "")</f>
        <v/>
      </c>
    </row>
    <row r="155" spans="16:24" x14ac:dyDescent="0.35">
      <c r="P155" s="53"/>
      <c r="Q155" s="40"/>
      <c r="R155" s="43" t="str">
        <f>IF(AND(NOT(ISBLANK(Q155)),Dashboard!F16&gt;0), Q155/Dashboard!F16, "")</f>
        <v/>
      </c>
      <c r="S155" s="40"/>
      <c r="T155" s="43" t="str">
        <f>IF(AND(NOT(ISBLANK(S155)),Dashboard!F71&gt;0), S155/Dashboard!F71, "")</f>
        <v/>
      </c>
      <c r="U155" s="40"/>
      <c r="V155" s="43" t="str">
        <f>IF(AND(NOT(ISBLANK(U155)),Dashboard!F72&gt;0), U155/Dashboard!F72, "")</f>
        <v/>
      </c>
      <c r="W155" s="40"/>
      <c r="X155" s="43" t="str">
        <f>IF(AND(NOT(ISBLANK(W155)),Dashboard!F73&gt;0), W155/Dashboard!F73, "")</f>
        <v/>
      </c>
    </row>
    <row r="156" spans="16:24" x14ac:dyDescent="0.35">
      <c r="P156" s="53"/>
      <c r="Q156" s="40"/>
      <c r="R156" s="43" t="str">
        <f>IF(AND(NOT(ISBLANK(Q156)),Dashboard!F16&gt;0), Q156/Dashboard!F16, "")</f>
        <v/>
      </c>
      <c r="S156" s="40"/>
      <c r="T156" s="43" t="str">
        <f>IF(AND(NOT(ISBLANK(S156)),Dashboard!F71&gt;0), S156/Dashboard!F71, "")</f>
        <v/>
      </c>
      <c r="U156" s="40"/>
      <c r="V156" s="43" t="str">
        <f>IF(AND(NOT(ISBLANK(U156)),Dashboard!F72&gt;0), U156/Dashboard!F72, "")</f>
        <v/>
      </c>
      <c r="W156" s="40"/>
      <c r="X156" s="43" t="str">
        <f>IF(AND(NOT(ISBLANK(W156)),Dashboard!F73&gt;0), W156/Dashboard!F73, "")</f>
        <v/>
      </c>
    </row>
    <row r="157" spans="16:24" x14ac:dyDescent="0.35">
      <c r="P157" s="53"/>
      <c r="Q157" s="40"/>
      <c r="R157" s="43" t="str">
        <f>IF(AND(NOT(ISBLANK(Q157)),Dashboard!F16&gt;0), Q157/Dashboard!F16, "")</f>
        <v/>
      </c>
      <c r="S157" s="40"/>
      <c r="T157" s="43" t="str">
        <f>IF(AND(NOT(ISBLANK(S157)),Dashboard!F71&gt;0), S157/Dashboard!F71, "")</f>
        <v/>
      </c>
      <c r="U157" s="40"/>
      <c r="V157" s="43" t="str">
        <f>IF(AND(NOT(ISBLANK(U157)),Dashboard!F72&gt;0), U157/Dashboard!F72, "")</f>
        <v/>
      </c>
      <c r="W157" s="40"/>
      <c r="X157" s="43" t="str">
        <f>IF(AND(NOT(ISBLANK(W157)),Dashboard!F73&gt;0), W157/Dashboard!F73, "")</f>
        <v/>
      </c>
    </row>
    <row r="162" spans="2:22" ht="21" x14ac:dyDescent="0.5">
      <c r="B162" s="37" t="s">
        <v>243</v>
      </c>
      <c r="P162" s="54" t="s">
        <v>244</v>
      </c>
    </row>
    <row r="164" spans="2:22" ht="45" customHeight="1" x14ac:dyDescent="0.35">
      <c r="B164" s="87" t="s">
        <v>245</v>
      </c>
      <c r="C164" s="80"/>
      <c r="D164" s="80"/>
      <c r="E164" s="80"/>
      <c r="F164" s="80"/>
      <c r="P164" s="87" t="s">
        <v>246</v>
      </c>
      <c r="Q164" s="80"/>
      <c r="R164" s="80"/>
      <c r="S164" s="80"/>
      <c r="T164" s="80"/>
      <c r="U164" s="80"/>
    </row>
    <row r="165" spans="2:22" ht="35" customHeight="1" x14ac:dyDescent="0.35">
      <c r="P165" s="84" t="s">
        <v>247</v>
      </c>
      <c r="Q165" s="84"/>
      <c r="R165" s="84" t="s">
        <v>248</v>
      </c>
      <c r="S165" s="84"/>
      <c r="T165" s="84"/>
    </row>
    <row r="166" spans="2:22" ht="30" customHeight="1" x14ac:dyDescent="0.35">
      <c r="P166" s="88">
        <v>0</v>
      </c>
      <c r="Q166" s="89"/>
      <c r="R166" s="90" t="s">
        <v>249</v>
      </c>
      <c r="S166" s="91"/>
      <c r="T166" s="91"/>
    </row>
    <row r="169" spans="2:22" ht="25" customHeight="1" x14ac:dyDescent="0.35">
      <c r="P169" s="63" t="s">
        <v>232</v>
      </c>
      <c r="Q169" s="63" t="s">
        <v>250</v>
      </c>
      <c r="R169" s="63" t="s">
        <v>251</v>
      </c>
      <c r="S169" s="92" t="s">
        <v>8</v>
      </c>
      <c r="T169" s="92"/>
      <c r="U169" s="92"/>
      <c r="V169" s="80"/>
    </row>
    <row r="170" spans="2:22" ht="20" customHeight="1" x14ac:dyDescent="0.35">
      <c r="P170" s="65"/>
      <c r="Q170" s="66"/>
      <c r="R170" s="67" t="str">
        <f>IF(AND(NOT(ISBLANK(Q170)), Dashboard!$P166&gt;0), Q170/Dashboard!$P166, "")</f>
        <v/>
      </c>
      <c r="S170" s="93"/>
      <c r="T170" s="94"/>
      <c r="U170" s="94"/>
      <c r="V170" s="94"/>
    </row>
    <row r="171" spans="2:22" ht="20" customHeight="1" x14ac:dyDescent="0.35">
      <c r="P171" s="65"/>
      <c r="Q171" s="66"/>
      <c r="R171" s="67" t="str">
        <f>IF(AND(NOT(ISBLANK(Q171)), Dashboard!$P166&gt;0), Q171/Dashboard!$P166, "")</f>
        <v/>
      </c>
      <c r="S171" s="93"/>
      <c r="T171" s="94"/>
      <c r="U171" s="94"/>
      <c r="V171" s="94"/>
    </row>
    <row r="172" spans="2:22" ht="20" customHeight="1" x14ac:dyDescent="0.35">
      <c r="P172" s="65"/>
      <c r="Q172" s="66"/>
      <c r="R172" s="67" t="str">
        <f>IF(AND(NOT(ISBLANK(Q172)), Dashboard!$P166&gt;0), Q172/Dashboard!$P166, "")</f>
        <v/>
      </c>
      <c r="S172" s="93"/>
      <c r="T172" s="94"/>
      <c r="U172" s="94"/>
      <c r="V172" s="94"/>
    </row>
    <row r="173" spans="2:22" ht="20" customHeight="1" x14ac:dyDescent="0.35">
      <c r="P173" s="65"/>
      <c r="Q173" s="66"/>
      <c r="R173" s="67" t="str">
        <f>IF(AND(NOT(ISBLANK(Q173)), Dashboard!$P166&gt;0), Q173/Dashboard!$P166, "")</f>
        <v/>
      </c>
      <c r="S173" s="93"/>
      <c r="T173" s="94"/>
      <c r="U173" s="94"/>
      <c r="V173" s="94"/>
    </row>
    <row r="174" spans="2:22" ht="20" customHeight="1" x14ac:dyDescent="0.35">
      <c r="P174" s="65"/>
      <c r="Q174" s="66"/>
      <c r="R174" s="67" t="str">
        <f>IF(AND(NOT(ISBLANK(Q174)), Dashboard!$P166&gt;0), Q174/Dashboard!$P166, "")</f>
        <v/>
      </c>
      <c r="S174" s="93"/>
      <c r="T174" s="94"/>
      <c r="U174" s="94"/>
      <c r="V174" s="94"/>
    </row>
    <row r="175" spans="2:22" ht="20" customHeight="1" x14ac:dyDescent="0.35">
      <c r="P175" s="65"/>
      <c r="Q175" s="66"/>
      <c r="R175" s="67" t="str">
        <f>IF(AND(NOT(ISBLANK(Q175)), Dashboard!$P166&gt;0), Q175/Dashboard!$P166, "")</f>
        <v/>
      </c>
      <c r="S175" s="93"/>
      <c r="T175" s="94"/>
      <c r="U175" s="94"/>
      <c r="V175" s="94"/>
    </row>
    <row r="176" spans="2:22" ht="20" customHeight="1" x14ac:dyDescent="0.35">
      <c r="P176" s="65"/>
      <c r="Q176" s="66"/>
      <c r="R176" s="67" t="str">
        <f>IF(AND(NOT(ISBLANK(Q176)), Dashboard!$P166&gt;0), Q176/Dashboard!$P166, "")</f>
        <v/>
      </c>
      <c r="S176" s="93"/>
      <c r="T176" s="94"/>
      <c r="U176" s="94"/>
      <c r="V176" s="94"/>
    </row>
    <row r="177" spans="16:22" ht="20" customHeight="1" x14ac:dyDescent="0.35">
      <c r="P177" s="65"/>
      <c r="Q177" s="66"/>
      <c r="R177" s="67" t="str">
        <f>IF(AND(NOT(ISBLANK(Q177)), Dashboard!$P166&gt;0), Q177/Dashboard!$P166, "")</f>
        <v/>
      </c>
      <c r="S177" s="93"/>
      <c r="T177" s="94"/>
      <c r="U177" s="94"/>
      <c r="V177" s="94"/>
    </row>
    <row r="178" spans="16:22" ht="20" customHeight="1" x14ac:dyDescent="0.35">
      <c r="P178" s="65"/>
      <c r="Q178" s="66"/>
      <c r="R178" s="67" t="str">
        <f>IF(AND(NOT(ISBLANK(Q178)), Dashboard!$P166&gt;0), Q178/Dashboard!$P166, "")</f>
        <v/>
      </c>
      <c r="S178" s="93"/>
      <c r="T178" s="94"/>
      <c r="U178" s="94"/>
      <c r="V178" s="94"/>
    </row>
    <row r="179" spans="16:22" ht="20" customHeight="1" x14ac:dyDescent="0.35">
      <c r="P179" s="65"/>
      <c r="Q179" s="66"/>
      <c r="R179" s="67" t="str">
        <f>IF(AND(NOT(ISBLANK(Q179)), Dashboard!$P166&gt;0), Q179/Dashboard!$P166, "")</f>
        <v/>
      </c>
      <c r="S179" s="93"/>
      <c r="T179" s="94"/>
      <c r="U179" s="94"/>
      <c r="V179" s="94"/>
    </row>
    <row r="180" spans="16:22" ht="20" customHeight="1" x14ac:dyDescent="0.35">
      <c r="P180" s="65"/>
      <c r="Q180" s="66"/>
      <c r="R180" s="67" t="str">
        <f>IF(AND(NOT(ISBLANK(Q180)), Dashboard!$P166&gt;0), Q180/Dashboard!$P166, "")</f>
        <v/>
      </c>
      <c r="S180" s="93"/>
      <c r="T180" s="94"/>
      <c r="U180" s="94"/>
      <c r="V180" s="94"/>
    </row>
    <row r="181" spans="16:22" ht="20" customHeight="1" x14ac:dyDescent="0.35">
      <c r="P181" s="65"/>
      <c r="Q181" s="66"/>
      <c r="R181" s="67" t="str">
        <f>IF(AND(NOT(ISBLANK(Q181)), Dashboard!$P166&gt;0), Q181/Dashboard!$P166, "")</f>
        <v/>
      </c>
      <c r="S181" s="93"/>
      <c r="T181" s="94"/>
      <c r="U181" s="94"/>
      <c r="V181" s="94"/>
    </row>
    <row r="182" spans="16:22" ht="20" customHeight="1" x14ac:dyDescent="0.35">
      <c r="P182" s="65"/>
      <c r="Q182" s="66"/>
      <c r="R182" s="67" t="str">
        <f>IF(AND(NOT(ISBLANK(Q182)), Dashboard!$P166&gt;0), Q182/Dashboard!$P166, "")</f>
        <v/>
      </c>
      <c r="S182" s="93"/>
      <c r="T182" s="94"/>
      <c r="U182" s="94"/>
      <c r="V182" s="94"/>
    </row>
    <row r="183" spans="16:22" ht="20" customHeight="1" x14ac:dyDescent="0.35">
      <c r="P183" s="65"/>
      <c r="Q183" s="66"/>
      <c r="R183" s="67" t="str">
        <f>IF(AND(NOT(ISBLANK(Q183)), Dashboard!$P166&gt;0), Q183/Dashboard!$P166, "")</f>
        <v/>
      </c>
      <c r="S183" s="93"/>
      <c r="T183" s="94"/>
      <c r="U183" s="94"/>
      <c r="V183" s="94"/>
    </row>
    <row r="184" spans="16:22" ht="20" customHeight="1" x14ac:dyDescent="0.35">
      <c r="P184" s="65"/>
      <c r="Q184" s="66"/>
      <c r="R184" s="67" t="str">
        <f>IF(AND(NOT(ISBLANK(Q184)), Dashboard!$P166&gt;0), Q184/Dashboard!$P166, "")</f>
        <v/>
      </c>
      <c r="S184" s="93"/>
      <c r="T184" s="94"/>
      <c r="U184" s="94"/>
      <c r="V184" s="94"/>
    </row>
    <row r="185" spans="16:22" ht="20" customHeight="1" x14ac:dyDescent="0.35">
      <c r="P185" s="65"/>
      <c r="Q185" s="66"/>
      <c r="R185" s="67" t="str">
        <f>IF(AND(NOT(ISBLANK(Q185)), Dashboard!$P166&gt;0), Q185/Dashboard!$P166, "")</f>
        <v/>
      </c>
      <c r="S185" s="93"/>
      <c r="T185" s="94"/>
      <c r="U185" s="94"/>
      <c r="V185" s="94"/>
    </row>
    <row r="186" spans="16:22" ht="20" customHeight="1" x14ac:dyDescent="0.35">
      <c r="P186" s="65"/>
      <c r="Q186" s="66"/>
      <c r="R186" s="67" t="str">
        <f>IF(AND(NOT(ISBLANK(Q186)), Dashboard!$P166&gt;0), Q186/Dashboard!$P166, "")</f>
        <v/>
      </c>
      <c r="S186" s="93"/>
      <c r="T186" s="94"/>
      <c r="U186" s="94"/>
      <c r="V186" s="94"/>
    </row>
    <row r="187" spans="16:22" ht="20" customHeight="1" x14ac:dyDescent="0.35">
      <c r="P187" s="65"/>
      <c r="Q187" s="66"/>
      <c r="R187" s="67" t="str">
        <f>IF(AND(NOT(ISBLANK(Q187)), Dashboard!$P166&gt;0), Q187/Dashboard!$P166, "")</f>
        <v/>
      </c>
      <c r="S187" s="93"/>
      <c r="T187" s="94"/>
      <c r="U187" s="94"/>
      <c r="V187" s="94"/>
    </row>
    <row r="188" spans="16:22" ht="20" customHeight="1" x14ac:dyDescent="0.35">
      <c r="P188" s="65"/>
      <c r="Q188" s="66"/>
      <c r="R188" s="67" t="str">
        <f>IF(AND(NOT(ISBLANK(Q188)), Dashboard!$P166&gt;0), Q188/Dashboard!$P166, "")</f>
        <v/>
      </c>
      <c r="S188" s="93"/>
      <c r="T188" s="94"/>
      <c r="U188" s="94"/>
      <c r="V188" s="94"/>
    </row>
    <row r="189" spans="16:22" ht="20" customHeight="1" x14ac:dyDescent="0.35">
      <c r="P189" s="65"/>
      <c r="Q189" s="66"/>
      <c r="R189" s="67" t="str">
        <f>IF(AND(NOT(ISBLANK(Q189)), Dashboard!$P166&gt;0), Q189/Dashboard!$P166, "")</f>
        <v/>
      </c>
      <c r="S189" s="93"/>
      <c r="T189" s="94"/>
      <c r="U189" s="94"/>
      <c r="V189" s="94"/>
    </row>
    <row r="193" spans="2:9" ht="32" customHeight="1" x14ac:dyDescent="0.35">
      <c r="B193" s="78" t="s">
        <v>125</v>
      </c>
      <c r="C193" s="78"/>
      <c r="D193" s="78"/>
      <c r="E193" s="78"/>
      <c r="F193" s="78"/>
      <c r="G193" s="78"/>
      <c r="H193" s="78"/>
      <c r="I193" s="78"/>
    </row>
  </sheetData>
  <mergeCells count="55">
    <mergeCell ref="B193:I193"/>
    <mergeCell ref="S185:V185"/>
    <mergeCell ref="S186:V186"/>
    <mergeCell ref="S187:V187"/>
    <mergeCell ref="S188:V188"/>
    <mergeCell ref="S189:V189"/>
    <mergeCell ref="S180:V180"/>
    <mergeCell ref="S181:V181"/>
    <mergeCell ref="S182:V182"/>
    <mergeCell ref="S183:V183"/>
    <mergeCell ref="S184:V184"/>
    <mergeCell ref="S175:V175"/>
    <mergeCell ref="S176:V176"/>
    <mergeCell ref="S177:V177"/>
    <mergeCell ref="S178:V178"/>
    <mergeCell ref="S179:V179"/>
    <mergeCell ref="S170:V170"/>
    <mergeCell ref="S171:V171"/>
    <mergeCell ref="S172:V172"/>
    <mergeCell ref="S173:V173"/>
    <mergeCell ref="S174:V174"/>
    <mergeCell ref="P165:Q165"/>
    <mergeCell ref="R165:T165"/>
    <mergeCell ref="P166:Q166"/>
    <mergeCell ref="R166:T166"/>
    <mergeCell ref="S169:V169"/>
    <mergeCell ref="C114:D114"/>
    <mergeCell ref="G114:H114"/>
    <mergeCell ref="B123:F123"/>
    <mergeCell ref="P123:W123"/>
    <mergeCell ref="B164:F164"/>
    <mergeCell ref="P164:U164"/>
    <mergeCell ref="C111:D111"/>
    <mergeCell ref="G111:H111"/>
    <mergeCell ref="C112:D112"/>
    <mergeCell ref="G112:H112"/>
    <mergeCell ref="C113:D113"/>
    <mergeCell ref="G113:H113"/>
    <mergeCell ref="C108:D108"/>
    <mergeCell ref="G108:H108"/>
    <mergeCell ref="C109:D109"/>
    <mergeCell ref="G109:H109"/>
    <mergeCell ref="C110:D110"/>
    <mergeCell ref="G110:H110"/>
    <mergeCell ref="F7:H7"/>
    <mergeCell ref="I7:O7"/>
    <mergeCell ref="F8:H8"/>
    <mergeCell ref="I8:O8"/>
    <mergeCell ref="F9:H9"/>
    <mergeCell ref="I9:O9"/>
    <mergeCell ref="B2:I2"/>
    <mergeCell ref="F5:H5"/>
    <mergeCell ref="I5:O5"/>
    <mergeCell ref="F6:H6"/>
    <mergeCell ref="I6:O6"/>
  </mergeCells>
  <conditionalFormatting sqref="D7">
    <cfRule type="cellIs" dxfId="32" priority="1" operator="greaterThanOrEqual">
      <formula>0.9</formula>
    </cfRule>
    <cfRule type="cellIs" dxfId="31" priority="2" operator="greaterThanOrEqual">
      <formula>0.5</formula>
    </cfRule>
    <cfRule type="cellIs" dxfId="30" priority="3" operator="lessThan">
      <formula>0.5</formula>
    </cfRule>
  </conditionalFormatting>
  <conditionalFormatting sqref="G109:H114">
    <cfRule type="expression" dxfId="29" priority="4">
      <formula>$G109&gt;=0.8</formula>
    </cfRule>
    <cfRule type="expression" dxfId="28" priority="5">
      <formula>AND($G109&gt;=0.5,$G109&lt;0.8)</formula>
    </cfRule>
    <cfRule type="expression" dxfId="27" priority="6">
      <formula>$G109&lt;0.5</formula>
    </cfRule>
  </conditionalFormatting>
  <conditionalFormatting sqref="K109:K114">
    <cfRule type="cellIs" dxfId="26" priority="7" operator="greaterThan">
      <formula>0</formula>
    </cfRule>
  </conditionalFormatting>
  <conditionalFormatting sqref="L109:L114">
    <cfRule type="cellIs" dxfId="25" priority="8" operator="greaterThan">
      <formula>0</formula>
    </cfRule>
  </conditionalFormatting>
  <conditionalFormatting sqref="M109:M114">
    <cfRule type="cellIs" dxfId="24" priority="9" operator="greaterThan">
      <formula>0</formula>
    </cfRule>
  </conditionalFormatting>
  <conditionalFormatting sqref="N109:N114">
    <cfRule type="cellIs" dxfId="23" priority="10" operator="greaterThan">
      <formula>0</formula>
    </cfRule>
  </conditionalFormatting>
  <dataValidations count="140">
    <dataValidation type="whole" allowBlank="1" showErrorMessage="1" errorTitle="Invalid overall count" error="Overall count must be between 0 and the current implemented total." sqref="Q128" xr:uid="{00000000-0002-0000-0100-000000000000}">
      <formula1>0</formula1>
      <formula2>C16</formula2>
    </dataValidation>
    <dataValidation type="whole" allowBlank="1" showErrorMessage="1" errorTitle="Invalid count" error="Value must be between 0 and the current implemented total." sqref="S128" xr:uid="{00000000-0002-0000-0100-000001000000}">
      <formula1>0</formula1>
      <formula2>C71</formula2>
    </dataValidation>
    <dataValidation type="whole" allowBlank="1" showErrorMessage="1" errorTitle="Invalid count" error="Value must be between 0 and the current implemented total." sqref="U128" xr:uid="{00000000-0002-0000-0100-000002000000}">
      <formula1>0</formula1>
      <formula2>C72</formula2>
    </dataValidation>
    <dataValidation type="whole" allowBlank="1" showErrorMessage="1" errorTitle="Invalid count" error="Value must be between 0 and the current implemented total." sqref="W128" xr:uid="{00000000-0002-0000-0100-000003000000}">
      <formula1>0</formula1>
      <formula2>C73</formula2>
    </dataValidation>
    <dataValidation type="whole" allowBlank="1" showErrorMessage="1" errorTitle="Invalid overall count" error="Overall count must be between 0 and the current implemented total." sqref="Q129" xr:uid="{00000000-0002-0000-0100-000004000000}">
      <formula1>0</formula1>
      <formula2>C16</formula2>
    </dataValidation>
    <dataValidation type="whole" allowBlank="1" showErrorMessage="1" errorTitle="Invalid count" error="Value must be between 0 and the current implemented total." sqref="S129" xr:uid="{00000000-0002-0000-0100-000005000000}">
      <formula1>0</formula1>
      <formula2>C71</formula2>
    </dataValidation>
    <dataValidation type="whole" allowBlank="1" showErrorMessage="1" errorTitle="Invalid count" error="Value must be between 0 and the current implemented total." sqref="U129" xr:uid="{00000000-0002-0000-0100-000006000000}">
      <formula1>0</formula1>
      <formula2>C72</formula2>
    </dataValidation>
    <dataValidation type="whole" allowBlank="1" showErrorMessage="1" errorTitle="Invalid count" error="Value must be between 0 and the current implemented total." sqref="W129" xr:uid="{00000000-0002-0000-0100-000007000000}">
      <formula1>0</formula1>
      <formula2>C73</formula2>
    </dataValidation>
    <dataValidation type="whole" allowBlank="1" showErrorMessage="1" errorTitle="Invalid overall count" error="Overall count must be between 0 and the current implemented total." sqref="Q130" xr:uid="{00000000-0002-0000-0100-000008000000}">
      <formula1>0</formula1>
      <formula2>C16</formula2>
    </dataValidation>
    <dataValidation type="whole" allowBlank="1" showErrorMessage="1" errorTitle="Invalid count" error="Value must be between 0 and the current implemented total." sqref="S130" xr:uid="{00000000-0002-0000-0100-000009000000}">
      <formula1>0</formula1>
      <formula2>C71</formula2>
    </dataValidation>
    <dataValidation type="whole" allowBlank="1" showErrorMessage="1" errorTitle="Invalid count" error="Value must be between 0 and the current implemented total." sqref="U130" xr:uid="{00000000-0002-0000-0100-00000A000000}">
      <formula1>0</formula1>
      <formula2>C72</formula2>
    </dataValidation>
    <dataValidation type="whole" allowBlank="1" showErrorMessage="1" errorTitle="Invalid count" error="Value must be between 0 and the current implemented total." sqref="W130" xr:uid="{00000000-0002-0000-0100-00000B000000}">
      <formula1>0</formula1>
      <formula2>C73</formula2>
    </dataValidation>
    <dataValidation type="whole" allowBlank="1" showErrorMessage="1" errorTitle="Invalid overall count" error="Overall count must be between 0 and the current implemented total." sqref="Q131" xr:uid="{00000000-0002-0000-0100-00000C000000}">
      <formula1>0</formula1>
      <formula2>C16</formula2>
    </dataValidation>
    <dataValidation type="whole" allowBlank="1" showErrorMessage="1" errorTitle="Invalid count" error="Value must be between 0 and the current implemented total." sqref="S131" xr:uid="{00000000-0002-0000-0100-00000D000000}">
      <formula1>0</formula1>
      <formula2>C71</formula2>
    </dataValidation>
    <dataValidation type="whole" allowBlank="1" showErrorMessage="1" errorTitle="Invalid count" error="Value must be between 0 and the current implemented total." sqref="U131" xr:uid="{00000000-0002-0000-0100-00000E000000}">
      <formula1>0</formula1>
      <formula2>C72</formula2>
    </dataValidation>
    <dataValidation type="whole" allowBlank="1" showErrorMessage="1" errorTitle="Invalid count" error="Value must be between 0 and the current implemented total." sqref="W131" xr:uid="{00000000-0002-0000-0100-00000F000000}">
      <formula1>0</formula1>
      <formula2>C73</formula2>
    </dataValidation>
    <dataValidation type="whole" allowBlank="1" showErrorMessage="1" errorTitle="Invalid overall count" error="Overall count must be between 0 and the current implemented total." sqref="Q132" xr:uid="{00000000-0002-0000-0100-000010000000}">
      <formula1>0</formula1>
      <formula2>C16</formula2>
    </dataValidation>
    <dataValidation type="whole" allowBlank="1" showErrorMessage="1" errorTitle="Invalid count" error="Value must be between 0 and the current implemented total." sqref="S132" xr:uid="{00000000-0002-0000-0100-000011000000}">
      <formula1>0</formula1>
      <formula2>C71</formula2>
    </dataValidation>
    <dataValidation type="whole" allowBlank="1" showErrorMessage="1" errorTitle="Invalid count" error="Value must be between 0 and the current implemented total." sqref="U132" xr:uid="{00000000-0002-0000-0100-000012000000}">
      <formula1>0</formula1>
      <formula2>C72</formula2>
    </dataValidation>
    <dataValidation type="whole" allowBlank="1" showErrorMessage="1" errorTitle="Invalid count" error="Value must be between 0 and the current implemented total." sqref="W132" xr:uid="{00000000-0002-0000-0100-000013000000}">
      <formula1>0</formula1>
      <formula2>C73</formula2>
    </dataValidation>
    <dataValidation type="whole" allowBlank="1" showErrorMessage="1" errorTitle="Invalid overall count" error="Overall count must be between 0 and the current implemented total." sqref="Q133" xr:uid="{00000000-0002-0000-0100-000014000000}">
      <formula1>0</formula1>
      <formula2>C16</formula2>
    </dataValidation>
    <dataValidation type="whole" allowBlank="1" showErrorMessage="1" errorTitle="Invalid count" error="Value must be between 0 and the current implemented total." sqref="S133" xr:uid="{00000000-0002-0000-0100-000015000000}">
      <formula1>0</formula1>
      <formula2>C71</formula2>
    </dataValidation>
    <dataValidation type="whole" allowBlank="1" showErrorMessage="1" errorTitle="Invalid count" error="Value must be between 0 and the current implemented total." sqref="U133" xr:uid="{00000000-0002-0000-0100-000016000000}">
      <formula1>0</formula1>
      <formula2>C72</formula2>
    </dataValidation>
    <dataValidation type="whole" allowBlank="1" showErrorMessage="1" errorTitle="Invalid count" error="Value must be between 0 and the current implemented total." sqref="W133" xr:uid="{00000000-0002-0000-0100-000017000000}">
      <formula1>0</formula1>
      <formula2>C73</formula2>
    </dataValidation>
    <dataValidation type="whole" allowBlank="1" showErrorMessage="1" errorTitle="Invalid overall count" error="Overall count must be between 0 and the current implemented total." sqref="Q134" xr:uid="{00000000-0002-0000-0100-000018000000}">
      <formula1>0</formula1>
      <formula2>C16</formula2>
    </dataValidation>
    <dataValidation type="whole" allowBlank="1" showErrorMessage="1" errorTitle="Invalid count" error="Value must be between 0 and the current implemented total." sqref="S134" xr:uid="{00000000-0002-0000-0100-000019000000}">
      <formula1>0</formula1>
      <formula2>C71</formula2>
    </dataValidation>
    <dataValidation type="whole" allowBlank="1" showErrorMessage="1" errorTitle="Invalid count" error="Value must be between 0 and the current implemented total." sqref="U134" xr:uid="{00000000-0002-0000-0100-00001A000000}">
      <formula1>0</formula1>
      <formula2>C72</formula2>
    </dataValidation>
    <dataValidation type="whole" allowBlank="1" showErrorMessage="1" errorTitle="Invalid count" error="Value must be between 0 and the current implemented total." sqref="W134" xr:uid="{00000000-0002-0000-0100-00001B000000}">
      <formula1>0</formula1>
      <formula2>C73</formula2>
    </dataValidation>
    <dataValidation type="whole" allowBlank="1" showErrorMessage="1" errorTitle="Invalid overall count" error="Overall count must be between 0 and the current implemented total." sqref="Q135" xr:uid="{00000000-0002-0000-0100-00001C000000}">
      <formula1>0</formula1>
      <formula2>C16</formula2>
    </dataValidation>
    <dataValidation type="whole" allowBlank="1" showErrorMessage="1" errorTitle="Invalid count" error="Value must be between 0 and the current implemented total." sqref="S135" xr:uid="{00000000-0002-0000-0100-00001D000000}">
      <formula1>0</formula1>
      <formula2>C71</formula2>
    </dataValidation>
    <dataValidation type="whole" allowBlank="1" showErrorMessage="1" errorTitle="Invalid count" error="Value must be between 0 and the current implemented total." sqref="U135" xr:uid="{00000000-0002-0000-0100-00001E000000}">
      <formula1>0</formula1>
      <formula2>C72</formula2>
    </dataValidation>
    <dataValidation type="whole" allowBlank="1" showErrorMessage="1" errorTitle="Invalid count" error="Value must be between 0 and the current implemented total." sqref="W135" xr:uid="{00000000-0002-0000-0100-00001F000000}">
      <formula1>0</formula1>
      <formula2>C73</formula2>
    </dataValidation>
    <dataValidation type="whole" allowBlank="1" showErrorMessage="1" errorTitle="Invalid overall count" error="Overall count must be between 0 and the current implemented total." sqref="Q136" xr:uid="{00000000-0002-0000-0100-000020000000}">
      <formula1>0</formula1>
      <formula2>C16</formula2>
    </dataValidation>
    <dataValidation type="whole" allowBlank="1" showErrorMessage="1" errorTitle="Invalid count" error="Value must be between 0 and the current implemented total." sqref="S136" xr:uid="{00000000-0002-0000-0100-000021000000}">
      <formula1>0</formula1>
      <formula2>C71</formula2>
    </dataValidation>
    <dataValidation type="whole" allowBlank="1" showErrorMessage="1" errorTitle="Invalid count" error="Value must be between 0 and the current implemented total." sqref="U136" xr:uid="{00000000-0002-0000-0100-000022000000}">
      <formula1>0</formula1>
      <formula2>C72</formula2>
    </dataValidation>
    <dataValidation type="whole" allowBlank="1" showErrorMessage="1" errorTitle="Invalid count" error="Value must be between 0 and the current implemented total." sqref="W136" xr:uid="{00000000-0002-0000-0100-000023000000}">
      <formula1>0</formula1>
      <formula2>C73</formula2>
    </dataValidation>
    <dataValidation type="whole" allowBlank="1" showErrorMessage="1" errorTitle="Invalid overall count" error="Overall count must be between 0 and the current implemented total." sqref="Q137" xr:uid="{00000000-0002-0000-0100-000024000000}">
      <formula1>0</formula1>
      <formula2>C16</formula2>
    </dataValidation>
    <dataValidation type="whole" allowBlank="1" showErrorMessage="1" errorTitle="Invalid count" error="Value must be between 0 and the current implemented total." sqref="S137" xr:uid="{00000000-0002-0000-0100-000025000000}">
      <formula1>0</formula1>
      <formula2>C71</formula2>
    </dataValidation>
    <dataValidation type="whole" allowBlank="1" showErrorMessage="1" errorTitle="Invalid count" error="Value must be between 0 and the current implemented total." sqref="U137" xr:uid="{00000000-0002-0000-0100-000026000000}">
      <formula1>0</formula1>
      <formula2>C72</formula2>
    </dataValidation>
    <dataValidation type="whole" allowBlank="1" showErrorMessage="1" errorTitle="Invalid count" error="Value must be between 0 and the current implemented total." sqref="W137" xr:uid="{00000000-0002-0000-0100-000027000000}">
      <formula1>0</formula1>
      <formula2>C73</formula2>
    </dataValidation>
    <dataValidation type="whole" allowBlank="1" showErrorMessage="1" errorTitle="Invalid overall count" error="Overall count must be between 0 and the current implemented total." sqref="Q138" xr:uid="{00000000-0002-0000-0100-000028000000}">
      <formula1>0</formula1>
      <formula2>C16</formula2>
    </dataValidation>
    <dataValidation type="whole" allowBlank="1" showErrorMessage="1" errorTitle="Invalid count" error="Value must be between 0 and the current implemented total." sqref="S138" xr:uid="{00000000-0002-0000-0100-000029000000}">
      <formula1>0</formula1>
      <formula2>C71</formula2>
    </dataValidation>
    <dataValidation type="whole" allowBlank="1" showErrorMessage="1" errorTitle="Invalid count" error="Value must be between 0 and the current implemented total." sqref="U138" xr:uid="{00000000-0002-0000-0100-00002A000000}">
      <formula1>0</formula1>
      <formula2>C72</formula2>
    </dataValidation>
    <dataValidation type="whole" allowBlank="1" showErrorMessage="1" errorTitle="Invalid count" error="Value must be between 0 and the current implemented total." sqref="W138" xr:uid="{00000000-0002-0000-0100-00002B000000}">
      <formula1>0</formula1>
      <formula2>C73</formula2>
    </dataValidation>
    <dataValidation type="whole" allowBlank="1" showErrorMessage="1" errorTitle="Invalid overall count" error="Overall count must be between 0 and the current implemented total." sqref="Q139" xr:uid="{00000000-0002-0000-0100-00002C000000}">
      <formula1>0</formula1>
      <formula2>C16</formula2>
    </dataValidation>
    <dataValidation type="whole" allowBlank="1" showErrorMessage="1" errorTitle="Invalid count" error="Value must be between 0 and the current implemented total." sqref="S139" xr:uid="{00000000-0002-0000-0100-00002D000000}">
      <formula1>0</formula1>
      <formula2>C71</formula2>
    </dataValidation>
    <dataValidation type="whole" allowBlank="1" showErrorMessage="1" errorTitle="Invalid count" error="Value must be between 0 and the current implemented total." sqref="U139" xr:uid="{00000000-0002-0000-0100-00002E000000}">
      <formula1>0</formula1>
      <formula2>C72</formula2>
    </dataValidation>
    <dataValidation type="whole" allowBlank="1" showErrorMessage="1" errorTitle="Invalid count" error="Value must be between 0 and the current implemented total." sqref="W139" xr:uid="{00000000-0002-0000-0100-00002F000000}">
      <formula1>0</formula1>
      <formula2>C73</formula2>
    </dataValidation>
    <dataValidation type="whole" allowBlank="1" showErrorMessage="1" errorTitle="Invalid overall count" error="Overall count must be between 0 and the current implemented total." sqref="Q140" xr:uid="{00000000-0002-0000-0100-000030000000}">
      <formula1>0</formula1>
      <formula2>C16</formula2>
    </dataValidation>
    <dataValidation type="whole" allowBlank="1" showErrorMessage="1" errorTitle="Invalid count" error="Value must be between 0 and the current implemented total." sqref="S140" xr:uid="{00000000-0002-0000-0100-000031000000}">
      <formula1>0</formula1>
      <formula2>C71</formula2>
    </dataValidation>
    <dataValidation type="whole" allowBlank="1" showErrorMessage="1" errorTitle="Invalid count" error="Value must be between 0 and the current implemented total." sqref="U140" xr:uid="{00000000-0002-0000-0100-000032000000}">
      <formula1>0</formula1>
      <formula2>C72</formula2>
    </dataValidation>
    <dataValidation type="whole" allowBlank="1" showErrorMessage="1" errorTitle="Invalid count" error="Value must be between 0 and the current implemented total." sqref="W140" xr:uid="{00000000-0002-0000-0100-000033000000}">
      <formula1>0</formula1>
      <formula2>C73</formula2>
    </dataValidation>
    <dataValidation type="whole" allowBlank="1" showErrorMessage="1" errorTitle="Invalid overall count" error="Overall count must be between 0 and the current implemented total." sqref="Q141" xr:uid="{00000000-0002-0000-0100-000034000000}">
      <formula1>0</formula1>
      <formula2>C16</formula2>
    </dataValidation>
    <dataValidation type="whole" allowBlank="1" showErrorMessage="1" errorTitle="Invalid count" error="Value must be between 0 and the current implemented total." sqref="S141" xr:uid="{00000000-0002-0000-0100-000035000000}">
      <formula1>0</formula1>
      <formula2>C71</formula2>
    </dataValidation>
    <dataValidation type="whole" allowBlank="1" showErrorMessage="1" errorTitle="Invalid count" error="Value must be between 0 and the current implemented total." sqref="U141" xr:uid="{00000000-0002-0000-0100-000036000000}">
      <formula1>0</formula1>
      <formula2>C72</formula2>
    </dataValidation>
    <dataValidation type="whole" allowBlank="1" showErrorMessage="1" errorTitle="Invalid count" error="Value must be between 0 and the current implemented total." sqref="W141" xr:uid="{00000000-0002-0000-0100-000037000000}">
      <formula1>0</formula1>
      <formula2>C73</formula2>
    </dataValidation>
    <dataValidation type="whole" allowBlank="1" showErrorMessage="1" errorTitle="Invalid overall count" error="Overall count must be between 0 and the current implemented total." sqref="Q142" xr:uid="{00000000-0002-0000-0100-000038000000}">
      <formula1>0</formula1>
      <formula2>C16</formula2>
    </dataValidation>
    <dataValidation type="whole" allowBlank="1" showErrorMessage="1" errorTitle="Invalid count" error="Value must be between 0 and the current implemented total." sqref="S142" xr:uid="{00000000-0002-0000-0100-000039000000}">
      <formula1>0</formula1>
      <formula2>C71</formula2>
    </dataValidation>
    <dataValidation type="whole" allowBlank="1" showErrorMessage="1" errorTitle="Invalid count" error="Value must be between 0 and the current implemented total." sqref="U142" xr:uid="{00000000-0002-0000-0100-00003A000000}">
      <formula1>0</formula1>
      <formula2>C72</formula2>
    </dataValidation>
    <dataValidation type="whole" allowBlank="1" showErrorMessage="1" errorTitle="Invalid count" error="Value must be between 0 and the current implemented total." sqref="W142" xr:uid="{00000000-0002-0000-0100-00003B000000}">
      <formula1>0</formula1>
      <formula2>C73</formula2>
    </dataValidation>
    <dataValidation type="whole" allowBlank="1" showErrorMessage="1" errorTitle="Invalid overall count" error="Overall count must be between 0 and the current implemented total." sqref="Q143" xr:uid="{00000000-0002-0000-0100-00003C000000}">
      <formula1>0</formula1>
      <formula2>C16</formula2>
    </dataValidation>
    <dataValidation type="whole" allowBlank="1" showErrorMessage="1" errorTitle="Invalid count" error="Value must be between 0 and the current implemented total." sqref="S143" xr:uid="{00000000-0002-0000-0100-00003D000000}">
      <formula1>0</formula1>
      <formula2>C71</formula2>
    </dataValidation>
    <dataValidation type="whole" allowBlank="1" showErrorMessage="1" errorTitle="Invalid count" error="Value must be between 0 and the current implemented total." sqref="U143" xr:uid="{00000000-0002-0000-0100-00003E000000}">
      <formula1>0</formula1>
      <formula2>C72</formula2>
    </dataValidation>
    <dataValidation type="whole" allowBlank="1" showErrorMessage="1" errorTitle="Invalid count" error="Value must be between 0 and the current implemented total." sqref="W143" xr:uid="{00000000-0002-0000-0100-00003F000000}">
      <formula1>0</formula1>
      <formula2>C73</formula2>
    </dataValidation>
    <dataValidation type="whole" allowBlank="1" showErrorMessage="1" errorTitle="Invalid overall count" error="Overall count must be between 0 and the current implemented total." sqref="Q144" xr:uid="{00000000-0002-0000-0100-000040000000}">
      <formula1>0</formula1>
      <formula2>C16</formula2>
    </dataValidation>
    <dataValidation type="whole" allowBlank="1" showErrorMessage="1" errorTitle="Invalid count" error="Value must be between 0 and the current implemented total." sqref="S144" xr:uid="{00000000-0002-0000-0100-000041000000}">
      <formula1>0</formula1>
      <formula2>C71</formula2>
    </dataValidation>
    <dataValidation type="whole" allowBlank="1" showErrorMessage="1" errorTitle="Invalid count" error="Value must be between 0 and the current implemented total." sqref="U144" xr:uid="{00000000-0002-0000-0100-000042000000}">
      <formula1>0</formula1>
      <formula2>C72</formula2>
    </dataValidation>
    <dataValidation type="whole" allowBlank="1" showErrorMessage="1" errorTitle="Invalid count" error="Value must be between 0 and the current implemented total." sqref="W144" xr:uid="{00000000-0002-0000-0100-000043000000}">
      <formula1>0</formula1>
      <formula2>C73</formula2>
    </dataValidation>
    <dataValidation type="whole" allowBlank="1" showErrorMessage="1" errorTitle="Invalid overall count" error="Overall count must be between 0 and the current implemented total." sqref="Q145" xr:uid="{00000000-0002-0000-0100-000044000000}">
      <formula1>0</formula1>
      <formula2>C16</formula2>
    </dataValidation>
    <dataValidation type="whole" allowBlank="1" showErrorMessage="1" errorTitle="Invalid count" error="Value must be between 0 and the current implemented total." sqref="S145" xr:uid="{00000000-0002-0000-0100-000045000000}">
      <formula1>0</formula1>
      <formula2>C71</formula2>
    </dataValidation>
    <dataValidation type="whole" allowBlank="1" showErrorMessage="1" errorTitle="Invalid count" error="Value must be between 0 and the current implemented total." sqref="U145" xr:uid="{00000000-0002-0000-0100-000046000000}">
      <formula1>0</formula1>
      <formula2>C72</formula2>
    </dataValidation>
    <dataValidation type="whole" allowBlank="1" showErrorMessage="1" errorTitle="Invalid count" error="Value must be between 0 and the current implemented total." sqref="W145" xr:uid="{00000000-0002-0000-0100-000047000000}">
      <formula1>0</formula1>
      <formula2>C73</formula2>
    </dataValidation>
    <dataValidation type="whole" allowBlank="1" showErrorMessage="1" errorTitle="Invalid overall count" error="Overall count must be between 0 and the current implemented total." sqref="Q146" xr:uid="{00000000-0002-0000-0100-000048000000}">
      <formula1>0</formula1>
      <formula2>C16</formula2>
    </dataValidation>
    <dataValidation type="whole" allowBlank="1" showErrorMessage="1" errorTitle="Invalid count" error="Value must be between 0 and the current implemented total." sqref="S146" xr:uid="{00000000-0002-0000-0100-000049000000}">
      <formula1>0</formula1>
      <formula2>C71</formula2>
    </dataValidation>
    <dataValidation type="whole" allowBlank="1" showErrorMessage="1" errorTitle="Invalid count" error="Value must be between 0 and the current implemented total." sqref="U146" xr:uid="{00000000-0002-0000-0100-00004A000000}">
      <formula1>0</formula1>
      <formula2>C72</formula2>
    </dataValidation>
    <dataValidation type="whole" allowBlank="1" showErrorMessage="1" errorTitle="Invalid count" error="Value must be between 0 and the current implemented total." sqref="W146" xr:uid="{00000000-0002-0000-0100-00004B000000}">
      <formula1>0</formula1>
      <formula2>C73</formula2>
    </dataValidation>
    <dataValidation type="whole" allowBlank="1" showErrorMessage="1" errorTitle="Invalid overall count" error="Overall count must be between 0 and the current implemented total." sqref="Q147" xr:uid="{00000000-0002-0000-0100-00004C000000}">
      <formula1>0</formula1>
      <formula2>C16</formula2>
    </dataValidation>
    <dataValidation type="whole" allowBlank="1" showErrorMessage="1" errorTitle="Invalid count" error="Value must be between 0 and the current implemented total." sqref="S147" xr:uid="{00000000-0002-0000-0100-00004D000000}">
      <formula1>0</formula1>
      <formula2>C71</formula2>
    </dataValidation>
    <dataValidation type="whole" allowBlank="1" showErrorMessage="1" errorTitle="Invalid count" error="Value must be between 0 and the current implemented total." sqref="U147" xr:uid="{00000000-0002-0000-0100-00004E000000}">
      <formula1>0</formula1>
      <formula2>C72</formula2>
    </dataValidation>
    <dataValidation type="whole" allowBlank="1" showErrorMessage="1" errorTitle="Invalid count" error="Value must be between 0 and the current implemented total." sqref="W147" xr:uid="{00000000-0002-0000-0100-00004F000000}">
      <formula1>0</formula1>
      <formula2>C73</formula2>
    </dataValidation>
    <dataValidation type="whole" allowBlank="1" showErrorMessage="1" errorTitle="Invalid overall count" error="Overall count must be between 0 and the current implemented total." sqref="Q148" xr:uid="{00000000-0002-0000-0100-000050000000}">
      <formula1>0</formula1>
      <formula2>C16</formula2>
    </dataValidation>
    <dataValidation type="whole" allowBlank="1" showErrorMessage="1" errorTitle="Invalid count" error="Value must be between 0 and the current implemented total." sqref="S148" xr:uid="{00000000-0002-0000-0100-000051000000}">
      <formula1>0</formula1>
      <formula2>C71</formula2>
    </dataValidation>
    <dataValidation type="whole" allowBlank="1" showErrorMessage="1" errorTitle="Invalid count" error="Value must be between 0 and the current implemented total." sqref="U148" xr:uid="{00000000-0002-0000-0100-000052000000}">
      <formula1>0</formula1>
      <formula2>C72</formula2>
    </dataValidation>
    <dataValidation type="whole" allowBlank="1" showErrorMessage="1" errorTitle="Invalid count" error="Value must be between 0 and the current implemented total." sqref="W148" xr:uid="{00000000-0002-0000-0100-000053000000}">
      <formula1>0</formula1>
      <formula2>C73</formula2>
    </dataValidation>
    <dataValidation type="whole" allowBlank="1" showErrorMessage="1" errorTitle="Invalid overall count" error="Overall count must be between 0 and the current implemented total." sqref="Q149" xr:uid="{00000000-0002-0000-0100-000054000000}">
      <formula1>0</formula1>
      <formula2>C16</formula2>
    </dataValidation>
    <dataValidation type="whole" allowBlank="1" showErrorMessage="1" errorTitle="Invalid count" error="Value must be between 0 and the current implemented total." sqref="S149" xr:uid="{00000000-0002-0000-0100-000055000000}">
      <formula1>0</formula1>
      <formula2>C71</formula2>
    </dataValidation>
    <dataValidation type="whole" allowBlank="1" showErrorMessage="1" errorTitle="Invalid count" error="Value must be between 0 and the current implemented total." sqref="U149" xr:uid="{00000000-0002-0000-0100-000056000000}">
      <formula1>0</formula1>
      <formula2>C72</formula2>
    </dataValidation>
    <dataValidation type="whole" allowBlank="1" showErrorMessage="1" errorTitle="Invalid count" error="Value must be between 0 and the current implemented total." sqref="W149" xr:uid="{00000000-0002-0000-0100-000057000000}">
      <formula1>0</formula1>
      <formula2>C73</formula2>
    </dataValidation>
    <dataValidation type="whole" allowBlank="1" showErrorMessage="1" errorTitle="Invalid overall count" error="Overall count must be between 0 and the current implemented total." sqref="Q150" xr:uid="{00000000-0002-0000-0100-000058000000}">
      <formula1>0</formula1>
      <formula2>C16</formula2>
    </dataValidation>
    <dataValidation type="whole" allowBlank="1" showErrorMessage="1" errorTitle="Invalid count" error="Value must be between 0 and the current implemented total." sqref="S150" xr:uid="{00000000-0002-0000-0100-000059000000}">
      <formula1>0</formula1>
      <formula2>C71</formula2>
    </dataValidation>
    <dataValidation type="whole" allowBlank="1" showErrorMessage="1" errorTitle="Invalid count" error="Value must be between 0 and the current implemented total." sqref="U150" xr:uid="{00000000-0002-0000-0100-00005A000000}">
      <formula1>0</formula1>
      <formula2>C72</formula2>
    </dataValidation>
    <dataValidation type="whole" allowBlank="1" showErrorMessage="1" errorTitle="Invalid count" error="Value must be between 0 and the current implemented total." sqref="W150" xr:uid="{00000000-0002-0000-0100-00005B000000}">
      <formula1>0</formula1>
      <formula2>C73</formula2>
    </dataValidation>
    <dataValidation type="whole" allowBlank="1" showErrorMessage="1" errorTitle="Invalid overall count" error="Overall count must be between 0 and the current implemented total." sqref="Q151" xr:uid="{00000000-0002-0000-0100-00005C000000}">
      <formula1>0</formula1>
      <formula2>C16</formula2>
    </dataValidation>
    <dataValidation type="whole" allowBlank="1" showErrorMessage="1" errorTitle="Invalid count" error="Value must be between 0 and the current implemented total." sqref="S151" xr:uid="{00000000-0002-0000-0100-00005D000000}">
      <formula1>0</formula1>
      <formula2>C71</formula2>
    </dataValidation>
    <dataValidation type="whole" allowBlank="1" showErrorMessage="1" errorTitle="Invalid count" error="Value must be between 0 and the current implemented total." sqref="U151" xr:uid="{00000000-0002-0000-0100-00005E000000}">
      <formula1>0</formula1>
      <formula2>C72</formula2>
    </dataValidation>
    <dataValidation type="whole" allowBlank="1" showErrorMessage="1" errorTitle="Invalid count" error="Value must be between 0 and the current implemented total." sqref="W151" xr:uid="{00000000-0002-0000-0100-00005F000000}">
      <formula1>0</formula1>
      <formula2>C73</formula2>
    </dataValidation>
    <dataValidation type="whole" allowBlank="1" showErrorMessage="1" errorTitle="Invalid overall count" error="Overall count must be between 0 and the current implemented total." sqref="Q152" xr:uid="{00000000-0002-0000-0100-000060000000}">
      <formula1>0</formula1>
      <formula2>C16</formula2>
    </dataValidation>
    <dataValidation type="whole" allowBlank="1" showErrorMessage="1" errorTitle="Invalid count" error="Value must be between 0 and the current implemented total." sqref="S152" xr:uid="{00000000-0002-0000-0100-000061000000}">
      <formula1>0</formula1>
      <formula2>C71</formula2>
    </dataValidation>
    <dataValidation type="whole" allowBlank="1" showErrorMessage="1" errorTitle="Invalid count" error="Value must be between 0 and the current implemented total." sqref="U152" xr:uid="{00000000-0002-0000-0100-000062000000}">
      <formula1>0</formula1>
      <formula2>C72</formula2>
    </dataValidation>
    <dataValidation type="whole" allowBlank="1" showErrorMessage="1" errorTitle="Invalid count" error="Value must be between 0 and the current implemented total." sqref="W152" xr:uid="{00000000-0002-0000-0100-000063000000}">
      <formula1>0</formula1>
      <formula2>C73</formula2>
    </dataValidation>
    <dataValidation type="whole" allowBlank="1" showErrorMessage="1" errorTitle="Invalid overall count" error="Overall count must be between 0 and the current implemented total." sqref="Q153" xr:uid="{00000000-0002-0000-0100-000064000000}">
      <formula1>0</formula1>
      <formula2>C16</formula2>
    </dataValidation>
    <dataValidation type="whole" allowBlank="1" showErrorMessage="1" errorTitle="Invalid count" error="Value must be between 0 and the current implemented total." sqref="S153" xr:uid="{00000000-0002-0000-0100-000065000000}">
      <formula1>0</formula1>
      <formula2>C71</formula2>
    </dataValidation>
    <dataValidation type="whole" allowBlank="1" showErrorMessage="1" errorTitle="Invalid count" error="Value must be between 0 and the current implemented total." sqref="U153" xr:uid="{00000000-0002-0000-0100-000066000000}">
      <formula1>0</formula1>
      <formula2>C72</formula2>
    </dataValidation>
    <dataValidation type="whole" allowBlank="1" showErrorMessage="1" errorTitle="Invalid count" error="Value must be between 0 and the current implemented total." sqref="W153" xr:uid="{00000000-0002-0000-0100-000067000000}">
      <formula1>0</formula1>
      <formula2>C73</formula2>
    </dataValidation>
    <dataValidation type="whole" allowBlank="1" showErrorMessage="1" errorTitle="Invalid overall count" error="Overall count must be between 0 and the current implemented total." sqref="Q154" xr:uid="{00000000-0002-0000-0100-000068000000}">
      <formula1>0</formula1>
      <formula2>C16</formula2>
    </dataValidation>
    <dataValidation type="whole" allowBlank="1" showErrorMessage="1" errorTitle="Invalid count" error="Value must be between 0 and the current implemented total." sqref="S154" xr:uid="{00000000-0002-0000-0100-000069000000}">
      <formula1>0</formula1>
      <formula2>C71</formula2>
    </dataValidation>
    <dataValidation type="whole" allowBlank="1" showErrorMessage="1" errorTitle="Invalid count" error="Value must be between 0 and the current implemented total." sqref="U154" xr:uid="{00000000-0002-0000-0100-00006A000000}">
      <formula1>0</formula1>
      <formula2>C72</formula2>
    </dataValidation>
    <dataValidation type="whole" allowBlank="1" showErrorMessage="1" errorTitle="Invalid count" error="Value must be between 0 and the current implemented total." sqref="W154" xr:uid="{00000000-0002-0000-0100-00006B000000}">
      <formula1>0</formula1>
      <formula2>C73</formula2>
    </dataValidation>
    <dataValidation type="whole" allowBlank="1" showErrorMessage="1" errorTitle="Invalid overall count" error="Overall count must be between 0 and the current implemented total." sqref="Q155" xr:uid="{00000000-0002-0000-0100-00006C000000}">
      <formula1>0</formula1>
      <formula2>C16</formula2>
    </dataValidation>
    <dataValidation type="whole" allowBlank="1" showErrorMessage="1" errorTitle="Invalid count" error="Value must be between 0 and the current implemented total." sqref="S155" xr:uid="{00000000-0002-0000-0100-00006D000000}">
      <formula1>0</formula1>
      <formula2>C71</formula2>
    </dataValidation>
    <dataValidation type="whole" allowBlank="1" showErrorMessage="1" errorTitle="Invalid count" error="Value must be between 0 and the current implemented total." sqref="U155" xr:uid="{00000000-0002-0000-0100-00006E000000}">
      <formula1>0</formula1>
      <formula2>C72</formula2>
    </dataValidation>
    <dataValidation type="whole" allowBlank="1" showErrorMessage="1" errorTitle="Invalid count" error="Value must be between 0 and the current implemented total." sqref="W155" xr:uid="{00000000-0002-0000-0100-00006F000000}">
      <formula1>0</formula1>
      <formula2>C73</formula2>
    </dataValidation>
    <dataValidation type="whole" allowBlank="1" showErrorMessage="1" errorTitle="Invalid overall count" error="Overall count must be between 0 and the current implemented total." sqref="Q156" xr:uid="{00000000-0002-0000-0100-000070000000}">
      <formula1>0</formula1>
      <formula2>C16</formula2>
    </dataValidation>
    <dataValidation type="whole" allowBlank="1" showErrorMessage="1" errorTitle="Invalid count" error="Value must be between 0 and the current implemented total." sqref="S156" xr:uid="{00000000-0002-0000-0100-000071000000}">
      <formula1>0</formula1>
      <formula2>C71</formula2>
    </dataValidation>
    <dataValidation type="whole" allowBlank="1" showErrorMessage="1" errorTitle="Invalid count" error="Value must be between 0 and the current implemented total." sqref="U156" xr:uid="{00000000-0002-0000-0100-000072000000}">
      <formula1>0</formula1>
      <formula2>C72</formula2>
    </dataValidation>
    <dataValidation type="whole" allowBlank="1" showErrorMessage="1" errorTitle="Invalid count" error="Value must be between 0 and the current implemented total." sqref="W156" xr:uid="{00000000-0002-0000-0100-000073000000}">
      <formula1>0</formula1>
      <formula2>C73</formula2>
    </dataValidation>
    <dataValidation type="whole" allowBlank="1" showErrorMessage="1" errorTitle="Invalid overall count" error="Overall count must be between 0 and the current implemented total." sqref="Q157" xr:uid="{00000000-0002-0000-0100-000074000000}">
      <formula1>0</formula1>
      <formula2>C16</formula2>
    </dataValidation>
    <dataValidation type="whole" allowBlank="1" showErrorMessage="1" errorTitle="Invalid count" error="Value must be between 0 and the current implemented total." sqref="S157" xr:uid="{00000000-0002-0000-0100-000075000000}">
      <formula1>0</formula1>
      <formula2>C71</formula2>
    </dataValidation>
    <dataValidation type="whole" allowBlank="1" showErrorMessage="1" errorTitle="Invalid count" error="Value must be between 0 and the current implemented total." sqref="U157" xr:uid="{00000000-0002-0000-0100-000076000000}">
      <formula1>0</formula1>
      <formula2>C72</formula2>
    </dataValidation>
    <dataValidation type="whole" allowBlank="1" showErrorMessage="1" errorTitle="Invalid count" error="Value must be between 0 and the current implemented total." sqref="W157" xr:uid="{00000000-0002-0000-0100-000077000000}">
      <formula1>0</formula1>
      <formula2>C73</formula2>
    </dataValidation>
    <dataValidation type="whole" allowBlank="1" showErrorMessage="1" errorTitle="Invalid Asset Count" error="Value must be between 0 and the Total Asset Numbers above." sqref="Q170" xr:uid="{00000000-0002-0000-0100-000078000000}">
      <formula1>0</formula1>
      <formula2>$P166</formula2>
    </dataValidation>
    <dataValidation type="whole" allowBlank="1" showErrorMessage="1" errorTitle="Invalid Asset Count" error="Value must be between 0 and the Total Asset Numbers above." sqref="Q171" xr:uid="{00000000-0002-0000-0100-000079000000}">
      <formula1>0</formula1>
      <formula2>$P166</formula2>
    </dataValidation>
    <dataValidation type="whole" allowBlank="1" showErrorMessage="1" errorTitle="Invalid Asset Count" error="Value must be between 0 and the Total Asset Numbers above." sqref="Q172" xr:uid="{00000000-0002-0000-0100-00007A000000}">
      <formula1>0</formula1>
      <formula2>$P166</formula2>
    </dataValidation>
    <dataValidation type="whole" allowBlank="1" showErrorMessage="1" errorTitle="Invalid Asset Count" error="Value must be between 0 and the Total Asset Numbers above." sqref="Q173" xr:uid="{00000000-0002-0000-0100-00007B000000}">
      <formula1>0</formula1>
      <formula2>$P166</formula2>
    </dataValidation>
    <dataValidation type="whole" allowBlank="1" showErrorMessage="1" errorTitle="Invalid Asset Count" error="Value must be between 0 and the Total Asset Numbers above." sqref="Q174" xr:uid="{00000000-0002-0000-0100-00007C000000}">
      <formula1>0</formula1>
      <formula2>$P166</formula2>
    </dataValidation>
    <dataValidation type="whole" allowBlank="1" showErrorMessage="1" errorTitle="Invalid Asset Count" error="Value must be between 0 and the Total Asset Numbers above." sqref="Q175" xr:uid="{00000000-0002-0000-0100-00007D000000}">
      <formula1>0</formula1>
      <formula2>$P166</formula2>
    </dataValidation>
    <dataValidation type="whole" allowBlank="1" showErrorMessage="1" errorTitle="Invalid Asset Count" error="Value must be between 0 and the Total Asset Numbers above." sqref="Q176" xr:uid="{00000000-0002-0000-0100-00007E000000}">
      <formula1>0</formula1>
      <formula2>$P166</formula2>
    </dataValidation>
    <dataValidation type="whole" allowBlank="1" showErrorMessage="1" errorTitle="Invalid Asset Count" error="Value must be between 0 and the Total Asset Numbers above." sqref="Q177" xr:uid="{00000000-0002-0000-0100-00007F000000}">
      <formula1>0</formula1>
      <formula2>$P166</formula2>
    </dataValidation>
    <dataValidation type="whole" allowBlank="1" showErrorMessage="1" errorTitle="Invalid Asset Count" error="Value must be between 0 and the Total Asset Numbers above." sqref="Q178" xr:uid="{00000000-0002-0000-0100-000080000000}">
      <formula1>0</formula1>
      <formula2>$P166</formula2>
    </dataValidation>
    <dataValidation type="whole" allowBlank="1" showErrorMessage="1" errorTitle="Invalid Asset Count" error="Value must be between 0 and the Total Asset Numbers above." sqref="Q179" xr:uid="{00000000-0002-0000-0100-000081000000}">
      <formula1>0</formula1>
      <formula2>$P166</formula2>
    </dataValidation>
    <dataValidation type="whole" allowBlank="1" showErrorMessage="1" errorTitle="Invalid Asset Count" error="Value must be between 0 and the Total Asset Numbers above." sqref="Q180" xr:uid="{00000000-0002-0000-0100-000082000000}">
      <formula1>0</formula1>
      <formula2>$P166</formula2>
    </dataValidation>
    <dataValidation type="whole" allowBlank="1" showErrorMessage="1" errorTitle="Invalid Asset Count" error="Value must be between 0 and the Total Asset Numbers above." sqref="Q181" xr:uid="{00000000-0002-0000-0100-000083000000}">
      <formula1>0</formula1>
      <formula2>$P166</formula2>
    </dataValidation>
    <dataValidation type="whole" allowBlank="1" showErrorMessage="1" errorTitle="Invalid Asset Count" error="Value must be between 0 and the Total Asset Numbers above." sqref="Q182" xr:uid="{00000000-0002-0000-0100-000084000000}">
      <formula1>0</formula1>
      <formula2>$P166</formula2>
    </dataValidation>
    <dataValidation type="whole" allowBlank="1" showErrorMessage="1" errorTitle="Invalid Asset Count" error="Value must be between 0 and the Total Asset Numbers above." sqref="Q183" xr:uid="{00000000-0002-0000-0100-000085000000}">
      <formula1>0</formula1>
      <formula2>$P166</formula2>
    </dataValidation>
    <dataValidation type="whole" allowBlank="1" showErrorMessage="1" errorTitle="Invalid Asset Count" error="Value must be between 0 and the Total Asset Numbers above." sqref="Q184" xr:uid="{00000000-0002-0000-0100-000086000000}">
      <formula1>0</formula1>
      <formula2>$P166</formula2>
    </dataValidation>
    <dataValidation type="whole" allowBlank="1" showErrorMessage="1" errorTitle="Invalid Asset Count" error="Value must be between 0 and the Total Asset Numbers above." sqref="Q185" xr:uid="{00000000-0002-0000-0100-000087000000}">
      <formula1>0</formula1>
      <formula2>$P166</formula2>
    </dataValidation>
    <dataValidation type="whole" allowBlank="1" showErrorMessage="1" errorTitle="Invalid Asset Count" error="Value must be between 0 and the Total Asset Numbers above." sqref="Q186" xr:uid="{00000000-0002-0000-0100-000088000000}">
      <formula1>0</formula1>
      <formula2>$P166</formula2>
    </dataValidation>
    <dataValidation type="whole" allowBlank="1" showErrorMessage="1" errorTitle="Invalid Asset Count" error="Value must be between 0 and the Total Asset Numbers above." sqref="Q187" xr:uid="{00000000-0002-0000-0100-000089000000}">
      <formula1>0</formula1>
      <formula2>$P166</formula2>
    </dataValidation>
    <dataValidation type="whole" allowBlank="1" showErrorMessage="1" errorTitle="Invalid Asset Count" error="Value must be between 0 and the Total Asset Numbers above." sqref="Q188" xr:uid="{00000000-0002-0000-0100-00008A000000}">
      <formula1>0</formula1>
      <formula2>$P166</formula2>
    </dataValidation>
    <dataValidation type="whole" allowBlank="1" showErrorMessage="1" errorTitle="Invalid Asset Count" error="Value must be between 0 and the Total Asset Numbers above." sqref="Q189" xr:uid="{00000000-0002-0000-0100-00008B000000}">
      <formula1>0</formula1>
      <formula2>$P166</formula2>
    </dataValidation>
  </dataValidations>
  <hyperlinks>
    <hyperlink ref="B193"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5"/>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26" customWidth="1" outlineLevel="1"/>
    <col min="2" max="2" width="20" customWidth="1"/>
    <col min="3" max="3" width="45" customWidth="1"/>
    <col min="4" max="4" width="10" customWidth="1" outlineLevel="1"/>
    <col min="5"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30" hidden="1" customWidth="1" outlineLevel="1" collapsed="1"/>
    <col min="14" max="14" width="55" hidden="1" customWidth="1" outlineLevel="1" collapsed="1"/>
    <col min="15" max="15" width="18" hidden="1" customWidth="1" outlineLevel="1" collapsed="1"/>
    <col min="16" max="16" width="18" customWidth="1"/>
  </cols>
  <sheetData>
    <row r="1" spans="1:16"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7" t="s">
        <v>15</v>
      </c>
    </row>
    <row r="2" spans="1:16" ht="60" customHeight="1" x14ac:dyDescent="0.35">
      <c r="A2" s="11" t="s">
        <v>16</v>
      </c>
      <c r="B2" s="2" t="s">
        <v>17</v>
      </c>
      <c r="C2" s="3" t="s">
        <v>18</v>
      </c>
      <c r="D2" s="4" t="s">
        <v>19</v>
      </c>
      <c r="E2" s="4" t="s">
        <v>20</v>
      </c>
      <c r="F2" s="4" t="s">
        <v>21</v>
      </c>
      <c r="G2" s="4" t="s">
        <v>22</v>
      </c>
      <c r="H2" s="4" t="s">
        <v>23</v>
      </c>
      <c r="I2" s="1" t="s">
        <v>23</v>
      </c>
      <c r="J2" s="3" t="s">
        <v>24</v>
      </c>
      <c r="K2" s="3" t="s">
        <v>25</v>
      </c>
      <c r="L2" s="3" t="s">
        <v>26</v>
      </c>
      <c r="M2" s="3" t="s">
        <v>27</v>
      </c>
      <c r="N2" s="3" t="s">
        <v>28</v>
      </c>
      <c r="O2" s="5" t="str">
        <f t="shared" ref="O2:O21" si="0">IF(OR(H2="Implemented",H2="Compensated"),"Resolved",IF(OR(H2="Risk Accepted",H2="N/A"),"Excluded",IF(H2="Testing","Testing","Outstanding")))</f>
        <v>Outstanding</v>
      </c>
      <c r="P2" s="13" t="s">
        <v>23</v>
      </c>
    </row>
    <row r="3" spans="1:16" ht="60" customHeight="1" x14ac:dyDescent="0.35">
      <c r="A3" s="11" t="s">
        <v>16</v>
      </c>
      <c r="B3" s="2" t="s">
        <v>29</v>
      </c>
      <c r="C3" s="3" t="s">
        <v>30</v>
      </c>
      <c r="D3" s="4" t="s">
        <v>31</v>
      </c>
      <c r="E3" s="4" t="s">
        <v>20</v>
      </c>
      <c r="F3" s="4" t="s">
        <v>21</v>
      </c>
      <c r="G3" s="4" t="s">
        <v>22</v>
      </c>
      <c r="H3" s="4" t="s">
        <v>23</v>
      </c>
      <c r="I3" s="1" t="s">
        <v>23</v>
      </c>
      <c r="J3" s="3" t="s">
        <v>32</v>
      </c>
      <c r="K3" s="3" t="s">
        <v>33</v>
      </c>
      <c r="L3" s="3" t="s">
        <v>26</v>
      </c>
      <c r="M3" s="3" t="s">
        <v>27</v>
      </c>
      <c r="N3" s="3" t="s">
        <v>28</v>
      </c>
      <c r="O3" s="5" t="str">
        <f t="shared" si="0"/>
        <v>Outstanding</v>
      </c>
      <c r="P3" s="13" t="s">
        <v>23</v>
      </c>
    </row>
    <row r="4" spans="1:16" ht="60" customHeight="1" x14ac:dyDescent="0.35">
      <c r="A4" s="11" t="s">
        <v>16</v>
      </c>
      <c r="B4" s="2" t="s">
        <v>34</v>
      </c>
      <c r="C4" s="3" t="s">
        <v>35</v>
      </c>
      <c r="D4" s="4" t="s">
        <v>19</v>
      </c>
      <c r="E4" s="4" t="s">
        <v>20</v>
      </c>
      <c r="F4" s="4" t="s">
        <v>21</v>
      </c>
      <c r="G4" s="4" t="s">
        <v>22</v>
      </c>
      <c r="H4" s="4" t="s">
        <v>23</v>
      </c>
      <c r="I4" s="1" t="s">
        <v>23</v>
      </c>
      <c r="J4" s="3" t="s">
        <v>36</v>
      </c>
      <c r="K4" s="3" t="s">
        <v>37</v>
      </c>
      <c r="L4" s="3" t="s">
        <v>26</v>
      </c>
      <c r="M4" s="3" t="s">
        <v>27</v>
      </c>
      <c r="N4" s="3" t="s">
        <v>28</v>
      </c>
      <c r="O4" s="5" t="str">
        <f t="shared" si="0"/>
        <v>Outstanding</v>
      </c>
      <c r="P4" s="13" t="s">
        <v>23</v>
      </c>
    </row>
    <row r="5" spans="1:16" ht="60" customHeight="1" x14ac:dyDescent="0.35">
      <c r="A5" s="11" t="s">
        <v>16</v>
      </c>
      <c r="B5" s="2" t="s">
        <v>38</v>
      </c>
      <c r="C5" s="3" t="s">
        <v>39</v>
      </c>
      <c r="D5" s="4" t="s">
        <v>40</v>
      </c>
      <c r="E5" s="4" t="s">
        <v>20</v>
      </c>
      <c r="F5" s="4" t="s">
        <v>21</v>
      </c>
      <c r="G5" s="4" t="s">
        <v>22</v>
      </c>
      <c r="H5" s="4" t="s">
        <v>23</v>
      </c>
      <c r="I5" s="1" t="s">
        <v>23</v>
      </c>
      <c r="J5" s="3" t="s">
        <v>41</v>
      </c>
      <c r="K5" s="3" t="s">
        <v>42</v>
      </c>
      <c r="L5" s="3" t="s">
        <v>26</v>
      </c>
      <c r="M5" s="3" t="s">
        <v>27</v>
      </c>
      <c r="N5" s="3" t="s">
        <v>28</v>
      </c>
      <c r="O5" s="5" t="str">
        <f t="shared" si="0"/>
        <v>Outstanding</v>
      </c>
      <c r="P5" s="13" t="s">
        <v>23</v>
      </c>
    </row>
    <row r="6" spans="1:16" ht="60" customHeight="1" x14ac:dyDescent="0.35">
      <c r="A6" s="11" t="s">
        <v>16</v>
      </c>
      <c r="B6" s="2" t="s">
        <v>43</v>
      </c>
      <c r="C6" s="3" t="s">
        <v>44</v>
      </c>
      <c r="D6" s="4" t="s">
        <v>19</v>
      </c>
      <c r="E6" s="4" t="s">
        <v>20</v>
      </c>
      <c r="F6" s="4" t="s">
        <v>21</v>
      </c>
      <c r="G6" s="4" t="s">
        <v>22</v>
      </c>
      <c r="H6" s="4" t="s">
        <v>23</v>
      </c>
      <c r="I6" s="1" t="s">
        <v>23</v>
      </c>
      <c r="J6" s="3" t="s">
        <v>45</v>
      </c>
      <c r="K6" s="3" t="s">
        <v>46</v>
      </c>
      <c r="L6" s="3" t="s">
        <v>26</v>
      </c>
      <c r="M6" s="3" t="s">
        <v>27</v>
      </c>
      <c r="N6" s="3" t="s">
        <v>28</v>
      </c>
      <c r="O6" s="5" t="str">
        <f t="shared" si="0"/>
        <v>Outstanding</v>
      </c>
      <c r="P6" s="13" t="s">
        <v>23</v>
      </c>
    </row>
    <row r="7" spans="1:16" ht="60" customHeight="1" x14ac:dyDescent="0.35">
      <c r="A7" s="11" t="s">
        <v>16</v>
      </c>
      <c r="B7" s="2" t="s">
        <v>47</v>
      </c>
      <c r="C7" s="3" t="s">
        <v>48</v>
      </c>
      <c r="D7" s="4" t="s">
        <v>40</v>
      </c>
      <c r="E7" s="4" t="s">
        <v>20</v>
      </c>
      <c r="F7" s="4" t="s">
        <v>21</v>
      </c>
      <c r="G7" s="4" t="s">
        <v>22</v>
      </c>
      <c r="H7" s="4" t="s">
        <v>23</v>
      </c>
      <c r="I7" s="1" t="s">
        <v>23</v>
      </c>
      <c r="J7" s="3" t="s">
        <v>49</v>
      </c>
      <c r="K7" s="3" t="s">
        <v>50</v>
      </c>
      <c r="L7" s="3" t="s">
        <v>26</v>
      </c>
      <c r="M7" s="3" t="s">
        <v>27</v>
      </c>
      <c r="N7" s="3" t="s">
        <v>28</v>
      </c>
      <c r="O7" s="5" t="str">
        <f t="shared" si="0"/>
        <v>Outstanding</v>
      </c>
      <c r="P7" s="13" t="s">
        <v>23</v>
      </c>
    </row>
    <row r="8" spans="1:16" ht="60" customHeight="1" x14ac:dyDescent="0.35">
      <c r="A8" s="11" t="s">
        <v>16</v>
      </c>
      <c r="B8" s="2" t="s">
        <v>51</v>
      </c>
      <c r="C8" s="3" t="s">
        <v>52</v>
      </c>
      <c r="D8" s="4" t="s">
        <v>19</v>
      </c>
      <c r="E8" s="4" t="s">
        <v>20</v>
      </c>
      <c r="F8" s="4" t="s">
        <v>21</v>
      </c>
      <c r="G8" s="4" t="s">
        <v>22</v>
      </c>
      <c r="H8" s="4" t="s">
        <v>23</v>
      </c>
      <c r="I8" s="1" t="s">
        <v>23</v>
      </c>
      <c r="J8" s="3" t="s">
        <v>53</v>
      </c>
      <c r="K8" s="3" t="s">
        <v>54</v>
      </c>
      <c r="L8" s="3" t="s">
        <v>26</v>
      </c>
      <c r="M8" s="3" t="s">
        <v>27</v>
      </c>
      <c r="N8" s="3" t="s">
        <v>28</v>
      </c>
      <c r="O8" s="5" t="str">
        <f t="shared" si="0"/>
        <v>Outstanding</v>
      </c>
      <c r="P8" s="13" t="s">
        <v>23</v>
      </c>
    </row>
    <row r="9" spans="1:16" ht="60" customHeight="1" x14ac:dyDescent="0.35">
      <c r="A9" s="11" t="s">
        <v>55</v>
      </c>
      <c r="B9" s="2" t="s">
        <v>56</v>
      </c>
      <c r="C9" s="3" t="s">
        <v>57</v>
      </c>
      <c r="D9" s="4" t="s">
        <v>58</v>
      </c>
      <c r="E9" s="4" t="s">
        <v>20</v>
      </c>
      <c r="F9" s="4" t="s">
        <v>21</v>
      </c>
      <c r="G9" s="4" t="s">
        <v>22</v>
      </c>
      <c r="H9" s="4" t="s">
        <v>23</v>
      </c>
      <c r="I9" s="1" t="s">
        <v>23</v>
      </c>
      <c r="J9" s="3" t="s">
        <v>59</v>
      </c>
      <c r="K9" s="3" t="s">
        <v>60</v>
      </c>
      <c r="L9" s="3" t="s">
        <v>61</v>
      </c>
      <c r="M9" s="3" t="s">
        <v>27</v>
      </c>
      <c r="N9" s="3" t="s">
        <v>62</v>
      </c>
      <c r="O9" s="5" t="str">
        <f t="shared" si="0"/>
        <v>Outstanding</v>
      </c>
      <c r="P9" s="13" t="s">
        <v>23</v>
      </c>
    </row>
    <row r="10" spans="1:16" ht="60" customHeight="1" x14ac:dyDescent="0.35">
      <c r="A10" s="11" t="s">
        <v>55</v>
      </c>
      <c r="B10" s="2" t="s">
        <v>63</v>
      </c>
      <c r="C10" s="3" t="s">
        <v>64</v>
      </c>
      <c r="D10" s="4" t="s">
        <v>31</v>
      </c>
      <c r="E10" s="4" t="s">
        <v>20</v>
      </c>
      <c r="F10" s="4" t="s">
        <v>21</v>
      </c>
      <c r="G10" s="4" t="s">
        <v>22</v>
      </c>
      <c r="H10" s="4" t="s">
        <v>23</v>
      </c>
      <c r="I10" s="1" t="s">
        <v>23</v>
      </c>
      <c r="J10" s="3" t="s">
        <v>65</v>
      </c>
      <c r="K10" s="3" t="s">
        <v>66</v>
      </c>
      <c r="L10" s="3" t="s">
        <v>61</v>
      </c>
      <c r="M10" s="3" t="s">
        <v>27</v>
      </c>
      <c r="N10" s="3" t="s">
        <v>62</v>
      </c>
      <c r="O10" s="5" t="str">
        <f t="shared" si="0"/>
        <v>Outstanding</v>
      </c>
      <c r="P10" s="13" t="s">
        <v>23</v>
      </c>
    </row>
    <row r="11" spans="1:16" ht="60" customHeight="1" x14ac:dyDescent="0.35">
      <c r="A11" s="11" t="s">
        <v>55</v>
      </c>
      <c r="B11" s="2" t="s">
        <v>67</v>
      </c>
      <c r="C11" s="3" t="s">
        <v>68</v>
      </c>
      <c r="D11" s="4" t="s">
        <v>19</v>
      </c>
      <c r="E11" s="4" t="s">
        <v>20</v>
      </c>
      <c r="F11" s="4" t="s">
        <v>21</v>
      </c>
      <c r="G11" s="4" t="s">
        <v>22</v>
      </c>
      <c r="H11" s="4" t="s">
        <v>23</v>
      </c>
      <c r="I11" s="1" t="s">
        <v>23</v>
      </c>
      <c r="J11" s="3" t="s">
        <v>69</v>
      </c>
      <c r="K11" s="3" t="s">
        <v>70</v>
      </c>
      <c r="L11" s="3" t="s">
        <v>61</v>
      </c>
      <c r="M11" s="3" t="s">
        <v>27</v>
      </c>
      <c r="N11" s="3" t="s">
        <v>62</v>
      </c>
      <c r="O11" s="5" t="str">
        <f t="shared" si="0"/>
        <v>Outstanding</v>
      </c>
      <c r="P11" s="13" t="s">
        <v>23</v>
      </c>
    </row>
    <row r="12" spans="1:16" ht="60" customHeight="1" x14ac:dyDescent="0.35">
      <c r="A12" s="11" t="s">
        <v>71</v>
      </c>
      <c r="B12" s="2" t="s">
        <v>72</v>
      </c>
      <c r="C12" s="3" t="s">
        <v>73</v>
      </c>
      <c r="D12" s="4" t="s">
        <v>58</v>
      </c>
      <c r="E12" s="4" t="s">
        <v>20</v>
      </c>
      <c r="F12" s="4" t="s">
        <v>21</v>
      </c>
      <c r="G12" s="4" t="s">
        <v>22</v>
      </c>
      <c r="H12" s="4" t="s">
        <v>23</v>
      </c>
      <c r="I12" s="1" t="s">
        <v>23</v>
      </c>
      <c r="J12" s="3" t="s">
        <v>74</v>
      </c>
      <c r="K12" s="3" t="s">
        <v>75</v>
      </c>
      <c r="L12" s="3" t="s">
        <v>76</v>
      </c>
      <c r="M12" s="3" t="s">
        <v>27</v>
      </c>
      <c r="N12" s="3" t="s">
        <v>77</v>
      </c>
      <c r="O12" s="5" t="str">
        <f t="shared" si="0"/>
        <v>Outstanding</v>
      </c>
      <c r="P12" s="13" t="s">
        <v>23</v>
      </c>
    </row>
    <row r="13" spans="1:16" ht="60" customHeight="1" x14ac:dyDescent="0.35">
      <c r="A13" s="11" t="s">
        <v>78</v>
      </c>
      <c r="B13" s="2" t="s">
        <v>79</v>
      </c>
      <c r="C13" s="3" t="s">
        <v>80</v>
      </c>
      <c r="D13" s="4" t="s">
        <v>40</v>
      </c>
      <c r="E13" s="4" t="s">
        <v>20</v>
      </c>
      <c r="F13" s="4" t="s">
        <v>21</v>
      </c>
      <c r="G13" s="4" t="s">
        <v>22</v>
      </c>
      <c r="H13" s="4" t="s">
        <v>23</v>
      </c>
      <c r="I13" s="1" t="s">
        <v>23</v>
      </c>
      <c r="J13" s="3" t="s">
        <v>81</v>
      </c>
      <c r="K13" s="3" t="s">
        <v>82</v>
      </c>
      <c r="L13" s="3" t="s">
        <v>83</v>
      </c>
      <c r="M13" s="3" t="s">
        <v>27</v>
      </c>
      <c r="N13" s="3" t="s">
        <v>84</v>
      </c>
      <c r="O13" s="5" t="str">
        <f t="shared" si="0"/>
        <v>Outstanding</v>
      </c>
      <c r="P13" s="13" t="s">
        <v>23</v>
      </c>
    </row>
    <row r="14" spans="1:16" ht="60" customHeight="1" x14ac:dyDescent="0.35">
      <c r="A14" s="11" t="s">
        <v>78</v>
      </c>
      <c r="B14" s="2" t="s">
        <v>85</v>
      </c>
      <c r="C14" s="3" t="s">
        <v>86</v>
      </c>
      <c r="D14" s="4" t="s">
        <v>40</v>
      </c>
      <c r="E14" s="4" t="s">
        <v>20</v>
      </c>
      <c r="F14" s="4" t="s">
        <v>21</v>
      </c>
      <c r="G14" s="4" t="s">
        <v>22</v>
      </c>
      <c r="H14" s="4" t="s">
        <v>23</v>
      </c>
      <c r="I14" s="1" t="s">
        <v>23</v>
      </c>
      <c r="J14" s="3" t="s">
        <v>87</v>
      </c>
      <c r="K14" s="3" t="s">
        <v>88</v>
      </c>
      <c r="L14" s="3" t="s">
        <v>83</v>
      </c>
      <c r="M14" s="3" t="s">
        <v>27</v>
      </c>
      <c r="N14" s="3" t="s">
        <v>84</v>
      </c>
      <c r="O14" s="5" t="str">
        <f t="shared" si="0"/>
        <v>Outstanding</v>
      </c>
      <c r="P14" s="13" t="s">
        <v>23</v>
      </c>
    </row>
    <row r="15" spans="1:16" ht="60" customHeight="1" x14ac:dyDescent="0.35">
      <c r="A15" s="11" t="s">
        <v>78</v>
      </c>
      <c r="B15" s="2" t="s">
        <v>89</v>
      </c>
      <c r="C15" s="3" t="s">
        <v>90</v>
      </c>
      <c r="D15" s="4" t="s">
        <v>40</v>
      </c>
      <c r="E15" s="4" t="s">
        <v>20</v>
      </c>
      <c r="F15" s="4" t="s">
        <v>21</v>
      </c>
      <c r="G15" s="4" t="s">
        <v>22</v>
      </c>
      <c r="H15" s="4" t="s">
        <v>23</v>
      </c>
      <c r="I15" s="1" t="s">
        <v>23</v>
      </c>
      <c r="J15" s="3" t="s">
        <v>91</v>
      </c>
      <c r="K15" s="3" t="s">
        <v>92</v>
      </c>
      <c r="L15" s="3" t="s">
        <v>83</v>
      </c>
      <c r="M15" s="3" t="s">
        <v>27</v>
      </c>
      <c r="N15" s="3" t="s">
        <v>84</v>
      </c>
      <c r="O15" s="5" t="str">
        <f t="shared" si="0"/>
        <v>Outstanding</v>
      </c>
      <c r="P15" s="13" t="s">
        <v>23</v>
      </c>
    </row>
    <row r="16" spans="1:16" ht="60" customHeight="1" x14ac:dyDescent="0.35">
      <c r="A16" s="11" t="s">
        <v>93</v>
      </c>
      <c r="B16" s="2" t="s">
        <v>94</v>
      </c>
      <c r="C16" s="3" t="s">
        <v>95</v>
      </c>
      <c r="D16" s="4" t="s">
        <v>58</v>
      </c>
      <c r="E16" s="4" t="s">
        <v>20</v>
      </c>
      <c r="F16" s="4" t="s">
        <v>21</v>
      </c>
      <c r="G16" s="4" t="s">
        <v>22</v>
      </c>
      <c r="H16" s="4" t="s">
        <v>23</v>
      </c>
      <c r="I16" s="1" t="s">
        <v>23</v>
      </c>
      <c r="J16" s="3" t="s">
        <v>96</v>
      </c>
      <c r="K16" s="3" t="s">
        <v>97</v>
      </c>
      <c r="L16" s="3" t="s">
        <v>98</v>
      </c>
      <c r="M16" s="3" t="s">
        <v>99</v>
      </c>
      <c r="N16" s="3" t="s">
        <v>100</v>
      </c>
      <c r="O16" s="5" t="str">
        <f t="shared" si="0"/>
        <v>Outstanding</v>
      </c>
      <c r="P16" s="13" t="s">
        <v>23</v>
      </c>
    </row>
    <row r="17" spans="1:16" ht="60" customHeight="1" x14ac:dyDescent="0.35">
      <c r="A17" s="11" t="s">
        <v>93</v>
      </c>
      <c r="B17" s="2" t="s">
        <v>101</v>
      </c>
      <c r="C17" s="3" t="s">
        <v>102</v>
      </c>
      <c r="D17" s="4" t="s">
        <v>58</v>
      </c>
      <c r="E17" s="4" t="s">
        <v>20</v>
      </c>
      <c r="F17" s="4" t="s">
        <v>21</v>
      </c>
      <c r="G17" s="4" t="s">
        <v>22</v>
      </c>
      <c r="H17" s="4" t="s">
        <v>23</v>
      </c>
      <c r="I17" s="1" t="s">
        <v>23</v>
      </c>
      <c r="J17" s="3" t="s">
        <v>96</v>
      </c>
      <c r="K17" s="3" t="s">
        <v>103</v>
      </c>
      <c r="L17" s="3" t="s">
        <v>98</v>
      </c>
      <c r="M17" s="3" t="s">
        <v>99</v>
      </c>
      <c r="N17" s="3" t="s">
        <v>100</v>
      </c>
      <c r="O17" s="5" t="str">
        <f t="shared" si="0"/>
        <v>Outstanding</v>
      </c>
      <c r="P17" s="13" t="s">
        <v>23</v>
      </c>
    </row>
    <row r="18" spans="1:16" ht="60" customHeight="1" x14ac:dyDescent="0.35">
      <c r="A18" s="11" t="s">
        <v>104</v>
      </c>
      <c r="B18" s="2" t="s">
        <v>105</v>
      </c>
      <c r="C18" s="3" t="s">
        <v>106</v>
      </c>
      <c r="D18" s="4" t="s">
        <v>40</v>
      </c>
      <c r="E18" s="4" t="s">
        <v>20</v>
      </c>
      <c r="F18" s="4" t="s">
        <v>21</v>
      </c>
      <c r="G18" s="4" t="s">
        <v>22</v>
      </c>
      <c r="H18" s="4" t="s">
        <v>23</v>
      </c>
      <c r="I18" s="1" t="s">
        <v>23</v>
      </c>
      <c r="J18" s="3" t="s">
        <v>107</v>
      </c>
      <c r="K18" s="3" t="s">
        <v>108</v>
      </c>
      <c r="L18" s="3" t="s">
        <v>109</v>
      </c>
      <c r="M18" s="3" t="s">
        <v>110</v>
      </c>
      <c r="N18" s="3" t="s">
        <v>111</v>
      </c>
      <c r="O18" s="5" t="str">
        <f t="shared" si="0"/>
        <v>Outstanding</v>
      </c>
      <c r="P18" s="13" t="s">
        <v>23</v>
      </c>
    </row>
    <row r="19" spans="1:16" ht="60" customHeight="1" x14ac:dyDescent="0.35">
      <c r="A19" s="11" t="s">
        <v>104</v>
      </c>
      <c r="B19" s="2" t="s">
        <v>112</v>
      </c>
      <c r="C19" s="3" t="s">
        <v>113</v>
      </c>
      <c r="D19" s="4" t="s">
        <v>40</v>
      </c>
      <c r="E19" s="4" t="s">
        <v>20</v>
      </c>
      <c r="F19" s="4" t="s">
        <v>21</v>
      </c>
      <c r="G19" s="4" t="s">
        <v>22</v>
      </c>
      <c r="H19" s="4" t="s">
        <v>23</v>
      </c>
      <c r="I19" s="1" t="s">
        <v>23</v>
      </c>
      <c r="J19" s="3" t="s">
        <v>107</v>
      </c>
      <c r="K19" s="3" t="s">
        <v>108</v>
      </c>
      <c r="L19" s="3" t="s">
        <v>109</v>
      </c>
      <c r="M19" s="3" t="s">
        <v>110</v>
      </c>
      <c r="N19" s="3" t="s">
        <v>111</v>
      </c>
      <c r="O19" s="5" t="str">
        <f t="shared" si="0"/>
        <v>Outstanding</v>
      </c>
      <c r="P19" s="13" t="s">
        <v>23</v>
      </c>
    </row>
    <row r="20" spans="1:16" ht="60" customHeight="1" x14ac:dyDescent="0.35">
      <c r="A20" s="11" t="s">
        <v>114</v>
      </c>
      <c r="B20" s="2" t="s">
        <v>115</v>
      </c>
      <c r="C20" s="3" t="s">
        <v>116</v>
      </c>
      <c r="D20" s="4" t="s">
        <v>40</v>
      </c>
      <c r="E20" s="4" t="s">
        <v>20</v>
      </c>
      <c r="F20" s="4" t="s">
        <v>21</v>
      </c>
      <c r="G20" s="4" t="s">
        <v>22</v>
      </c>
      <c r="H20" s="4" t="s">
        <v>23</v>
      </c>
      <c r="I20" s="1" t="s">
        <v>23</v>
      </c>
      <c r="J20" s="3" t="s">
        <v>117</v>
      </c>
      <c r="K20" s="3" t="s">
        <v>118</v>
      </c>
      <c r="L20" s="3" t="s">
        <v>119</v>
      </c>
      <c r="M20" s="3" t="s">
        <v>27</v>
      </c>
      <c r="N20" s="3" t="s">
        <v>120</v>
      </c>
      <c r="O20" s="5" t="str">
        <f t="shared" si="0"/>
        <v>Outstanding</v>
      </c>
      <c r="P20" s="13" t="s">
        <v>23</v>
      </c>
    </row>
    <row r="21" spans="1:16" ht="60" customHeight="1" x14ac:dyDescent="0.35">
      <c r="A21" s="12" t="s">
        <v>114</v>
      </c>
      <c r="B21" s="6" t="s">
        <v>121</v>
      </c>
      <c r="C21" s="7" t="s">
        <v>122</v>
      </c>
      <c r="D21" s="8" t="s">
        <v>40</v>
      </c>
      <c r="E21" s="8" t="s">
        <v>20</v>
      </c>
      <c r="F21" s="8" t="s">
        <v>21</v>
      </c>
      <c r="G21" s="8" t="s">
        <v>22</v>
      </c>
      <c r="H21" s="8" t="s">
        <v>23</v>
      </c>
      <c r="I21" s="9" t="s">
        <v>23</v>
      </c>
      <c r="J21" s="7" t="s">
        <v>123</v>
      </c>
      <c r="K21" s="7" t="s">
        <v>124</v>
      </c>
      <c r="L21" s="7" t="s">
        <v>119</v>
      </c>
      <c r="M21" s="7" t="s">
        <v>27</v>
      </c>
      <c r="N21" s="7" t="s">
        <v>120</v>
      </c>
      <c r="O21" s="10" t="str">
        <f t="shared" si="0"/>
        <v>Outstanding</v>
      </c>
      <c r="P21" s="14" t="s">
        <v>23</v>
      </c>
    </row>
    <row r="25" spans="1:16" ht="32" customHeight="1" x14ac:dyDescent="0.35">
      <c r="A25" s="78" t="s">
        <v>125</v>
      </c>
      <c r="B25" s="78"/>
      <c r="C25" s="78"/>
      <c r="D25" s="78"/>
    </row>
  </sheetData>
  <mergeCells count="1">
    <mergeCell ref="A25:D25"/>
  </mergeCells>
  <conditionalFormatting sqref="E2:E2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2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2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21" xr:uid="{00000000-0002-0000-0200-000000000000}">
      <formula1>"Must,Should,Could,Won't,Unassigned"</formula1>
    </dataValidation>
    <dataValidation type="list" showErrorMessage="1" errorTitle="Invalid Value" error="Please select a value from the list: Low, Medium, High, Unassessed." sqref="F2:F21" xr:uid="{00000000-0002-0000-0200-000001000000}">
      <formula1>"Low,Medium,High,Unassessed"</formula1>
    </dataValidation>
    <dataValidation type="list" showErrorMessage="1" errorTitle="Invalid Value" error="Please select a value from the list: Phase1, Phase2, Phase3, Phase4, Phase5, Pending." sqref="G2:G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21" xr:uid="{00000000-0002-0000-0200-000003000000}">
      <formula1>"Implemented,Testing,Failed,Compensated,Risk Accepted,N/A"</formula1>
    </dataValidation>
  </dataValidations>
  <hyperlinks>
    <hyperlink ref="A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5" t="s">
        <v>252</v>
      </c>
      <c r="C2" s="95" t="s">
        <v>252</v>
      </c>
      <c r="D2" s="95" t="s">
        <v>252</v>
      </c>
      <c r="E2" s="95" t="s">
        <v>252</v>
      </c>
      <c r="F2" s="95" t="s">
        <v>252</v>
      </c>
      <c r="G2" s="95" t="s">
        <v>252</v>
      </c>
      <c r="H2" s="99" t="s">
        <v>253</v>
      </c>
      <c r="I2" s="99" t="s">
        <v>253</v>
      </c>
      <c r="J2" s="99" t="s">
        <v>253</v>
      </c>
      <c r="K2" s="99" t="s">
        <v>253</v>
      </c>
      <c r="L2" s="99" t="s">
        <v>253</v>
      </c>
      <c r="M2" s="98" t="s">
        <v>254</v>
      </c>
      <c r="N2" s="98" t="s">
        <v>254</v>
      </c>
      <c r="O2" s="100" t="s">
        <v>255</v>
      </c>
      <c r="P2" s="100" t="s">
        <v>255</v>
      </c>
      <c r="Q2" s="96" t="s">
        <v>14</v>
      </c>
      <c r="R2" s="96" t="s">
        <v>14</v>
      </c>
      <c r="S2" s="96" t="s">
        <v>14</v>
      </c>
      <c r="T2" s="97" t="s">
        <v>256</v>
      </c>
    </row>
    <row r="3" spans="2:20" ht="35" customHeight="1" x14ac:dyDescent="0.35">
      <c r="B3" s="68" t="s">
        <v>257</v>
      </c>
      <c r="C3" s="68" t="s">
        <v>258</v>
      </c>
      <c r="D3" s="68" t="s">
        <v>259</v>
      </c>
      <c r="E3" s="68" t="s">
        <v>260</v>
      </c>
      <c r="F3" s="68" t="s">
        <v>261</v>
      </c>
      <c r="G3" s="68" t="s">
        <v>11</v>
      </c>
      <c r="H3" s="69" t="s">
        <v>262</v>
      </c>
      <c r="I3" s="69" t="s">
        <v>263</v>
      </c>
      <c r="J3" s="69" t="s">
        <v>264</v>
      </c>
      <c r="K3" s="69" t="s">
        <v>265</v>
      </c>
      <c r="L3" s="69" t="s">
        <v>197</v>
      </c>
      <c r="M3" s="70" t="s">
        <v>266</v>
      </c>
      <c r="N3" s="70" t="s">
        <v>267</v>
      </c>
      <c r="O3" s="71" t="s">
        <v>268</v>
      </c>
      <c r="P3" s="71" t="s">
        <v>269</v>
      </c>
      <c r="Q3" s="72" t="s">
        <v>14</v>
      </c>
      <c r="R3" s="72" t="s">
        <v>270</v>
      </c>
      <c r="S3" s="72" t="s">
        <v>271</v>
      </c>
      <c r="T3" s="73" t="s">
        <v>272</v>
      </c>
    </row>
    <row r="4" spans="2:20" ht="60" customHeight="1" x14ac:dyDescent="0.35">
      <c r="B4" s="74" t="s">
        <v>273</v>
      </c>
      <c r="C4" s="74" t="s">
        <v>274</v>
      </c>
      <c r="D4" s="74" t="s">
        <v>275</v>
      </c>
      <c r="E4" s="74" t="s">
        <v>276</v>
      </c>
      <c r="F4" s="74" t="s">
        <v>277</v>
      </c>
      <c r="G4" s="74" t="s">
        <v>278</v>
      </c>
      <c r="H4" s="74" t="s">
        <v>279</v>
      </c>
      <c r="I4" s="74" t="s">
        <v>280</v>
      </c>
      <c r="J4" s="74" t="s">
        <v>281</v>
      </c>
      <c r="K4" s="74" t="s">
        <v>282</v>
      </c>
      <c r="L4" s="74" t="s">
        <v>283</v>
      </c>
      <c r="M4" s="74" t="s">
        <v>284</v>
      </c>
      <c r="N4" s="74" t="s">
        <v>285</v>
      </c>
      <c r="O4" s="74" t="s">
        <v>286</v>
      </c>
      <c r="P4" s="74" t="s">
        <v>287</v>
      </c>
      <c r="Q4" s="74" t="s">
        <v>288</v>
      </c>
      <c r="R4" s="74" t="s">
        <v>289</v>
      </c>
      <c r="S4" s="74" t="s">
        <v>290</v>
      </c>
      <c r="T4" s="74" t="s">
        <v>291</v>
      </c>
    </row>
    <row r="5" spans="2:20" ht="60" customHeight="1" x14ac:dyDescent="0.35">
      <c r="B5" s="36" t="s">
        <v>292</v>
      </c>
      <c r="C5" s="75"/>
      <c r="D5" s="76"/>
      <c r="E5" s="76" t="s">
        <v>23</v>
      </c>
      <c r="F5" s="76" t="str">
        <f>IF(E5&lt;&gt;"", IFERROR(VLOOKUP(E5, Dashboard!$B48:$F53, 5, FALSE), ""), "")</f>
        <v/>
      </c>
      <c r="G5" s="77"/>
      <c r="H5" s="64"/>
      <c r="I5" s="64"/>
      <c r="J5" s="77"/>
      <c r="K5" s="77"/>
      <c r="L5" s="38"/>
      <c r="M5" s="38"/>
      <c r="N5" s="77"/>
      <c r="O5" s="77"/>
      <c r="P5" s="38"/>
      <c r="Q5" s="38" t="s">
        <v>23</v>
      </c>
      <c r="R5" s="77"/>
      <c r="S5" s="64"/>
      <c r="T5" s="77"/>
    </row>
    <row r="6" spans="2:20" ht="60" customHeight="1" x14ac:dyDescent="0.35">
      <c r="B6" s="36" t="s">
        <v>293</v>
      </c>
      <c r="C6" s="75"/>
      <c r="D6" s="76"/>
      <c r="E6" s="76" t="s">
        <v>23</v>
      </c>
      <c r="F6" s="76" t="str">
        <f>IF(E6&lt;&gt;"", IFERROR(VLOOKUP(E6, Dashboard!$B48:$F53, 5, FALSE), ""), "")</f>
        <v/>
      </c>
      <c r="G6" s="77"/>
      <c r="H6" s="64"/>
      <c r="I6" s="64"/>
      <c r="J6" s="77"/>
      <c r="K6" s="77"/>
      <c r="L6" s="38"/>
      <c r="M6" s="38"/>
      <c r="N6" s="77"/>
      <c r="O6" s="77"/>
      <c r="P6" s="38"/>
      <c r="Q6" s="38" t="s">
        <v>23</v>
      </c>
      <c r="R6" s="77"/>
      <c r="S6" s="64"/>
      <c r="T6" s="77"/>
    </row>
    <row r="7" spans="2:20" ht="60" customHeight="1" x14ac:dyDescent="0.35">
      <c r="B7" s="36" t="s">
        <v>294</v>
      </c>
      <c r="C7" s="75"/>
      <c r="D7" s="76"/>
      <c r="E7" s="76" t="s">
        <v>23</v>
      </c>
      <c r="F7" s="76" t="str">
        <f>IF(E7&lt;&gt;"", IFERROR(VLOOKUP(E7, Dashboard!$B48:$F53, 5, FALSE), ""), "")</f>
        <v/>
      </c>
      <c r="G7" s="77"/>
      <c r="H7" s="64"/>
      <c r="I7" s="64"/>
      <c r="J7" s="77"/>
      <c r="K7" s="77"/>
      <c r="L7" s="38"/>
      <c r="M7" s="38"/>
      <c r="N7" s="77"/>
      <c r="O7" s="77"/>
      <c r="P7" s="38"/>
      <c r="Q7" s="38" t="s">
        <v>23</v>
      </c>
      <c r="R7" s="77"/>
      <c r="S7" s="64"/>
      <c r="T7" s="77"/>
    </row>
    <row r="8" spans="2:20" ht="60" customHeight="1" x14ac:dyDescent="0.35">
      <c r="B8" s="36" t="s">
        <v>295</v>
      </c>
      <c r="C8" s="75"/>
      <c r="D8" s="76"/>
      <c r="E8" s="76" t="s">
        <v>23</v>
      </c>
      <c r="F8" s="76" t="str">
        <f>IF(E8&lt;&gt;"", IFERROR(VLOOKUP(E8, Dashboard!$B48:$F53, 5, FALSE), ""), "")</f>
        <v/>
      </c>
      <c r="G8" s="77"/>
      <c r="H8" s="64"/>
      <c r="I8" s="64"/>
      <c r="J8" s="77"/>
      <c r="K8" s="77"/>
      <c r="L8" s="38"/>
      <c r="M8" s="38"/>
      <c r="N8" s="77"/>
      <c r="O8" s="77"/>
      <c r="P8" s="38"/>
      <c r="Q8" s="38" t="s">
        <v>23</v>
      </c>
      <c r="R8" s="77"/>
      <c r="S8" s="64"/>
      <c r="T8" s="77"/>
    </row>
    <row r="9" spans="2:20" ht="60" customHeight="1" x14ac:dyDescent="0.35">
      <c r="B9" s="36" t="s">
        <v>296</v>
      </c>
      <c r="C9" s="75"/>
      <c r="D9" s="76"/>
      <c r="E9" s="76" t="s">
        <v>23</v>
      </c>
      <c r="F9" s="76" t="str">
        <f>IF(E9&lt;&gt;"", IFERROR(VLOOKUP(E9, Dashboard!$B48:$F53, 5, FALSE), ""), "")</f>
        <v/>
      </c>
      <c r="G9" s="77"/>
      <c r="H9" s="64"/>
      <c r="I9" s="64"/>
      <c r="J9" s="77"/>
      <c r="K9" s="77"/>
      <c r="L9" s="38"/>
      <c r="M9" s="38"/>
      <c r="N9" s="77"/>
      <c r="O9" s="77"/>
      <c r="P9" s="38"/>
      <c r="Q9" s="38" t="s">
        <v>23</v>
      </c>
      <c r="R9" s="77"/>
      <c r="S9" s="64"/>
      <c r="T9" s="77"/>
    </row>
    <row r="10" spans="2:20" ht="60" customHeight="1" x14ac:dyDescent="0.35">
      <c r="B10" s="36" t="s">
        <v>297</v>
      </c>
      <c r="C10" s="75"/>
      <c r="D10" s="76"/>
      <c r="E10" s="76" t="s">
        <v>23</v>
      </c>
      <c r="F10" s="76" t="str">
        <f>IF(E10&lt;&gt;"", IFERROR(VLOOKUP(E10, Dashboard!$B48:$F53, 5, FALSE), ""), "")</f>
        <v/>
      </c>
      <c r="G10" s="77"/>
      <c r="H10" s="64"/>
      <c r="I10" s="64"/>
      <c r="J10" s="77"/>
      <c r="K10" s="77"/>
      <c r="L10" s="38"/>
      <c r="M10" s="38"/>
      <c r="N10" s="77"/>
      <c r="O10" s="77"/>
      <c r="P10" s="38"/>
      <c r="Q10" s="38" t="s">
        <v>23</v>
      </c>
      <c r="R10" s="77"/>
      <c r="S10" s="64"/>
      <c r="T10" s="77"/>
    </row>
    <row r="11" spans="2:20" ht="60" customHeight="1" x14ac:dyDescent="0.35">
      <c r="B11" s="36" t="s">
        <v>298</v>
      </c>
      <c r="C11" s="75"/>
      <c r="D11" s="76"/>
      <c r="E11" s="76" t="s">
        <v>23</v>
      </c>
      <c r="F11" s="76" t="str">
        <f>IF(E11&lt;&gt;"", IFERROR(VLOOKUP(E11, Dashboard!$B48:$F53, 5, FALSE), ""), "")</f>
        <v/>
      </c>
      <c r="G11" s="77"/>
      <c r="H11" s="64"/>
      <c r="I11" s="64"/>
      <c r="J11" s="77"/>
      <c r="K11" s="77"/>
      <c r="L11" s="38"/>
      <c r="M11" s="38"/>
      <c r="N11" s="77"/>
      <c r="O11" s="77"/>
      <c r="P11" s="38"/>
      <c r="Q11" s="38" t="s">
        <v>23</v>
      </c>
      <c r="R11" s="77"/>
      <c r="S11" s="64"/>
      <c r="T11" s="77"/>
    </row>
    <row r="12" spans="2:20" ht="60" customHeight="1" x14ac:dyDescent="0.35">
      <c r="B12" s="36" t="s">
        <v>299</v>
      </c>
      <c r="C12" s="75"/>
      <c r="D12" s="76"/>
      <c r="E12" s="76" t="s">
        <v>23</v>
      </c>
      <c r="F12" s="76" t="str">
        <f>IF(E12&lt;&gt;"", IFERROR(VLOOKUP(E12, Dashboard!$B48:$F53, 5, FALSE), ""), "")</f>
        <v/>
      </c>
      <c r="G12" s="77"/>
      <c r="H12" s="64"/>
      <c r="I12" s="64"/>
      <c r="J12" s="77"/>
      <c r="K12" s="77"/>
      <c r="L12" s="38"/>
      <c r="M12" s="38"/>
      <c r="N12" s="77"/>
      <c r="O12" s="77"/>
      <c r="P12" s="38"/>
      <c r="Q12" s="38" t="s">
        <v>23</v>
      </c>
      <c r="R12" s="77"/>
      <c r="S12" s="64"/>
      <c r="T12" s="77"/>
    </row>
    <row r="13" spans="2:20" ht="60" customHeight="1" x14ac:dyDescent="0.35">
      <c r="B13" s="36" t="s">
        <v>300</v>
      </c>
      <c r="C13" s="75"/>
      <c r="D13" s="76"/>
      <c r="E13" s="76" t="s">
        <v>23</v>
      </c>
      <c r="F13" s="76" t="str">
        <f>IF(E13&lt;&gt;"", IFERROR(VLOOKUP(E13, Dashboard!$B48:$F53, 5, FALSE), ""), "")</f>
        <v/>
      </c>
      <c r="G13" s="77"/>
      <c r="H13" s="64"/>
      <c r="I13" s="64"/>
      <c r="J13" s="77"/>
      <c r="K13" s="77"/>
      <c r="L13" s="38"/>
      <c r="M13" s="38"/>
      <c r="N13" s="77"/>
      <c r="O13" s="77"/>
      <c r="P13" s="38"/>
      <c r="Q13" s="38" t="s">
        <v>23</v>
      </c>
      <c r="R13" s="77"/>
      <c r="S13" s="64"/>
      <c r="T13" s="77"/>
    </row>
    <row r="14" spans="2:20" ht="60" customHeight="1" x14ac:dyDescent="0.35">
      <c r="B14" s="36" t="s">
        <v>301</v>
      </c>
      <c r="C14" s="75"/>
      <c r="D14" s="76"/>
      <c r="E14" s="76" t="s">
        <v>23</v>
      </c>
      <c r="F14" s="76" t="str">
        <f>IF(E14&lt;&gt;"", IFERROR(VLOOKUP(E14, Dashboard!$B48:$F53, 5, FALSE), ""), "")</f>
        <v/>
      </c>
      <c r="G14" s="77"/>
      <c r="H14" s="64"/>
      <c r="I14" s="64"/>
      <c r="J14" s="77"/>
      <c r="K14" s="77"/>
      <c r="L14" s="38"/>
      <c r="M14" s="38"/>
      <c r="N14" s="77"/>
      <c r="O14" s="77"/>
      <c r="P14" s="38"/>
      <c r="Q14" s="38" t="s">
        <v>23</v>
      </c>
      <c r="R14" s="77"/>
      <c r="S14" s="64"/>
      <c r="T14" s="77"/>
    </row>
    <row r="15" spans="2:20" ht="60" customHeight="1" x14ac:dyDescent="0.35">
      <c r="B15" s="36" t="s">
        <v>302</v>
      </c>
      <c r="C15" s="75"/>
      <c r="D15" s="76"/>
      <c r="E15" s="76" t="s">
        <v>23</v>
      </c>
      <c r="F15" s="76" t="str">
        <f>IF(E15&lt;&gt;"", IFERROR(VLOOKUP(E15, Dashboard!$B48:$F53, 5, FALSE), ""), "")</f>
        <v/>
      </c>
      <c r="G15" s="77"/>
      <c r="H15" s="64"/>
      <c r="I15" s="64"/>
      <c r="J15" s="77"/>
      <c r="K15" s="77"/>
      <c r="L15" s="38"/>
      <c r="M15" s="38"/>
      <c r="N15" s="77"/>
      <c r="O15" s="77"/>
      <c r="P15" s="38"/>
      <c r="Q15" s="38" t="s">
        <v>23</v>
      </c>
      <c r="R15" s="77"/>
      <c r="S15" s="64"/>
      <c r="T15" s="77"/>
    </row>
    <row r="16" spans="2:20" ht="60" customHeight="1" x14ac:dyDescent="0.35">
      <c r="B16" s="36" t="s">
        <v>303</v>
      </c>
      <c r="C16" s="75"/>
      <c r="D16" s="76"/>
      <c r="E16" s="76" t="s">
        <v>23</v>
      </c>
      <c r="F16" s="76" t="str">
        <f>IF(E16&lt;&gt;"", IFERROR(VLOOKUP(E16, Dashboard!$B48:$F53, 5, FALSE), ""), "")</f>
        <v/>
      </c>
      <c r="G16" s="77"/>
      <c r="H16" s="64"/>
      <c r="I16" s="64"/>
      <c r="J16" s="77"/>
      <c r="K16" s="77"/>
      <c r="L16" s="38"/>
      <c r="M16" s="38"/>
      <c r="N16" s="77"/>
      <c r="O16" s="77"/>
      <c r="P16" s="38"/>
      <c r="Q16" s="38" t="s">
        <v>23</v>
      </c>
      <c r="R16" s="77"/>
      <c r="S16" s="64"/>
      <c r="T16" s="77"/>
    </row>
    <row r="17" spans="2:20" ht="60" customHeight="1" x14ac:dyDescent="0.35">
      <c r="B17" s="36" t="s">
        <v>304</v>
      </c>
      <c r="C17" s="75"/>
      <c r="D17" s="76"/>
      <c r="E17" s="76" t="s">
        <v>23</v>
      </c>
      <c r="F17" s="76" t="str">
        <f>IF(E17&lt;&gt;"", IFERROR(VLOOKUP(E17, Dashboard!$B48:$F53, 5, FALSE), ""), "")</f>
        <v/>
      </c>
      <c r="G17" s="77"/>
      <c r="H17" s="64"/>
      <c r="I17" s="64"/>
      <c r="J17" s="77"/>
      <c r="K17" s="77"/>
      <c r="L17" s="38"/>
      <c r="M17" s="38"/>
      <c r="N17" s="77"/>
      <c r="O17" s="77"/>
      <c r="P17" s="38"/>
      <c r="Q17" s="38" t="s">
        <v>23</v>
      </c>
      <c r="R17" s="77"/>
      <c r="S17" s="64"/>
      <c r="T17" s="77"/>
    </row>
    <row r="18" spans="2:20" ht="60" customHeight="1" x14ac:dyDescent="0.35">
      <c r="B18" s="36" t="s">
        <v>305</v>
      </c>
      <c r="C18" s="75"/>
      <c r="D18" s="76"/>
      <c r="E18" s="76" t="s">
        <v>23</v>
      </c>
      <c r="F18" s="76" t="str">
        <f>IF(E18&lt;&gt;"", IFERROR(VLOOKUP(E18, Dashboard!$B48:$F53, 5, FALSE), ""), "")</f>
        <v/>
      </c>
      <c r="G18" s="77"/>
      <c r="H18" s="64"/>
      <c r="I18" s="64"/>
      <c r="J18" s="77"/>
      <c r="K18" s="77"/>
      <c r="L18" s="38"/>
      <c r="M18" s="38"/>
      <c r="N18" s="77"/>
      <c r="O18" s="77"/>
      <c r="P18" s="38"/>
      <c r="Q18" s="38" t="s">
        <v>23</v>
      </c>
      <c r="R18" s="77"/>
      <c r="S18" s="64"/>
      <c r="T18" s="77"/>
    </row>
    <row r="19" spans="2:20" ht="60" customHeight="1" x14ac:dyDescent="0.35">
      <c r="B19" s="36" t="s">
        <v>306</v>
      </c>
      <c r="C19" s="75"/>
      <c r="D19" s="76"/>
      <c r="E19" s="76" t="s">
        <v>23</v>
      </c>
      <c r="F19" s="76" t="str">
        <f>IF(E19&lt;&gt;"", IFERROR(VLOOKUP(E19, Dashboard!$B48:$F53, 5, FALSE), ""), "")</f>
        <v/>
      </c>
      <c r="G19" s="77"/>
      <c r="H19" s="64"/>
      <c r="I19" s="64"/>
      <c r="J19" s="77"/>
      <c r="K19" s="77"/>
      <c r="L19" s="38"/>
      <c r="M19" s="38"/>
      <c r="N19" s="77"/>
      <c r="O19" s="77"/>
      <c r="P19" s="38"/>
      <c r="Q19" s="38" t="s">
        <v>23</v>
      </c>
      <c r="R19" s="77"/>
      <c r="S19" s="64"/>
      <c r="T19" s="77"/>
    </row>
    <row r="20" spans="2:20" ht="60" customHeight="1" x14ac:dyDescent="0.35">
      <c r="B20" s="36" t="s">
        <v>307</v>
      </c>
      <c r="C20" s="75"/>
      <c r="D20" s="76"/>
      <c r="E20" s="76" t="s">
        <v>23</v>
      </c>
      <c r="F20" s="76" t="str">
        <f>IF(E20&lt;&gt;"", IFERROR(VLOOKUP(E20, Dashboard!$B48:$F53, 5, FALSE), ""), "")</f>
        <v/>
      </c>
      <c r="G20" s="77"/>
      <c r="H20" s="64"/>
      <c r="I20" s="64"/>
      <c r="J20" s="77"/>
      <c r="K20" s="77"/>
      <c r="L20" s="38"/>
      <c r="M20" s="38"/>
      <c r="N20" s="77"/>
      <c r="O20" s="77"/>
      <c r="P20" s="38"/>
      <c r="Q20" s="38" t="s">
        <v>23</v>
      </c>
      <c r="R20" s="77"/>
      <c r="S20" s="64"/>
      <c r="T20" s="77"/>
    </row>
    <row r="21" spans="2:20" ht="60" customHeight="1" x14ac:dyDescent="0.35">
      <c r="B21" s="36" t="s">
        <v>308</v>
      </c>
      <c r="C21" s="75"/>
      <c r="D21" s="76"/>
      <c r="E21" s="76" t="s">
        <v>23</v>
      </c>
      <c r="F21" s="76" t="str">
        <f>IF(E21&lt;&gt;"", IFERROR(VLOOKUP(E21, Dashboard!$B48:$F53, 5, FALSE), ""), "")</f>
        <v/>
      </c>
      <c r="G21" s="77"/>
      <c r="H21" s="64"/>
      <c r="I21" s="64"/>
      <c r="J21" s="77"/>
      <c r="K21" s="77"/>
      <c r="L21" s="38"/>
      <c r="M21" s="38"/>
      <c r="N21" s="77"/>
      <c r="O21" s="77"/>
      <c r="P21" s="38"/>
      <c r="Q21" s="38" t="s">
        <v>23</v>
      </c>
      <c r="R21" s="77"/>
      <c r="S21" s="64"/>
      <c r="T21" s="77"/>
    </row>
    <row r="22" spans="2:20" ht="60" customHeight="1" x14ac:dyDescent="0.35">
      <c r="B22" s="36" t="s">
        <v>309</v>
      </c>
      <c r="C22" s="75"/>
      <c r="D22" s="76"/>
      <c r="E22" s="76" t="s">
        <v>23</v>
      </c>
      <c r="F22" s="76" t="str">
        <f>IF(E22&lt;&gt;"", IFERROR(VLOOKUP(E22, Dashboard!$B48:$F53, 5, FALSE), ""), "")</f>
        <v/>
      </c>
      <c r="G22" s="77"/>
      <c r="H22" s="64"/>
      <c r="I22" s="64"/>
      <c r="J22" s="77"/>
      <c r="K22" s="77"/>
      <c r="L22" s="38"/>
      <c r="M22" s="38"/>
      <c r="N22" s="77"/>
      <c r="O22" s="77"/>
      <c r="P22" s="38"/>
      <c r="Q22" s="38" t="s">
        <v>23</v>
      </c>
      <c r="R22" s="77"/>
      <c r="S22" s="64"/>
      <c r="T22" s="77"/>
    </row>
    <row r="23" spans="2:20" ht="60" customHeight="1" x14ac:dyDescent="0.35">
      <c r="B23" s="36" t="s">
        <v>310</v>
      </c>
      <c r="C23" s="75"/>
      <c r="D23" s="76"/>
      <c r="E23" s="76" t="s">
        <v>23</v>
      </c>
      <c r="F23" s="76" t="str">
        <f>IF(E23&lt;&gt;"", IFERROR(VLOOKUP(E23, Dashboard!$B48:$F53, 5, FALSE), ""), "")</f>
        <v/>
      </c>
      <c r="G23" s="77"/>
      <c r="H23" s="64"/>
      <c r="I23" s="64"/>
      <c r="J23" s="77"/>
      <c r="K23" s="77"/>
      <c r="L23" s="38"/>
      <c r="M23" s="38"/>
      <c r="N23" s="77"/>
      <c r="O23" s="77"/>
      <c r="P23" s="38"/>
      <c r="Q23" s="38" t="s">
        <v>23</v>
      </c>
      <c r="R23" s="77"/>
      <c r="S23" s="64"/>
      <c r="T23" s="77"/>
    </row>
    <row r="24" spans="2:20" ht="60" customHeight="1" x14ac:dyDescent="0.35">
      <c r="B24" s="36" t="s">
        <v>311</v>
      </c>
      <c r="C24" s="75"/>
      <c r="D24" s="76"/>
      <c r="E24" s="76" t="s">
        <v>23</v>
      </c>
      <c r="F24" s="76" t="str">
        <f>IF(E24&lt;&gt;"", IFERROR(VLOOKUP(E24, Dashboard!$B48:$F53, 5, FALSE), ""), "")</f>
        <v/>
      </c>
      <c r="G24" s="77"/>
      <c r="H24" s="64"/>
      <c r="I24" s="64"/>
      <c r="J24" s="77"/>
      <c r="K24" s="77"/>
      <c r="L24" s="38"/>
      <c r="M24" s="38"/>
      <c r="N24" s="77"/>
      <c r="O24" s="77"/>
      <c r="P24" s="38"/>
      <c r="Q24" s="38" t="s">
        <v>23</v>
      </c>
      <c r="R24" s="77"/>
      <c r="S24" s="64"/>
      <c r="T24" s="77"/>
    </row>
    <row r="25" spans="2:20" ht="60" customHeight="1" x14ac:dyDescent="0.35">
      <c r="B25" s="36" t="s">
        <v>312</v>
      </c>
      <c r="C25" s="75"/>
      <c r="D25" s="76"/>
      <c r="E25" s="76" t="s">
        <v>23</v>
      </c>
      <c r="F25" s="76" t="str">
        <f>IF(E25&lt;&gt;"", IFERROR(VLOOKUP(E25, Dashboard!$B48:$F53, 5, FALSE), ""), "")</f>
        <v/>
      </c>
      <c r="G25" s="77"/>
      <c r="H25" s="64"/>
      <c r="I25" s="64"/>
      <c r="J25" s="77"/>
      <c r="K25" s="77"/>
      <c r="L25" s="38"/>
      <c r="M25" s="38"/>
      <c r="N25" s="77"/>
      <c r="O25" s="77"/>
      <c r="P25" s="38"/>
      <c r="Q25" s="38" t="s">
        <v>23</v>
      </c>
      <c r="R25" s="77"/>
      <c r="S25" s="64"/>
      <c r="T25" s="77"/>
    </row>
    <row r="26" spans="2:20" ht="60" customHeight="1" x14ac:dyDescent="0.35">
      <c r="B26" s="36" t="s">
        <v>313</v>
      </c>
      <c r="C26" s="75"/>
      <c r="D26" s="76"/>
      <c r="E26" s="76" t="s">
        <v>23</v>
      </c>
      <c r="F26" s="76" t="str">
        <f>IF(E26&lt;&gt;"", IFERROR(VLOOKUP(E26, Dashboard!$B48:$F53, 5, FALSE), ""), "")</f>
        <v/>
      </c>
      <c r="G26" s="77"/>
      <c r="H26" s="64"/>
      <c r="I26" s="64"/>
      <c r="J26" s="77"/>
      <c r="K26" s="77"/>
      <c r="L26" s="38"/>
      <c r="M26" s="38"/>
      <c r="N26" s="77"/>
      <c r="O26" s="77"/>
      <c r="P26" s="38"/>
      <c r="Q26" s="38" t="s">
        <v>23</v>
      </c>
      <c r="R26" s="77"/>
      <c r="S26" s="64"/>
      <c r="T26" s="77"/>
    </row>
    <row r="27" spans="2:20" ht="60" customHeight="1" x14ac:dyDescent="0.35">
      <c r="B27" s="36" t="s">
        <v>314</v>
      </c>
      <c r="C27" s="75"/>
      <c r="D27" s="76"/>
      <c r="E27" s="76" t="s">
        <v>23</v>
      </c>
      <c r="F27" s="76" t="str">
        <f>IF(E27&lt;&gt;"", IFERROR(VLOOKUP(E27, Dashboard!$B48:$F53, 5, FALSE), ""), "")</f>
        <v/>
      </c>
      <c r="G27" s="77"/>
      <c r="H27" s="64"/>
      <c r="I27" s="64"/>
      <c r="J27" s="77"/>
      <c r="K27" s="77"/>
      <c r="L27" s="38"/>
      <c r="M27" s="38"/>
      <c r="N27" s="77"/>
      <c r="O27" s="77"/>
      <c r="P27" s="38"/>
      <c r="Q27" s="38" t="s">
        <v>23</v>
      </c>
      <c r="R27" s="77"/>
      <c r="S27" s="64"/>
      <c r="T27" s="77"/>
    </row>
    <row r="28" spans="2:20" ht="60" customHeight="1" x14ac:dyDescent="0.35">
      <c r="B28" s="36" t="s">
        <v>315</v>
      </c>
      <c r="C28" s="75"/>
      <c r="D28" s="76"/>
      <c r="E28" s="76" t="s">
        <v>23</v>
      </c>
      <c r="F28" s="76" t="str">
        <f>IF(E28&lt;&gt;"", IFERROR(VLOOKUP(E28, Dashboard!$B48:$F53, 5, FALSE), ""), "")</f>
        <v/>
      </c>
      <c r="G28" s="77"/>
      <c r="H28" s="64"/>
      <c r="I28" s="64"/>
      <c r="J28" s="77"/>
      <c r="K28" s="77"/>
      <c r="L28" s="38"/>
      <c r="M28" s="38"/>
      <c r="N28" s="77"/>
      <c r="O28" s="77"/>
      <c r="P28" s="38"/>
      <c r="Q28" s="38" t="s">
        <v>23</v>
      </c>
      <c r="R28" s="77"/>
      <c r="S28" s="64"/>
      <c r="T28" s="77"/>
    </row>
    <row r="29" spans="2:20" ht="60" customHeight="1" x14ac:dyDescent="0.35">
      <c r="B29" s="36" t="s">
        <v>316</v>
      </c>
      <c r="C29" s="75"/>
      <c r="D29" s="76"/>
      <c r="E29" s="76" t="s">
        <v>23</v>
      </c>
      <c r="F29" s="76" t="str">
        <f>IF(E29&lt;&gt;"", IFERROR(VLOOKUP(E29, Dashboard!$B48:$F53, 5, FALSE), ""), "")</f>
        <v/>
      </c>
      <c r="G29" s="77"/>
      <c r="H29" s="64"/>
      <c r="I29" s="64"/>
      <c r="J29" s="77"/>
      <c r="K29" s="77"/>
      <c r="L29" s="38"/>
      <c r="M29" s="38"/>
      <c r="N29" s="77"/>
      <c r="O29" s="77"/>
      <c r="P29" s="38"/>
      <c r="Q29" s="38" t="s">
        <v>23</v>
      </c>
      <c r="R29" s="77"/>
      <c r="S29" s="64"/>
      <c r="T29" s="77"/>
    </row>
    <row r="30" spans="2:20" ht="60" customHeight="1" x14ac:dyDescent="0.35">
      <c r="B30" s="36" t="s">
        <v>317</v>
      </c>
      <c r="C30" s="75"/>
      <c r="D30" s="76"/>
      <c r="E30" s="76" t="s">
        <v>23</v>
      </c>
      <c r="F30" s="76" t="str">
        <f>IF(E30&lt;&gt;"", IFERROR(VLOOKUP(E30, Dashboard!$B48:$F53, 5, FALSE), ""), "")</f>
        <v/>
      </c>
      <c r="G30" s="77"/>
      <c r="H30" s="64"/>
      <c r="I30" s="64"/>
      <c r="J30" s="77"/>
      <c r="K30" s="77"/>
      <c r="L30" s="38"/>
      <c r="M30" s="38"/>
      <c r="N30" s="77"/>
      <c r="O30" s="77"/>
      <c r="P30" s="38"/>
      <c r="Q30" s="38" t="s">
        <v>23</v>
      </c>
      <c r="R30" s="77"/>
      <c r="S30" s="64"/>
      <c r="T30" s="77"/>
    </row>
    <row r="31" spans="2:20" ht="60" customHeight="1" x14ac:dyDescent="0.35">
      <c r="B31" s="36" t="s">
        <v>318</v>
      </c>
      <c r="C31" s="75"/>
      <c r="D31" s="76"/>
      <c r="E31" s="76" t="s">
        <v>23</v>
      </c>
      <c r="F31" s="76" t="str">
        <f>IF(E31&lt;&gt;"", IFERROR(VLOOKUP(E31, Dashboard!$B48:$F53, 5, FALSE), ""), "")</f>
        <v/>
      </c>
      <c r="G31" s="77"/>
      <c r="H31" s="64"/>
      <c r="I31" s="64"/>
      <c r="J31" s="77"/>
      <c r="K31" s="77"/>
      <c r="L31" s="38"/>
      <c r="M31" s="38"/>
      <c r="N31" s="77"/>
      <c r="O31" s="77"/>
      <c r="P31" s="38"/>
      <c r="Q31" s="38" t="s">
        <v>23</v>
      </c>
      <c r="R31" s="77"/>
      <c r="S31" s="64"/>
      <c r="T31" s="77"/>
    </row>
    <row r="32" spans="2:20" ht="60" customHeight="1" x14ac:dyDescent="0.35">
      <c r="B32" s="36" t="s">
        <v>319</v>
      </c>
      <c r="C32" s="75"/>
      <c r="D32" s="76"/>
      <c r="E32" s="76" t="s">
        <v>23</v>
      </c>
      <c r="F32" s="76" t="str">
        <f>IF(E32&lt;&gt;"", IFERROR(VLOOKUP(E32, Dashboard!$B48:$F53, 5, FALSE), ""), "")</f>
        <v/>
      </c>
      <c r="G32" s="77"/>
      <c r="H32" s="64"/>
      <c r="I32" s="64"/>
      <c r="J32" s="77"/>
      <c r="K32" s="77"/>
      <c r="L32" s="38"/>
      <c r="M32" s="38"/>
      <c r="N32" s="77"/>
      <c r="O32" s="77"/>
      <c r="P32" s="38"/>
      <c r="Q32" s="38" t="s">
        <v>23</v>
      </c>
      <c r="R32" s="77"/>
      <c r="S32" s="64"/>
      <c r="T32" s="77"/>
    </row>
    <row r="33" spans="2:20" ht="60" customHeight="1" x14ac:dyDescent="0.35">
      <c r="B33" s="36" t="s">
        <v>320</v>
      </c>
      <c r="C33" s="75"/>
      <c r="D33" s="76"/>
      <c r="E33" s="76" t="s">
        <v>23</v>
      </c>
      <c r="F33" s="76" t="str">
        <f>IF(E33&lt;&gt;"", IFERROR(VLOOKUP(E33, Dashboard!$B48:$F53, 5, FALSE), ""), "")</f>
        <v/>
      </c>
      <c r="G33" s="77"/>
      <c r="H33" s="64"/>
      <c r="I33" s="64"/>
      <c r="J33" s="77"/>
      <c r="K33" s="77"/>
      <c r="L33" s="38"/>
      <c r="M33" s="38"/>
      <c r="N33" s="77"/>
      <c r="O33" s="77"/>
      <c r="P33" s="38"/>
      <c r="Q33" s="38" t="s">
        <v>23</v>
      </c>
      <c r="R33" s="77"/>
      <c r="S33" s="64"/>
      <c r="T33" s="77"/>
    </row>
    <row r="34" spans="2:20" ht="60" customHeight="1" x14ac:dyDescent="0.35">
      <c r="B34" s="36" t="s">
        <v>321</v>
      </c>
      <c r="C34" s="75"/>
      <c r="D34" s="76"/>
      <c r="E34" s="76" t="s">
        <v>23</v>
      </c>
      <c r="F34" s="76" t="str">
        <f>IF(E34&lt;&gt;"", IFERROR(VLOOKUP(E34, Dashboard!$B48:$F53, 5, FALSE), ""), "")</f>
        <v/>
      </c>
      <c r="G34" s="77"/>
      <c r="H34" s="64"/>
      <c r="I34" s="64"/>
      <c r="J34" s="77"/>
      <c r="K34" s="77"/>
      <c r="L34" s="38"/>
      <c r="M34" s="38"/>
      <c r="N34" s="77"/>
      <c r="O34" s="77"/>
      <c r="P34" s="38"/>
      <c r="Q34" s="38" t="s">
        <v>23</v>
      </c>
      <c r="R34" s="77"/>
      <c r="S34" s="64"/>
      <c r="T34" s="77"/>
    </row>
    <row r="35" spans="2:20" ht="60" customHeight="1" x14ac:dyDescent="0.35">
      <c r="B35" s="36" t="s">
        <v>322</v>
      </c>
      <c r="C35" s="75"/>
      <c r="D35" s="76"/>
      <c r="E35" s="76" t="s">
        <v>23</v>
      </c>
      <c r="F35" s="76" t="str">
        <f>IF(E35&lt;&gt;"", IFERROR(VLOOKUP(E35, Dashboard!$B48:$F53, 5, FALSE), ""), "")</f>
        <v/>
      </c>
      <c r="G35" s="77"/>
      <c r="H35" s="64"/>
      <c r="I35" s="64"/>
      <c r="J35" s="77"/>
      <c r="K35" s="77"/>
      <c r="L35" s="38"/>
      <c r="M35" s="38"/>
      <c r="N35" s="77"/>
      <c r="O35" s="77"/>
      <c r="P35" s="38"/>
      <c r="Q35" s="38" t="s">
        <v>23</v>
      </c>
      <c r="R35" s="77"/>
      <c r="S35" s="64"/>
      <c r="T35" s="77"/>
    </row>
    <row r="36" spans="2:20" ht="60" customHeight="1" x14ac:dyDescent="0.35">
      <c r="B36" s="36" t="s">
        <v>323</v>
      </c>
      <c r="C36" s="75"/>
      <c r="D36" s="76"/>
      <c r="E36" s="76" t="s">
        <v>23</v>
      </c>
      <c r="F36" s="76" t="str">
        <f>IF(E36&lt;&gt;"", IFERROR(VLOOKUP(E36, Dashboard!$B48:$F53, 5, FALSE), ""), "")</f>
        <v/>
      </c>
      <c r="G36" s="77"/>
      <c r="H36" s="64"/>
      <c r="I36" s="64"/>
      <c r="J36" s="77"/>
      <c r="K36" s="77"/>
      <c r="L36" s="38"/>
      <c r="M36" s="38"/>
      <c r="N36" s="77"/>
      <c r="O36" s="77"/>
      <c r="P36" s="38"/>
      <c r="Q36" s="38" t="s">
        <v>23</v>
      </c>
      <c r="R36" s="77"/>
      <c r="S36" s="64"/>
      <c r="T36" s="77"/>
    </row>
    <row r="37" spans="2:20" ht="60" customHeight="1" x14ac:dyDescent="0.35">
      <c r="B37" s="36" t="s">
        <v>324</v>
      </c>
      <c r="C37" s="75"/>
      <c r="D37" s="76"/>
      <c r="E37" s="76" t="s">
        <v>23</v>
      </c>
      <c r="F37" s="76" t="str">
        <f>IF(E37&lt;&gt;"", IFERROR(VLOOKUP(E37, Dashboard!$B48:$F53, 5, FALSE), ""), "")</f>
        <v/>
      </c>
      <c r="G37" s="77"/>
      <c r="H37" s="64"/>
      <c r="I37" s="64"/>
      <c r="J37" s="77"/>
      <c r="K37" s="77"/>
      <c r="L37" s="38"/>
      <c r="M37" s="38"/>
      <c r="N37" s="77"/>
      <c r="O37" s="77"/>
      <c r="P37" s="38"/>
      <c r="Q37" s="38" t="s">
        <v>23</v>
      </c>
      <c r="R37" s="77"/>
      <c r="S37" s="64"/>
      <c r="T37" s="77"/>
    </row>
    <row r="38" spans="2:20" ht="60" customHeight="1" x14ac:dyDescent="0.35">
      <c r="B38" s="36" t="s">
        <v>325</v>
      </c>
      <c r="C38" s="75"/>
      <c r="D38" s="76"/>
      <c r="E38" s="76" t="s">
        <v>23</v>
      </c>
      <c r="F38" s="76" t="str">
        <f>IF(E38&lt;&gt;"", IFERROR(VLOOKUP(E38, Dashboard!$B48:$F53, 5, FALSE), ""), "")</f>
        <v/>
      </c>
      <c r="G38" s="77"/>
      <c r="H38" s="64"/>
      <c r="I38" s="64"/>
      <c r="J38" s="77"/>
      <c r="K38" s="77"/>
      <c r="L38" s="38"/>
      <c r="M38" s="38"/>
      <c r="N38" s="77"/>
      <c r="O38" s="77"/>
      <c r="P38" s="38"/>
      <c r="Q38" s="38" t="s">
        <v>23</v>
      </c>
      <c r="R38" s="77"/>
      <c r="S38" s="64"/>
      <c r="T38" s="77"/>
    </row>
    <row r="39" spans="2:20" ht="60" customHeight="1" x14ac:dyDescent="0.35">
      <c r="B39" s="36" t="s">
        <v>326</v>
      </c>
      <c r="C39" s="75"/>
      <c r="D39" s="76"/>
      <c r="E39" s="76" t="s">
        <v>23</v>
      </c>
      <c r="F39" s="76" t="str">
        <f>IF(E39&lt;&gt;"", IFERROR(VLOOKUP(E39, Dashboard!$B48:$F53, 5, FALSE), ""), "")</f>
        <v/>
      </c>
      <c r="G39" s="77"/>
      <c r="H39" s="64"/>
      <c r="I39" s="64"/>
      <c r="J39" s="77"/>
      <c r="K39" s="77"/>
      <c r="L39" s="38"/>
      <c r="M39" s="38"/>
      <c r="N39" s="77"/>
      <c r="O39" s="77"/>
      <c r="P39" s="38"/>
      <c r="Q39" s="38" t="s">
        <v>23</v>
      </c>
      <c r="R39" s="77"/>
      <c r="S39" s="64"/>
      <c r="T39" s="77"/>
    </row>
    <row r="40" spans="2:20" ht="60" customHeight="1" x14ac:dyDescent="0.35">
      <c r="B40" s="36" t="s">
        <v>327</v>
      </c>
      <c r="C40" s="75"/>
      <c r="D40" s="76"/>
      <c r="E40" s="76" t="s">
        <v>23</v>
      </c>
      <c r="F40" s="76" t="str">
        <f>IF(E40&lt;&gt;"", IFERROR(VLOOKUP(E40, Dashboard!$B48:$F53, 5, FALSE), ""), "")</f>
        <v/>
      </c>
      <c r="G40" s="77"/>
      <c r="H40" s="64"/>
      <c r="I40" s="64"/>
      <c r="J40" s="77"/>
      <c r="K40" s="77"/>
      <c r="L40" s="38"/>
      <c r="M40" s="38"/>
      <c r="N40" s="77"/>
      <c r="O40" s="77"/>
      <c r="P40" s="38"/>
      <c r="Q40" s="38" t="s">
        <v>23</v>
      </c>
      <c r="R40" s="77"/>
      <c r="S40" s="64"/>
      <c r="T40" s="77"/>
    </row>
    <row r="41" spans="2:20" ht="60" customHeight="1" x14ac:dyDescent="0.35">
      <c r="B41" s="36" t="s">
        <v>328</v>
      </c>
      <c r="C41" s="75"/>
      <c r="D41" s="76"/>
      <c r="E41" s="76" t="s">
        <v>23</v>
      </c>
      <c r="F41" s="76" t="str">
        <f>IF(E41&lt;&gt;"", IFERROR(VLOOKUP(E41, Dashboard!$B48:$F53, 5, FALSE), ""), "")</f>
        <v/>
      </c>
      <c r="G41" s="77"/>
      <c r="H41" s="64"/>
      <c r="I41" s="64"/>
      <c r="J41" s="77"/>
      <c r="K41" s="77"/>
      <c r="L41" s="38"/>
      <c r="M41" s="38"/>
      <c r="N41" s="77"/>
      <c r="O41" s="77"/>
      <c r="P41" s="38"/>
      <c r="Q41" s="38" t="s">
        <v>23</v>
      </c>
      <c r="R41" s="77"/>
      <c r="S41" s="64"/>
      <c r="T41" s="77"/>
    </row>
    <row r="42" spans="2:20" ht="60" customHeight="1" x14ac:dyDescent="0.35">
      <c r="B42" s="36" t="s">
        <v>329</v>
      </c>
      <c r="C42" s="75"/>
      <c r="D42" s="76"/>
      <c r="E42" s="76" t="s">
        <v>23</v>
      </c>
      <c r="F42" s="76" t="str">
        <f>IF(E42&lt;&gt;"", IFERROR(VLOOKUP(E42, Dashboard!$B48:$F53, 5, FALSE), ""), "")</f>
        <v/>
      </c>
      <c r="G42" s="77"/>
      <c r="H42" s="64"/>
      <c r="I42" s="64"/>
      <c r="J42" s="77"/>
      <c r="K42" s="77"/>
      <c r="L42" s="38"/>
      <c r="M42" s="38"/>
      <c r="N42" s="77"/>
      <c r="O42" s="77"/>
      <c r="P42" s="38"/>
      <c r="Q42" s="38" t="s">
        <v>23</v>
      </c>
      <c r="R42" s="77"/>
      <c r="S42" s="64"/>
      <c r="T42" s="77"/>
    </row>
    <row r="43" spans="2:20" ht="60" customHeight="1" x14ac:dyDescent="0.35">
      <c r="B43" s="36" t="s">
        <v>330</v>
      </c>
      <c r="C43" s="75"/>
      <c r="D43" s="76"/>
      <c r="E43" s="76" t="s">
        <v>23</v>
      </c>
      <c r="F43" s="76" t="str">
        <f>IF(E43&lt;&gt;"", IFERROR(VLOOKUP(E43, Dashboard!$B48:$F53, 5, FALSE), ""), "")</f>
        <v/>
      </c>
      <c r="G43" s="77"/>
      <c r="H43" s="64"/>
      <c r="I43" s="64"/>
      <c r="J43" s="77"/>
      <c r="K43" s="77"/>
      <c r="L43" s="38"/>
      <c r="M43" s="38"/>
      <c r="N43" s="77"/>
      <c r="O43" s="77"/>
      <c r="P43" s="38"/>
      <c r="Q43" s="38" t="s">
        <v>23</v>
      </c>
      <c r="R43" s="77"/>
      <c r="S43" s="64"/>
      <c r="T43" s="77"/>
    </row>
    <row r="44" spans="2:20" ht="60" customHeight="1" x14ac:dyDescent="0.35">
      <c r="B44" s="36" t="s">
        <v>331</v>
      </c>
      <c r="C44" s="75"/>
      <c r="D44" s="76"/>
      <c r="E44" s="76" t="s">
        <v>23</v>
      </c>
      <c r="F44" s="76" t="str">
        <f>IF(E44&lt;&gt;"", IFERROR(VLOOKUP(E44, Dashboard!$B48:$F53, 5, FALSE), ""), "")</f>
        <v/>
      </c>
      <c r="G44" s="77"/>
      <c r="H44" s="64"/>
      <c r="I44" s="64"/>
      <c r="J44" s="77"/>
      <c r="K44" s="77"/>
      <c r="L44" s="38"/>
      <c r="M44" s="38"/>
      <c r="N44" s="77"/>
      <c r="O44" s="77"/>
      <c r="P44" s="38"/>
      <c r="Q44" s="38" t="s">
        <v>23</v>
      </c>
      <c r="R44" s="77"/>
      <c r="S44" s="64"/>
      <c r="T44" s="77"/>
    </row>
    <row r="45" spans="2:20" ht="60" customHeight="1" x14ac:dyDescent="0.35">
      <c r="B45" s="36" t="s">
        <v>332</v>
      </c>
      <c r="C45" s="75"/>
      <c r="D45" s="76"/>
      <c r="E45" s="76" t="s">
        <v>23</v>
      </c>
      <c r="F45" s="76" t="str">
        <f>IF(E45&lt;&gt;"", IFERROR(VLOOKUP(E45, Dashboard!$B48:$F53, 5, FALSE), ""), "")</f>
        <v/>
      </c>
      <c r="G45" s="77"/>
      <c r="H45" s="64"/>
      <c r="I45" s="64"/>
      <c r="J45" s="77"/>
      <c r="K45" s="77"/>
      <c r="L45" s="38"/>
      <c r="M45" s="38"/>
      <c r="N45" s="77"/>
      <c r="O45" s="77"/>
      <c r="P45" s="38"/>
      <c r="Q45" s="38" t="s">
        <v>23</v>
      </c>
      <c r="R45" s="77"/>
      <c r="S45" s="64"/>
      <c r="T45" s="77"/>
    </row>
    <row r="46" spans="2:20" ht="60" customHeight="1" x14ac:dyDescent="0.35">
      <c r="B46" s="36" t="s">
        <v>333</v>
      </c>
      <c r="C46" s="75"/>
      <c r="D46" s="76"/>
      <c r="E46" s="76" t="s">
        <v>23</v>
      </c>
      <c r="F46" s="76" t="str">
        <f>IF(E46&lt;&gt;"", IFERROR(VLOOKUP(E46, Dashboard!$B48:$F53, 5, FALSE), ""), "")</f>
        <v/>
      </c>
      <c r="G46" s="77"/>
      <c r="H46" s="64"/>
      <c r="I46" s="64"/>
      <c r="J46" s="77"/>
      <c r="K46" s="77"/>
      <c r="L46" s="38"/>
      <c r="M46" s="38"/>
      <c r="N46" s="77"/>
      <c r="O46" s="77"/>
      <c r="P46" s="38"/>
      <c r="Q46" s="38" t="s">
        <v>23</v>
      </c>
      <c r="R46" s="77"/>
      <c r="S46" s="64"/>
      <c r="T46" s="77"/>
    </row>
    <row r="47" spans="2:20" ht="60" customHeight="1" x14ac:dyDescent="0.35">
      <c r="B47" s="36" t="s">
        <v>334</v>
      </c>
      <c r="C47" s="75"/>
      <c r="D47" s="76"/>
      <c r="E47" s="76" t="s">
        <v>23</v>
      </c>
      <c r="F47" s="76" t="str">
        <f>IF(E47&lt;&gt;"", IFERROR(VLOOKUP(E47, Dashboard!$B48:$F53, 5, FALSE), ""), "")</f>
        <v/>
      </c>
      <c r="G47" s="77"/>
      <c r="H47" s="64"/>
      <c r="I47" s="64"/>
      <c r="J47" s="77"/>
      <c r="K47" s="77"/>
      <c r="L47" s="38"/>
      <c r="M47" s="38"/>
      <c r="N47" s="77"/>
      <c r="O47" s="77"/>
      <c r="P47" s="38"/>
      <c r="Q47" s="38" t="s">
        <v>23</v>
      </c>
      <c r="R47" s="77"/>
      <c r="S47" s="64"/>
      <c r="T47" s="77"/>
    </row>
    <row r="48" spans="2:20" ht="60" customHeight="1" x14ac:dyDescent="0.35">
      <c r="B48" s="36" t="s">
        <v>335</v>
      </c>
      <c r="C48" s="75"/>
      <c r="D48" s="76"/>
      <c r="E48" s="76" t="s">
        <v>23</v>
      </c>
      <c r="F48" s="76" t="str">
        <f>IF(E48&lt;&gt;"", IFERROR(VLOOKUP(E48, Dashboard!$B48:$F53, 5, FALSE), ""), "")</f>
        <v/>
      </c>
      <c r="G48" s="77"/>
      <c r="H48" s="64"/>
      <c r="I48" s="64"/>
      <c r="J48" s="77"/>
      <c r="K48" s="77"/>
      <c r="L48" s="38"/>
      <c r="M48" s="38"/>
      <c r="N48" s="77"/>
      <c r="O48" s="77"/>
      <c r="P48" s="38"/>
      <c r="Q48" s="38" t="s">
        <v>23</v>
      </c>
      <c r="R48" s="77"/>
      <c r="S48" s="64"/>
      <c r="T48" s="77"/>
    </row>
    <row r="49" spans="2:20" ht="60" customHeight="1" x14ac:dyDescent="0.35">
      <c r="B49" s="36" t="s">
        <v>336</v>
      </c>
      <c r="C49" s="75"/>
      <c r="D49" s="76"/>
      <c r="E49" s="76" t="s">
        <v>23</v>
      </c>
      <c r="F49" s="76" t="str">
        <f>IF(E49&lt;&gt;"", IFERROR(VLOOKUP(E49, Dashboard!$B48:$F53, 5, FALSE), ""), "")</f>
        <v/>
      </c>
      <c r="G49" s="77"/>
      <c r="H49" s="64"/>
      <c r="I49" s="64"/>
      <c r="J49" s="77"/>
      <c r="K49" s="77"/>
      <c r="L49" s="38"/>
      <c r="M49" s="38"/>
      <c r="N49" s="77"/>
      <c r="O49" s="77"/>
      <c r="P49" s="38"/>
      <c r="Q49" s="38" t="s">
        <v>23</v>
      </c>
      <c r="R49" s="77"/>
      <c r="S49" s="64"/>
      <c r="T49" s="77"/>
    </row>
    <row r="50" spans="2:20" ht="60" customHeight="1" x14ac:dyDescent="0.35">
      <c r="B50" s="36" t="s">
        <v>337</v>
      </c>
      <c r="C50" s="75"/>
      <c r="D50" s="76"/>
      <c r="E50" s="76" t="s">
        <v>23</v>
      </c>
      <c r="F50" s="76" t="str">
        <f>IF(E50&lt;&gt;"", IFERROR(VLOOKUP(E50, Dashboard!$B48:$F53, 5, FALSE), ""), "")</f>
        <v/>
      </c>
      <c r="G50" s="77"/>
      <c r="H50" s="64"/>
      <c r="I50" s="64"/>
      <c r="J50" s="77"/>
      <c r="K50" s="77"/>
      <c r="L50" s="38"/>
      <c r="M50" s="38"/>
      <c r="N50" s="77"/>
      <c r="O50" s="77"/>
      <c r="P50" s="38"/>
      <c r="Q50" s="38" t="s">
        <v>23</v>
      </c>
      <c r="R50" s="77"/>
      <c r="S50" s="64"/>
      <c r="T50" s="77"/>
    </row>
    <row r="51" spans="2:20" ht="60" customHeight="1" x14ac:dyDescent="0.35">
      <c r="B51" s="36" t="s">
        <v>338</v>
      </c>
      <c r="C51" s="75"/>
      <c r="D51" s="76"/>
      <c r="E51" s="76" t="s">
        <v>23</v>
      </c>
      <c r="F51" s="76" t="str">
        <f>IF(E51&lt;&gt;"", IFERROR(VLOOKUP(E51, Dashboard!$B48:$F53, 5, FALSE), ""), "")</f>
        <v/>
      </c>
      <c r="G51" s="77"/>
      <c r="H51" s="64"/>
      <c r="I51" s="64"/>
      <c r="J51" s="77"/>
      <c r="K51" s="77"/>
      <c r="L51" s="38"/>
      <c r="M51" s="38"/>
      <c r="N51" s="77"/>
      <c r="O51" s="77"/>
      <c r="P51" s="38"/>
      <c r="Q51" s="38" t="s">
        <v>23</v>
      </c>
      <c r="R51" s="77"/>
      <c r="S51" s="64"/>
      <c r="T51" s="77"/>
    </row>
    <row r="52" spans="2:20" ht="60" customHeight="1" x14ac:dyDescent="0.35">
      <c r="B52" s="36" t="s">
        <v>339</v>
      </c>
      <c r="C52" s="75"/>
      <c r="D52" s="76"/>
      <c r="E52" s="76" t="s">
        <v>23</v>
      </c>
      <c r="F52" s="76" t="str">
        <f>IF(E52&lt;&gt;"", IFERROR(VLOOKUP(E52, Dashboard!$B48:$F53, 5, FALSE), ""), "")</f>
        <v/>
      </c>
      <c r="G52" s="77"/>
      <c r="H52" s="64"/>
      <c r="I52" s="64"/>
      <c r="J52" s="77"/>
      <c r="K52" s="77"/>
      <c r="L52" s="38"/>
      <c r="M52" s="38"/>
      <c r="N52" s="77"/>
      <c r="O52" s="77"/>
      <c r="P52" s="38"/>
      <c r="Q52" s="38" t="s">
        <v>23</v>
      </c>
      <c r="R52" s="77"/>
      <c r="S52" s="64"/>
      <c r="T52" s="77"/>
    </row>
    <row r="53" spans="2:20" ht="60" customHeight="1" x14ac:dyDescent="0.35">
      <c r="B53" s="36" t="s">
        <v>340</v>
      </c>
      <c r="C53" s="75"/>
      <c r="D53" s="76"/>
      <c r="E53" s="76" t="s">
        <v>23</v>
      </c>
      <c r="F53" s="76" t="str">
        <f>IF(E53&lt;&gt;"", IFERROR(VLOOKUP(E53, Dashboard!$B48:$F53, 5, FALSE), ""), "")</f>
        <v/>
      </c>
      <c r="G53" s="77"/>
      <c r="H53" s="64"/>
      <c r="I53" s="64"/>
      <c r="J53" s="77"/>
      <c r="K53" s="77"/>
      <c r="L53" s="38"/>
      <c r="M53" s="38"/>
      <c r="N53" s="77"/>
      <c r="O53" s="77"/>
      <c r="P53" s="38"/>
      <c r="Q53" s="38" t="s">
        <v>23</v>
      </c>
      <c r="R53" s="77"/>
      <c r="S53" s="64"/>
      <c r="T53" s="77"/>
    </row>
    <row r="54" spans="2:20" ht="60" customHeight="1" x14ac:dyDescent="0.35">
      <c r="B54" s="36" t="s">
        <v>341</v>
      </c>
      <c r="C54" s="75"/>
      <c r="D54" s="76"/>
      <c r="E54" s="76" t="s">
        <v>23</v>
      </c>
      <c r="F54" s="76" t="str">
        <f>IF(E54&lt;&gt;"", IFERROR(VLOOKUP(E54, Dashboard!$B48:$F53, 5, FALSE), ""), "")</f>
        <v/>
      </c>
      <c r="G54" s="77"/>
      <c r="H54" s="64"/>
      <c r="I54" s="64"/>
      <c r="J54" s="77"/>
      <c r="K54" s="77"/>
      <c r="L54" s="38"/>
      <c r="M54" s="38"/>
      <c r="N54" s="77"/>
      <c r="O54" s="77"/>
      <c r="P54" s="38"/>
      <c r="Q54" s="38" t="s">
        <v>23</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125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CISA M365 Secure Configuration Baseline for Teams - SHGIR</dc:title>
  <dc:subject>Generated on: 2026-06-09 11:39:31</dc:subject>
  <dc:creator>Anicet Fopa Tchoffo</dc:creator>
  <cp:keywords>Hardening,Baseline;CISA;SCuBA</cp:keywords>
  <dc:description>Baseline Developed By: Cybersecurity and Infrastructure Security Agency (CISA)</dc:description>
  <cp:lastModifiedBy>Anicet Fopa Tchoffo</cp:lastModifiedBy>
  <dcterms:modified xsi:type="dcterms:W3CDTF">2026-06-09T10:39:39Z</dcterms:modified>
  <cp:category>CISA-SCuBA</cp:category>
  <cp:contentStatus>Draft</cp:contentStatus>
</cp:coreProperties>
</file>