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DE214AC31B07BA22A0382157D6A57DD64E08A897" xr6:coauthVersionLast="47" xr6:coauthVersionMax="47" xr10:uidLastSave="{9C62ADE5-A609-47D5-98E8-23A943C1B81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10" i="1"/>
  <c r="O9" i="1"/>
  <c r="O8" i="1"/>
  <c r="O7" i="1"/>
  <c r="O6" i="1"/>
  <c r="O5" i="1"/>
  <c r="O4" i="1"/>
  <c r="O3" i="1"/>
  <c r="O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E70" i="3"/>
  <c r="F70" i="3" s="1"/>
  <c r="D70" i="3"/>
  <c r="C70" i="3"/>
  <c r="E69" i="3"/>
  <c r="D69" i="3"/>
  <c r="C69" i="3"/>
  <c r="W121" i="3" s="1"/>
  <c r="E68" i="3"/>
  <c r="D68" i="3"/>
  <c r="C68" i="3"/>
  <c r="U121" i="3" s="1"/>
  <c r="F67" i="3"/>
  <c r="T153" i="3" s="1"/>
  <c r="E67" i="3"/>
  <c r="D67" i="3"/>
  <c r="C67" i="3"/>
  <c r="S121" i="3" s="1"/>
  <c r="E49" i="3"/>
  <c r="D49" i="3"/>
  <c r="C49" i="3"/>
  <c r="F49" i="3" s="1"/>
  <c r="E48" i="3"/>
  <c r="D48" i="3"/>
  <c r="C48" i="3"/>
  <c r="F48" i="3" s="1"/>
  <c r="E47" i="3"/>
  <c r="D47" i="3"/>
  <c r="C47" i="3"/>
  <c r="F47" i="3" s="1"/>
  <c r="E46" i="3"/>
  <c r="D46" i="3"/>
  <c r="C46" i="3"/>
  <c r="F46" i="3" s="1"/>
  <c r="E45" i="3"/>
  <c r="D45" i="3"/>
  <c r="F45" i="3" s="1"/>
  <c r="C45" i="3"/>
  <c r="E44" i="3"/>
  <c r="D44" i="3"/>
  <c r="C44" i="3"/>
  <c r="F44" i="3" s="1"/>
  <c r="E30" i="3"/>
  <c r="D30" i="3"/>
  <c r="C30" i="3"/>
  <c r="F30" i="3" s="1"/>
  <c r="E29" i="3"/>
  <c r="D29" i="3"/>
  <c r="C29" i="3"/>
  <c r="F29" i="3" s="1"/>
  <c r="E16" i="3"/>
  <c r="D16" i="3"/>
  <c r="F16" i="3" s="1"/>
  <c r="C16" i="3"/>
  <c r="Q121" i="3" s="1"/>
  <c r="C9" i="3"/>
  <c r="D9" i="3" s="1"/>
  <c r="D8" i="3"/>
  <c r="C8" i="3"/>
  <c r="E57" i="3" l="1"/>
  <c r="D57" i="3"/>
  <c r="C57" i="3"/>
  <c r="E78" i="3"/>
  <c r="D78" i="3"/>
  <c r="C78" i="3"/>
  <c r="R153" i="3"/>
  <c r="R148" i="3"/>
  <c r="R143" i="3"/>
  <c r="R138" i="3"/>
  <c r="R133" i="3"/>
  <c r="R128" i="3"/>
  <c r="R123" i="3"/>
  <c r="E20" i="3"/>
  <c r="R152" i="3"/>
  <c r="R147" i="3"/>
  <c r="R142" i="3"/>
  <c r="R137" i="3"/>
  <c r="R132" i="3"/>
  <c r="R127" i="3"/>
  <c r="R151" i="3"/>
  <c r="R146" i="3"/>
  <c r="R141" i="3"/>
  <c r="R136" i="3"/>
  <c r="R131" i="3"/>
  <c r="R126" i="3"/>
  <c r="R150" i="3"/>
  <c r="R145" i="3"/>
  <c r="R140" i="3"/>
  <c r="R135" i="3"/>
  <c r="R130" i="3"/>
  <c r="R125" i="3"/>
  <c r="D20" i="3"/>
  <c r="C20" i="3"/>
  <c r="R149" i="3"/>
  <c r="R144" i="3"/>
  <c r="R139" i="3"/>
  <c r="R134" i="3"/>
  <c r="R129" i="3"/>
  <c r="R124" i="3"/>
  <c r="E35" i="3"/>
  <c r="D35" i="3"/>
  <c r="C35" i="3"/>
  <c r="E56" i="3"/>
  <c r="C56" i="3"/>
  <c r="D56" i="3"/>
  <c r="E95" i="3"/>
  <c r="C95" i="3"/>
  <c r="D95" i="3"/>
  <c r="C97" i="3"/>
  <c r="E97" i="3"/>
  <c r="D97" i="3"/>
  <c r="D34" i="3"/>
  <c r="C34" i="3"/>
  <c r="E34" i="3"/>
  <c r="D96" i="3"/>
  <c r="E96" i="3"/>
  <c r="C96" i="3"/>
  <c r="E53" i="3"/>
  <c r="D53" i="3"/>
  <c r="C53" i="3"/>
  <c r="C58" i="3"/>
  <c r="E58" i="3"/>
  <c r="D58" i="3"/>
  <c r="G110" i="3"/>
  <c r="E54" i="3"/>
  <c r="C54" i="3"/>
  <c r="D54" i="3"/>
  <c r="E98" i="3"/>
  <c r="D98" i="3"/>
  <c r="C98" i="3"/>
  <c r="D55" i="3"/>
  <c r="E55" i="3"/>
  <c r="C55" i="3"/>
  <c r="T124" i="3"/>
  <c r="T129" i="3"/>
  <c r="T134" i="3"/>
  <c r="T139" i="3"/>
  <c r="T144" i="3"/>
  <c r="T149" i="3"/>
  <c r="C75" i="3"/>
  <c r="D75" i="3"/>
  <c r="E75" i="3"/>
  <c r="T125" i="3"/>
  <c r="T130" i="3"/>
  <c r="T135" i="3"/>
  <c r="T140" i="3"/>
  <c r="T145" i="3"/>
  <c r="T150" i="3"/>
  <c r="F68" i="3"/>
  <c r="T126" i="3"/>
  <c r="T131" i="3"/>
  <c r="T136" i="3"/>
  <c r="T141" i="3"/>
  <c r="T146" i="3"/>
  <c r="T151" i="3"/>
  <c r="C7" i="3"/>
  <c r="D7" i="3" s="1"/>
  <c r="C79" i="3"/>
  <c r="T127" i="3"/>
  <c r="T132" i="3"/>
  <c r="T137" i="3"/>
  <c r="T142" i="3"/>
  <c r="T147" i="3"/>
  <c r="T152" i="3"/>
  <c r="F69" i="3"/>
  <c r="D79" i="3"/>
  <c r="T123" i="3"/>
  <c r="T128" i="3"/>
  <c r="T133" i="3"/>
  <c r="T138" i="3"/>
  <c r="T143" i="3"/>
  <c r="T148" i="3"/>
  <c r="V153" i="3" l="1"/>
  <c r="V148" i="3"/>
  <c r="V143" i="3"/>
  <c r="V138" i="3"/>
  <c r="V133" i="3"/>
  <c r="V128" i="3"/>
  <c r="V123" i="3"/>
  <c r="V152" i="3"/>
  <c r="V147" i="3"/>
  <c r="V142" i="3"/>
  <c r="V137" i="3"/>
  <c r="V132" i="3"/>
  <c r="V127" i="3"/>
  <c r="D76" i="3"/>
  <c r="V151" i="3"/>
  <c r="V146" i="3"/>
  <c r="V141" i="3"/>
  <c r="V136" i="3"/>
  <c r="V131" i="3"/>
  <c r="V126" i="3"/>
  <c r="V150" i="3"/>
  <c r="V145" i="3"/>
  <c r="V140" i="3"/>
  <c r="V135" i="3"/>
  <c r="V130" i="3"/>
  <c r="V125" i="3"/>
  <c r="E76" i="3"/>
  <c r="C76" i="3"/>
  <c r="V149" i="3"/>
  <c r="V144" i="3"/>
  <c r="V139" i="3"/>
  <c r="V134" i="3"/>
  <c r="V129" i="3"/>
  <c r="V124" i="3"/>
  <c r="X152" i="3"/>
  <c r="X147" i="3"/>
  <c r="X142" i="3"/>
  <c r="X137" i="3"/>
  <c r="X132" i="3"/>
  <c r="X127" i="3"/>
  <c r="E77" i="3"/>
  <c r="X151" i="3"/>
  <c r="X146" i="3"/>
  <c r="X141" i="3"/>
  <c r="X136" i="3"/>
  <c r="X131" i="3"/>
  <c r="X126" i="3"/>
  <c r="D77" i="3"/>
  <c r="X150" i="3"/>
  <c r="X145" i="3"/>
  <c r="X140" i="3"/>
  <c r="X135" i="3"/>
  <c r="X130" i="3"/>
  <c r="X125" i="3"/>
  <c r="C77" i="3"/>
  <c r="X149" i="3"/>
  <c r="X144" i="3"/>
  <c r="X139" i="3"/>
  <c r="X134" i="3"/>
  <c r="X129" i="3"/>
  <c r="X124" i="3"/>
  <c r="X153" i="3"/>
  <c r="X148" i="3"/>
  <c r="X143" i="3"/>
  <c r="X138" i="3"/>
  <c r="X133" i="3"/>
  <c r="X128" i="3"/>
  <c r="X123" i="3"/>
</calcChain>
</file>

<file path=xl/sharedStrings.xml><?xml version="1.0" encoding="utf-8"?>
<sst xmlns="http://schemas.openxmlformats.org/spreadsheetml/2006/main" count="628" uniqueCount="292">
  <si>
    <t>Category</t>
  </si>
  <si>
    <t>Id</t>
  </si>
  <si>
    <t>Title</t>
  </si>
  <si>
    <t>Criticality</t>
  </si>
  <si>
    <t>MoSCoW</t>
  </si>
  <si>
    <t>OpsImpact</t>
  </si>
  <si>
    <t>Phase</t>
  </si>
  <si>
    <t>ImplStatus</t>
  </si>
  <si>
    <t>Notes</t>
  </si>
  <si>
    <t>Remediation</t>
  </si>
  <si>
    <t>Rationale</t>
  </si>
  <si>
    <t>Description</t>
  </si>
  <si>
    <t>LicenseReqs</t>
  </si>
  <si>
    <t>Resources</t>
  </si>
  <si>
    <t>Status</t>
  </si>
  <si>
    <t>LogID</t>
  </si>
  <si>
    <t>Creation of Power Platform Environments</t>
  </si>
  <si>
    <t>MS.POWERPLATFORM.1.1v1</t>
  </si>
  <si>
    <r>
      <rPr>
        <sz val="11"/>
        <color rgb="FF000000"/>
        <rFont val="Calibri"/>
      </rPr>
      <t>The ability to create production and sandbox environments SHALL be restricted to admins.</t>
    </r>
  </si>
  <si>
    <t>SHALL</t>
  </si>
  <si>
    <t>Unassigned</t>
  </si>
  <si>
    <t>Unassessed</t>
  </si>
  <si>
    <t>Pending</t>
  </si>
  <si>
    <t/>
  </si>
  <si>
    <r>
      <rPr>
        <sz val="11"/>
        <color rgb="FF000000"/>
        <rFont val="Calibri"/>
      </rPr>
      <t xml:space="preserve">1. Sign in to your tenant environment's respective Power Platform admin center </t>
    </r>
    <r>
      <rPr>
        <sz val="11"/>
        <color rgb="FF0000FF"/>
        <rFont val="Calibri"/>
      </rPr>
      <t>(https://learn.microsoft.com/en-us/power-platform/admin/powerapps-us-government#power-apps-us-government-service-urls)</t>
    </r>
    <r>
      <rPr>
        <sz val="11"/>
        <color rgb="FF000000"/>
        <rFont val="Calibri"/>
      </rPr>
      <t>.</t>
    </r>
    <r>
      <rPr>
        <sz val="11"/>
        <color rgb="FF000000"/>
        <rFont val="Calibri"/>
      </rPr>
      <t xml:space="preserve">
</t>
    </r>
    <r>
      <rPr>
        <sz val="11"/>
        <color rgb="FF000000"/>
        <rFont val="Calibri"/>
      </rPr>
      <t xml:space="preserve">2. In the upper-right corner of the Microsoft Power Platform site, select the </t>
    </r>
    <r>
      <rPr>
        <b/>
        <sz val="11"/>
        <color rgb="FF000000"/>
        <rFont val="Calibri"/>
      </rPr>
      <t>Gear icon</t>
    </r>
    <r>
      <rPr>
        <sz val="11"/>
        <color rgb="FF000000"/>
        <rFont val="Calibri"/>
      </rPr>
      <t xml:space="preserve"> (Settings icon).</t>
    </r>
    <r>
      <rPr>
        <sz val="11"/>
        <color rgb="FF000000"/>
        <rFont val="Calibri"/>
      </rPr>
      <t xml:space="preserve">
</t>
    </r>
    <r>
      <rPr>
        <sz val="11"/>
        <color rgb="FF000000"/>
        <rFont val="Calibri"/>
      </rPr>
      <t xml:space="preserve">3. Select </t>
    </r>
    <r>
      <rPr>
        <b/>
        <sz val="11"/>
        <color rgb="FF000000"/>
        <rFont val="Calibri"/>
      </rPr>
      <t>Power Platform settings</t>
    </r>
    <r>
      <rPr>
        <sz val="11"/>
        <color rgb="FF000000"/>
        <rFont val="Calibri"/>
      </rPr>
      <t>.</t>
    </r>
    <r>
      <rPr>
        <sz val="11"/>
        <color rgb="FF000000"/>
        <rFont val="Calibri"/>
      </rPr>
      <t xml:space="preserve">
</t>
    </r>
    <r>
      <rPr>
        <sz val="11"/>
        <color rgb="FF000000"/>
        <rFont val="Calibri"/>
      </rPr>
      <t xml:space="preserve">4. Under </t>
    </r>
    <r>
      <rPr>
        <b/>
        <sz val="11"/>
        <color rgb="FF000000"/>
        <rFont val="Calibri"/>
      </rPr>
      <t>Who can create production and sandbox environments</t>
    </r>
    <r>
      <rPr>
        <sz val="11"/>
        <color rgb="FF000000"/>
        <rFont val="Calibri"/>
      </rPr>
      <t xml:space="preserve">, select </t>
    </r>
    <r>
      <rPr>
        <b/>
        <sz val="11"/>
        <color rgb="FF000000"/>
        <rFont val="Calibri"/>
      </rPr>
      <t>Only specific admins.</t>
    </r>
  </si>
  <si>
    <r>
      <rPr>
        <sz val="11"/>
        <color rgb="FF000000"/>
        <rFont val="Calibri"/>
      </rPr>
      <t>Users creating new Power Platform environments may inadvertently bypass data loss prevention (DLP) policy settings or misconfigure the security settings of their environment.</t>
    </r>
  </si>
  <si>
    <r>
      <rPr>
        <sz val="11"/>
        <color rgb="FF000000"/>
        <rFont val="Calibri"/>
      </rPr>
      <t>By default, any user in the Microsoft Entra ID Tenant can create additional environments. Enabling these controls will restrict the creation of new environments to users with the following admin roles: Global admins, Dynamics 365 admins, and Power Platform admins.</t>
    </r>
  </si>
  <si>
    <r>
      <rPr>
        <sz val="11"/>
        <color rgb="FF000000"/>
        <rFont val="Calibri"/>
      </rPr>
      <t>N/A</t>
    </r>
  </si>
  <si>
    <r>
      <rPr>
        <b/>
        <sz val="11"/>
        <color rgb="FF000000"/>
        <rFont val="Calibri"/>
      </rPr>
      <t>Control who can create and manage environments in the Power Platform admin center | Microsoft Learn</t>
    </r>
    <r>
      <rPr>
        <sz val="11"/>
        <color rgb="FF000000"/>
        <rFont val="Calibri"/>
      </rPr>
      <t xml:space="preserve">
</t>
    </r>
    <r>
      <rPr>
        <sz val="11"/>
        <color rgb="FF0000FF"/>
        <rFont val="Calibri"/>
      </rPr>
      <t>https://learn.microsoft.com/en-us/power-platform/admin/control-environment-creation</t>
    </r>
    <r>
      <rPr>
        <sz val="11"/>
        <color rgb="FF000000"/>
        <rFont val="Calibri"/>
      </rPr>
      <t xml:space="preserve">
</t>
    </r>
    <r>
      <rPr>
        <b/>
        <sz val="11"/>
        <color rgb="FF000000"/>
        <rFont val="Calibri"/>
      </rPr>
      <t>Power Platform | Digital Transformation Agency of Australia</t>
    </r>
    <r>
      <rPr>
        <sz val="11"/>
        <color rgb="FF000000"/>
        <rFont val="Calibri"/>
      </rPr>
      <t xml:space="preserve">
</t>
    </r>
    <r>
      <rPr>
        <sz val="11"/>
        <color rgb="FF0000FF"/>
        <rFont val="Calibri"/>
      </rPr>
      <t>https://desktop.gov.au/blueprint/office-365.html#power-platform</t>
    </r>
    <r>
      <rPr>
        <sz val="11"/>
        <color rgb="FF000000"/>
        <rFont val="Calibri"/>
      </rPr>
      <t xml:space="preserve">
</t>
    </r>
    <r>
      <rPr>
        <b/>
        <sz val="11"/>
        <color rgb="FF000000"/>
        <rFont val="Calibri"/>
      </rPr>
      <t>Microsoft Power Apps Documentation | Power Apps</t>
    </r>
    <r>
      <rPr>
        <sz val="11"/>
        <color rgb="FF000000"/>
        <rFont val="Calibri"/>
      </rPr>
      <t xml:space="preserve">
</t>
    </r>
    <r>
      <rPr>
        <sz val="11"/>
        <color rgb="FF0000FF"/>
        <rFont val="Calibri"/>
      </rPr>
      <t>https://learn.microsoft.com/en-us/power-apps/</t>
    </r>
  </si>
  <si>
    <t>MS.POWERPLATFORM.1.2v1</t>
  </si>
  <si>
    <r>
      <rPr>
        <sz val="11"/>
        <color rgb="FF000000"/>
        <rFont val="Calibri"/>
      </rPr>
      <t>The ability to create trial environments SHALL be restricted to admins.</t>
    </r>
  </si>
  <si>
    <r>
      <rPr>
        <sz val="11"/>
        <color rgb="FF000000"/>
        <rFont val="Calibri"/>
      </rPr>
      <t xml:space="preserve">1. Follow the MS.POWERPLATFORM.1.1v1 instructions up to step </t>
    </r>
    <r>
      <rPr>
        <b/>
        <sz val="11"/>
        <color rgb="FF000000"/>
        <rFont val="Calibri"/>
      </rPr>
      <t>3</t>
    </r>
    <r>
      <rPr>
        <sz val="11"/>
        <color rgb="FF000000"/>
        <rFont val="Calibri"/>
      </rPr>
      <t>.</t>
    </r>
    <r>
      <rPr>
        <sz val="11"/>
        <color rgb="FF000000"/>
        <rFont val="Calibri"/>
      </rPr>
      <t xml:space="preserve">
</t>
    </r>
    <r>
      <rPr>
        <sz val="11"/>
        <color rgb="FF000000"/>
        <rFont val="Calibri"/>
      </rPr>
      <t xml:space="preserve">2. Under </t>
    </r>
    <r>
      <rPr>
        <b/>
        <sz val="11"/>
        <color rgb="FF000000"/>
        <rFont val="Calibri"/>
      </rPr>
      <t>Who can create trial environments</t>
    </r>
    <r>
      <rPr>
        <sz val="11"/>
        <color rgb="FF000000"/>
        <rFont val="Calibri"/>
      </rPr>
      <t xml:space="preserve">, select </t>
    </r>
    <r>
      <rPr>
        <b/>
        <sz val="11"/>
        <color rgb="FF000000"/>
        <rFont val="Calibri"/>
      </rPr>
      <t>Only specific admins.</t>
    </r>
  </si>
  <si>
    <r>
      <rPr>
        <sz val="11"/>
        <color rgb="FF000000"/>
        <rFont val="Calibri"/>
      </rPr>
      <t>Users creating new Power Platform environments may inadvertently bypass DLP policy settings or misconfigure the security settings of their environment.</t>
    </r>
  </si>
  <si>
    <t>Power Platform Data Loss Prevention Policies</t>
  </si>
  <si>
    <t>MS.POWERPLATFORM.2.1v1</t>
  </si>
  <si>
    <r>
      <rPr>
        <sz val="11"/>
        <color rgb="FF000000"/>
        <rFont val="Calibri"/>
      </rPr>
      <t>A DLP policy SHALL be created to restrict connector access in the default Power Platform environment.</t>
    </r>
  </si>
  <si>
    <r>
      <rPr>
        <sz val="11"/>
        <color rgb="FF000000"/>
        <rFont val="Calibri"/>
      </rPr>
      <t xml:space="preserve">1. Sign in to your tenant environment's respective Power Platform admin center </t>
    </r>
    <r>
      <rPr>
        <sz val="11"/>
        <color rgb="FF0000FF"/>
        <rFont val="Calibri"/>
      </rPr>
      <t>(https://learn.microsoft.com/en-us/power-platform/admin/powerapps-us-government#power-apps-us-government-service-urls)</t>
    </r>
    <r>
      <rPr>
        <sz val="11"/>
        <color rgb="FF000000"/>
        <rFont val="Calibri"/>
      </rPr>
      <t>.</t>
    </r>
    <r>
      <rPr>
        <sz val="11"/>
        <color rgb="FF000000"/>
        <rFont val="Calibri"/>
      </rPr>
      <t xml:space="preserve">
</t>
    </r>
    <r>
      <rPr>
        <sz val="11"/>
        <color rgb="FF000000"/>
        <rFont val="Calibri"/>
      </rPr>
      <t xml:space="preserve">2. On the left pane, select </t>
    </r>
    <r>
      <rPr>
        <b/>
        <sz val="11"/>
        <color rgb="FF000000"/>
        <rFont val="Calibri"/>
      </rPr>
      <t>Policies</t>
    </r>
    <r>
      <rPr>
        <sz val="11"/>
        <color rgb="FF000000"/>
        <rFont val="Calibri"/>
      </rPr>
      <t xml:space="preserve"> \&gt; </t>
    </r>
    <r>
      <rPr>
        <b/>
        <sz val="11"/>
        <color rgb="FF000000"/>
        <rFont val="Calibri"/>
      </rPr>
      <t>Data Policies.</t>
    </r>
    <r>
      <rPr>
        <sz val="11"/>
        <color rgb="FF000000"/>
        <rFont val="Calibri"/>
      </rPr>
      <t xml:space="preserve">
</t>
    </r>
    <r>
      <rPr>
        <sz val="11"/>
        <color rgb="FF000000"/>
        <rFont val="Calibri"/>
      </rPr>
      <t xml:space="preserve">3. Select the </t>
    </r>
    <r>
      <rPr>
        <b/>
        <sz val="11"/>
        <color rgb="FF000000"/>
        <rFont val="Calibri"/>
      </rPr>
      <t>+ New Policy</t>
    </r>
    <r>
      <rPr>
        <sz val="11"/>
        <color rgb="FF000000"/>
        <rFont val="Calibri"/>
      </rPr>
      <t xml:space="preserve"> icon to create a new policy.</t>
    </r>
    <r>
      <rPr>
        <sz val="11"/>
        <color rgb="FF000000"/>
        <rFont val="Calibri"/>
      </rPr>
      <t xml:space="preserve">
</t>
    </r>
    <r>
      <rPr>
        <sz val="11"/>
        <color rgb="FF000000"/>
        <rFont val="Calibri"/>
      </rPr>
      <t xml:space="preserve">4. Give the policy a suitable agency name and click </t>
    </r>
    <r>
      <rPr>
        <b/>
        <sz val="11"/>
        <color rgb="FF000000"/>
        <rFont val="Calibri"/>
      </rPr>
      <t>Next.</t>
    </r>
    <r>
      <rPr>
        <sz val="11"/>
        <color rgb="FF000000"/>
        <rFont val="Calibri"/>
      </rPr>
      <t xml:space="preserve">
</t>
    </r>
    <r>
      <rPr>
        <sz val="11"/>
        <color rgb="FF000000"/>
        <rFont val="Calibri"/>
      </rPr>
      <t xml:space="preserve">5. At the </t>
    </r>
    <r>
      <rPr>
        <b/>
        <sz val="11"/>
        <color rgb="FF000000"/>
        <rFont val="Calibri"/>
      </rPr>
      <t>Prebuilt connectors</t>
    </r>
    <r>
      <rPr>
        <sz val="11"/>
        <color rgb="FF000000"/>
        <rFont val="Calibri"/>
      </rPr>
      <t xml:space="preserve"> section, search and select the connectors currently in the </t>
    </r>
    <r>
      <rPr>
        <b/>
        <sz val="11"/>
        <color rgb="FF000000"/>
        <rFont val="Calibri"/>
      </rPr>
      <t>Non-business | default</t>
    </r>
    <r>
      <rPr>
        <sz val="11"/>
        <color rgb="FF000000"/>
        <rFont val="Calibri"/>
      </rPr>
      <t xml:space="preserve"> tab containing sensitive data that can be utilized to create flows and apps.</t>
    </r>
    <r>
      <rPr>
        <sz val="11"/>
        <color rgb="FF000000"/>
        <rFont val="Calibri"/>
      </rPr>
      <t xml:space="preserve">
</t>
    </r>
    <r>
      <rPr>
        <sz val="11"/>
        <color rgb="FF000000"/>
        <rFont val="Calibri"/>
      </rPr>
      <t xml:space="preserve">6. Click </t>
    </r>
    <r>
      <rPr>
        <b/>
        <sz val="11"/>
        <color rgb="FF000000"/>
        <rFont val="Calibri"/>
      </rPr>
      <t>Move to Business.</t>
    </r>
    <r>
      <rPr>
        <sz val="11"/>
        <color rgb="FF000000"/>
        <rFont val="Calibri"/>
      </rPr>
      <t xml:space="preserve"> Connectors added to this group can not share data with connectors in other groups because connectors can reside in only one data group at a time.</t>
    </r>
    <r>
      <rPr>
        <sz val="11"/>
        <color rgb="FF000000"/>
        <rFont val="Calibri"/>
      </rPr>
      <t xml:space="preserve">
</t>
    </r>
    <r>
      <rPr>
        <sz val="11"/>
        <color rgb="FF000000"/>
        <rFont val="Calibri"/>
      </rPr>
      <t xml:space="preserve">7. If necessary (and possible) for the connector, click </t>
    </r>
    <r>
      <rPr>
        <b/>
        <sz val="11"/>
        <color rgb="FF000000"/>
        <rFont val="Calibri"/>
      </rPr>
      <t>Configure connector</t>
    </r>
    <r>
      <rPr>
        <sz val="11"/>
        <color rgb="FF000000"/>
        <rFont val="Calibri"/>
      </rPr>
      <t xml:space="preserve"> at the top of the screen to change connector permissions. This allows greater flexibility for the agency to allow and block certain connector actions for additional customization.</t>
    </r>
    <r>
      <rPr>
        <sz val="11"/>
        <color rgb="FF000000"/>
        <rFont val="Calibri"/>
      </rPr>
      <t xml:space="preserve">
</t>
    </r>
    <r>
      <rPr>
        <sz val="11"/>
        <color rgb="FF000000"/>
        <rFont val="Calibri"/>
      </rPr>
      <t xml:space="preserve">8. For the default environment, move all other connectors to the </t>
    </r>
    <r>
      <rPr>
        <b/>
        <sz val="11"/>
        <color rgb="FF000000"/>
        <rFont val="Calibri"/>
      </rPr>
      <t>Blocked</t>
    </r>
    <r>
      <rPr>
        <sz val="11"/>
        <color rgb="FF000000"/>
        <rFont val="Calibri"/>
      </rPr>
      <t xml:space="preserve"> category. For non-blockable connectors noted above, the Block action will be grayed out and a warning will appear.</t>
    </r>
    <r>
      <rPr>
        <sz val="11"/>
        <color rgb="FF000000"/>
        <rFont val="Calibri"/>
      </rPr>
      <t xml:space="preserve">
</t>
    </r>
    <r>
      <rPr>
        <sz val="11"/>
        <color rgb="FF000000"/>
        <rFont val="Calibri"/>
      </rPr>
      <t xml:space="preserve">9. At the bottom of the screen, select </t>
    </r>
    <r>
      <rPr>
        <b/>
        <sz val="11"/>
        <color rgb="FF000000"/>
        <rFont val="Calibri"/>
      </rPr>
      <t>Next</t>
    </r>
    <r>
      <rPr>
        <sz val="11"/>
        <color rgb="FF000000"/>
        <rFont val="Calibri"/>
      </rPr>
      <t xml:space="preserve"> to move on.</t>
    </r>
    <r>
      <rPr>
        <sz val="11"/>
        <color rgb="FF000000"/>
        <rFont val="Calibri"/>
      </rPr>
      <t xml:space="preserve">
</t>
    </r>
    <r>
      <rPr>
        <sz val="11"/>
        <color rgb="FF000000"/>
        <rFont val="Calibri"/>
      </rPr>
      <t xml:space="preserve">10. Add a custom connector pattern. Custom connectors allow admins to specify an ordered list of Allow and Deny URL patterns for custom connectors. View DLP for custom connectors \| Microsoft Learn </t>
    </r>
    <r>
      <rPr>
        <sz val="11"/>
        <color rgb="FF0000FF"/>
        <rFont val="Calibri"/>
      </rPr>
      <t>(https://learn.microsoft.com/en-us/power-platform/admin/dlp-custom-connector-parity?WT.mc_id=ppac_inproduct_datapol)</t>
    </r>
    <r>
      <rPr>
        <sz val="11"/>
        <color rgb="FF000000"/>
        <rFont val="Calibri"/>
      </rPr>
      <t xml:space="preserve"> for more information.</t>
    </r>
    <r>
      <rPr>
        <sz val="11"/>
        <color rgb="FF000000"/>
        <rFont val="Calibri"/>
      </rPr>
      <t xml:space="preserve">
</t>
    </r>
    <r>
      <rPr>
        <sz val="11"/>
        <color rgb="FF000000"/>
        <rFont val="Calibri"/>
      </rPr>
      <t xml:space="preserve">11.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12. At the </t>
    </r>
    <r>
      <rPr>
        <b/>
        <sz val="11"/>
        <color rgb="FF000000"/>
        <rFont val="Calibri"/>
      </rPr>
      <t>Scope</t>
    </r>
    <r>
      <rPr>
        <sz val="11"/>
        <color rgb="FF000000"/>
        <rFont val="Calibri"/>
      </rPr>
      <t xml:space="preserve"> section for the default environment, select </t>
    </r>
    <r>
      <rPr>
        <b/>
        <sz val="11"/>
        <color rgb="FF000000"/>
        <rFont val="Calibri"/>
      </rPr>
      <t>Add multiple environments</t>
    </r>
    <r>
      <rPr>
        <sz val="11"/>
        <color rgb="FF000000"/>
        <rFont val="Calibri"/>
      </rPr>
      <t xml:space="preserve"> and add the default environment.</t>
    </r>
    <r>
      <rPr>
        <sz val="11"/>
        <color rgb="FF000000"/>
        <rFont val="Calibri"/>
      </rPr>
      <t xml:space="preserve">
</t>
    </r>
    <r>
      <rPr>
        <sz val="11"/>
        <color rgb="FF000000"/>
        <rFont val="Calibri"/>
      </rPr>
      <t xml:space="preserve">13. Select </t>
    </r>
    <r>
      <rPr>
        <b/>
        <sz val="11"/>
        <color rgb="FF000000"/>
        <rFont val="Calibri"/>
      </rPr>
      <t>Next</t>
    </r>
    <r>
      <rPr>
        <sz val="11"/>
        <color rgb="FF000000"/>
        <rFont val="Calibri"/>
      </rPr>
      <t xml:space="preserve">-&gt; </t>
    </r>
    <r>
      <rPr>
        <b/>
        <sz val="11"/>
        <color rgb="FF000000"/>
        <rFont val="Calibri"/>
      </rPr>
      <t>Create Policy</t>
    </r>
    <r>
      <rPr>
        <sz val="11"/>
        <color rgb="FF000000"/>
        <rFont val="Calibri"/>
      </rPr>
      <t xml:space="preserve"> to finish.</t>
    </r>
  </si>
  <si>
    <r>
      <rPr>
        <sz val="11"/>
        <color rgb="FF000000"/>
        <rFont val="Calibri"/>
      </rPr>
      <t>All users in the tenant have access to the default Power Platform environment. Those users may inadvertently use connectors that share sensitive information with others who should not have access to it. Users requiring Power Apps should be directed to conduct development in other Power Platform environments with DLP connector policies customized to suit the user's needs while also maintaining the agency's security posture.</t>
    </r>
  </si>
  <si>
    <r>
      <rPr>
        <sz val="11"/>
        <color rgb="FF000000"/>
        <rFont val="Calibri"/>
      </rPr>
      <t>To secure Power Platform environments, DLP policies can be created to restrict the connectors used with Power Apps created in an environment. A DLP policy can be created to affect all or some environments or exclude certain environments. The more restrictive policy will be enforced when there is a conflict.</t>
    </r>
    <r>
      <rPr>
        <sz val="11"/>
        <color rgb="FF000000"/>
        <rFont val="Calibri"/>
      </rPr>
      <t xml:space="preserve">
</t>
    </r>
    <r>
      <rPr>
        <sz val="11"/>
        <color rgb="FF000000"/>
        <rFont val="Calibri"/>
      </rPr>
      <t>Connectors can be separated by creating a DLP policy assigning them to one of three groups: Business, Non-Business, and Blocked. Connectors in different groups cannot be used in the same Power App. Connectors in the Blocked group cannot be used at all. (Note: Some M365 connectors cannot be blocked, such as Teams and SharePoint connectors).</t>
    </r>
    <r>
      <rPr>
        <sz val="11"/>
        <color rgb="FF000000"/>
        <rFont val="Calibri"/>
      </rPr>
      <t xml:space="preserve">
</t>
    </r>
    <r>
      <rPr>
        <sz val="11"/>
        <color rgb="FF000000"/>
        <rFont val="Calibri"/>
      </rPr>
      <t>In the DLP policy, connectors can be configured to restrict read and write permissions to the data source/service. Connectors that cannot be blocked cannot be configured. Agencies should evaluate the connectors and configure them to fit agency needs and security requirements. The agency should then create a DLP policy to only allow those connectors to be used in Power Platform.</t>
    </r>
    <r>
      <rPr>
        <sz val="11"/>
        <color rgb="FF000000"/>
        <rFont val="Calibri"/>
      </rPr>
      <t xml:space="preserve">
</t>
    </r>
    <r>
      <rPr>
        <sz val="11"/>
        <color rgb="FF000000"/>
        <rFont val="Calibri"/>
      </rPr>
      <t>When the Microsoft Entra ID tenant is created, by default, a Power Platform environment is created in Power Platform. This Power Platform environment will bear the name of the tenant. There is no way to restrict users in the Microsoft Entra ID tenant from creating Power Apps in the default Power Platform environment. Admins can restrict users from creating apps in all other created environments.</t>
    </r>
  </si>
  <si>
    <r>
      <rPr>
        <b/>
        <sz val="11"/>
        <color rgb="FF000000"/>
        <rFont val="Calibri"/>
      </rPr>
      <t>Data Policies for Power Automate and Power Apps | Digital Transformation Agency of Australia</t>
    </r>
    <r>
      <rPr>
        <sz val="11"/>
        <color rgb="FF000000"/>
        <rFont val="Calibri"/>
      </rPr>
      <t xml:space="preserve">
</t>
    </r>
    <r>
      <rPr>
        <sz val="11"/>
        <color rgb="FF0000FF"/>
        <rFont val="Calibri"/>
      </rPr>
      <t>https://desktop.gov.au/blueprint/office-365.html#power-apps-and-power-automate</t>
    </r>
    <r>
      <rPr>
        <sz val="11"/>
        <color rgb="FF000000"/>
        <rFont val="Calibri"/>
      </rPr>
      <t xml:space="preserve">
</t>
    </r>
    <r>
      <rPr>
        <b/>
        <sz val="11"/>
        <color rgb="FF000000"/>
        <rFont val="Calibri"/>
      </rPr>
      <t>Create a data loss prevention (DLP) policy | Microsoft Learn</t>
    </r>
    <r>
      <rPr>
        <sz val="11"/>
        <color rgb="FF000000"/>
        <rFont val="Calibri"/>
      </rPr>
      <t xml:space="preserve">
</t>
    </r>
    <r>
      <rPr>
        <sz val="11"/>
        <color rgb="FF0000FF"/>
        <rFont val="Calibri"/>
      </rPr>
      <t>https://learn.microsoft.com/en-us/power-platform/admin/create-dlp-policy</t>
    </r>
    <r>
      <rPr>
        <sz val="11"/>
        <color rgb="FF000000"/>
        <rFont val="Calibri"/>
      </rPr>
      <t xml:space="preserve">
</t>
    </r>
    <r>
      <rPr>
        <b/>
        <sz val="11"/>
        <color rgb="FF000000"/>
        <rFont val="Calibri"/>
      </rPr>
      <t>DLP connector classification | Microsoft Learn</t>
    </r>
    <r>
      <rPr>
        <sz val="11"/>
        <color rgb="FF000000"/>
        <rFont val="Calibri"/>
      </rPr>
      <t xml:space="preserve">
</t>
    </r>
    <r>
      <rPr>
        <sz val="11"/>
        <color rgb="FF0000FF"/>
        <rFont val="Calibri"/>
      </rPr>
      <t>https://learn.microsoft.com/en-us/power-platform/admin/dlp-connector-classification?source=recommendations</t>
    </r>
    <r>
      <rPr>
        <sz val="11"/>
        <color rgb="FF000000"/>
        <rFont val="Calibri"/>
      </rPr>
      <t xml:space="preserve">
</t>
    </r>
    <r>
      <rPr>
        <b/>
        <sz val="11"/>
        <color rgb="FF000000"/>
        <rFont val="Calibri"/>
      </rPr>
      <t>DLP for custom connectors | Microsoft Learn</t>
    </r>
    <r>
      <rPr>
        <sz val="11"/>
        <color rgb="FF000000"/>
        <rFont val="Calibri"/>
      </rPr>
      <t xml:space="preserve">
</t>
    </r>
    <r>
      <rPr>
        <sz val="11"/>
        <color rgb="FF0000FF"/>
        <rFont val="Calibri"/>
      </rPr>
      <t>https://learn.microsoft.com/en-us/power-platform/admin/dlp-custom-connector-parity?WT.mc_id=ppac_inproduct_datapol</t>
    </r>
  </si>
  <si>
    <t>MS.POWERPLATFORM.2.2v1</t>
  </si>
  <si>
    <r>
      <rPr>
        <sz val="11"/>
        <color rgb="FF000000"/>
        <rFont val="Calibri"/>
      </rPr>
      <t>Non-default environments SHOULD have at least one DLP policy affecting them.</t>
    </r>
  </si>
  <si>
    <t>SHOULD</t>
  </si>
  <si>
    <r>
      <rPr>
        <sz val="11"/>
        <color rgb="FF000000"/>
        <rFont val="Calibri"/>
      </rPr>
      <t>1. Repeat steps 1 to 11 in the MS.POWERPLATFORM.2.1v1 instructions.</t>
    </r>
    <r>
      <rPr>
        <sz val="11"/>
        <color rgb="FF000000"/>
        <rFont val="Calibri"/>
      </rPr>
      <t xml:space="preserve">
</t>
    </r>
    <r>
      <rPr>
        <sz val="11"/>
        <color rgb="FF000000"/>
        <rFont val="Calibri"/>
      </rPr>
      <t xml:space="preserve">2. At the </t>
    </r>
    <r>
      <rPr>
        <b/>
        <sz val="11"/>
        <color rgb="FF000000"/>
        <rFont val="Calibri"/>
      </rPr>
      <t>Scope</t>
    </r>
    <r>
      <rPr>
        <sz val="11"/>
        <color rgb="FF000000"/>
        <rFont val="Calibri"/>
      </rPr>
      <t xml:space="preserve"> section for the default environment, select </t>
    </r>
    <r>
      <rPr>
        <b/>
        <sz val="11"/>
        <color rgb="FF000000"/>
        <rFont val="Calibri"/>
      </rPr>
      <t>Add multiple environments</t>
    </r>
    <r>
      <rPr>
        <sz val="11"/>
        <color rgb="FF000000"/>
        <rFont val="Calibri"/>
      </rPr>
      <t xml:space="preserve"> and select the non-default environments where you wish to enforce a DLP policy upon. If you wish to apply the DLP policy for all environments including environments created in the future select </t>
    </r>
    <r>
      <rPr>
        <b/>
        <sz val="11"/>
        <color rgb="FF000000"/>
        <rFont val="Calibri"/>
      </rPr>
      <t>Add all environments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Next</t>
    </r>
    <r>
      <rPr>
        <sz val="11"/>
        <color rgb="FF000000"/>
        <rFont val="Calibri"/>
      </rPr>
      <t xml:space="preserve">-&gt; </t>
    </r>
    <r>
      <rPr>
        <b/>
        <sz val="11"/>
        <color rgb="FF000000"/>
        <rFont val="Calibri"/>
      </rPr>
      <t>Create Policy</t>
    </r>
    <r>
      <rPr>
        <sz val="11"/>
        <color rgb="FF000000"/>
        <rFont val="Calibri"/>
      </rPr>
      <t xml:space="preserve"> to finish.</t>
    </r>
  </si>
  <si>
    <r>
      <rPr>
        <sz val="11"/>
        <color rgb="FF000000"/>
        <rFont val="Calibri"/>
      </rPr>
      <t>Users may inadvertently use connectors that share sensitive information with others who should not have access to it. DLP policies provide a way for agencies to detect and prevent unauthorized disclosures.</t>
    </r>
  </si>
  <si>
    <t>Power Platform Tenant Isolation</t>
  </si>
  <si>
    <t>MS.POWERPLATFORM.3.1v1</t>
  </si>
  <si>
    <r>
      <rPr>
        <sz val="11"/>
        <color rgb="FF000000"/>
        <rFont val="Calibri"/>
      </rPr>
      <t>Power Platform tenant isolation SHALL be enabled.</t>
    </r>
  </si>
  <si>
    <r>
      <rPr>
        <sz val="11"/>
        <color rgb="FF000000"/>
        <rFont val="Calibri"/>
      </rPr>
      <t xml:space="preserve">1. Sign in to your tenant environment's respective Power Platform admin center </t>
    </r>
    <r>
      <rPr>
        <sz val="11"/>
        <color rgb="FF0000FF"/>
        <rFont val="Calibri"/>
      </rPr>
      <t>(https://learn.microsoft.com/en-us/power-platform/admin/powerapps-us-government#power-apps-us-government-service-urls)</t>
    </r>
    <r>
      <rPr>
        <sz val="11"/>
        <color rgb="FF000000"/>
        <rFont val="Calibri"/>
      </rPr>
      <t>.</t>
    </r>
    <r>
      <rPr>
        <sz val="11"/>
        <color rgb="FF000000"/>
        <rFont val="Calibri"/>
      </rPr>
      <t xml:space="preserve">
</t>
    </r>
    <r>
      <rPr>
        <sz val="11"/>
        <color rgb="FF000000"/>
        <rFont val="Calibri"/>
      </rPr>
      <t xml:space="preserve">2. On the left pane, select </t>
    </r>
    <r>
      <rPr>
        <b/>
        <sz val="11"/>
        <color rgb="FF000000"/>
        <rFont val="Calibri"/>
      </rPr>
      <t>Policies -&gt; Tenant Isolation</t>
    </r>
    <r>
      <rPr>
        <sz val="11"/>
        <color rgb="FF000000"/>
        <rFont val="Calibri"/>
      </rPr>
      <t>.</t>
    </r>
    <r>
      <rPr>
        <sz val="11"/>
        <color rgb="FF000000"/>
        <rFont val="Calibri"/>
      </rPr>
      <t xml:space="preserve">
</t>
    </r>
    <r>
      <rPr>
        <sz val="11"/>
        <color rgb="FF000000"/>
        <rFont val="Calibri"/>
      </rPr>
      <t xml:space="preserve">3. Set the slider in the center of the screen to </t>
    </r>
    <r>
      <rPr>
        <b/>
        <sz val="11"/>
        <color rgb="FF000000"/>
        <rFont val="Calibri"/>
      </rPr>
      <t>On</t>
    </r>
    <r>
      <rPr>
        <sz val="11"/>
        <color rgb="FF000000"/>
        <rFont val="Calibri"/>
      </rPr>
      <t xml:space="preserve"> then click </t>
    </r>
    <r>
      <rPr>
        <b/>
        <sz val="11"/>
        <color rgb="FF000000"/>
        <rFont val="Calibri"/>
      </rPr>
      <t>Save</t>
    </r>
    <r>
      <rPr>
        <sz val="11"/>
        <color rgb="FF000000"/>
        <rFont val="Calibri"/>
      </rPr>
      <t xml:space="preserve"> on the bottom of the screen.</t>
    </r>
  </si>
  <si>
    <r>
      <rPr>
        <sz val="11"/>
        <color rgb="FF000000"/>
        <rFont val="Calibri"/>
      </rPr>
      <t>Provides an additional tenant isolation control on top of Microsoft Entra ID tenant isolation specifically for Power Platform applications to prevent accidental or malicious cross tenant information sharing.</t>
    </r>
  </si>
  <si>
    <r>
      <rPr>
        <sz val="11"/>
        <color rgb="FF000000"/>
        <rFont val="Calibri"/>
      </rPr>
      <t xml:space="preserve">Power Platform tenant isolation is different from Microsoft Entra ID wide tenant restriction. It does not impact Microsoft Entra-based access outside of Power Platform. Power Platform tenant isolation only works for connectors using Microsoft Entra-based authentication, such as Office 365 Outlook or SharePoint. The default configuration in Power Platform has tenant isolation set to </t>
    </r>
    <r>
      <rPr>
        <b/>
        <sz val="11"/>
        <color rgb="FF000000"/>
        <rFont val="Calibri"/>
      </rPr>
      <t>Off</t>
    </r>
    <r>
      <rPr>
        <sz val="11"/>
        <color rgb="FF000000"/>
        <rFont val="Calibri"/>
      </rPr>
      <t>, allowing for cross-tenant connections to be established. A user from tenant A using a Power App with a connector can seamlessly establish a connection to tenant B if using appropriate Microsoft Entra ID credentials.</t>
    </r>
    <r>
      <rPr>
        <sz val="11"/>
        <color rgb="FF000000"/>
        <rFont val="Calibri"/>
      </rPr>
      <t xml:space="preserve">
</t>
    </r>
    <r>
      <rPr>
        <sz val="11"/>
        <color rgb="FF000000"/>
        <rFont val="Calibri"/>
      </rPr>
      <t>If admins want to allow only a select set of tenants to establish connections to or from their tenant, they can turn on tenant isolation. Once tenant isolation is turned on, inbound (connections to the tenant from external tenants) and outbound (connections from the tenant to external tenants) cross-tenant connections are blocked by Power Platform even if the user presents valid credentials to the Microsoft Entra-secured data source.</t>
    </r>
  </si>
  <si>
    <r>
      <rPr>
        <b/>
        <sz val="11"/>
        <color rgb="FF000000"/>
        <rFont val="Calibri"/>
      </rPr>
      <t>Enable tenant isolation and configure allowlist | Microsoft Learn</t>
    </r>
    <r>
      <rPr>
        <sz val="11"/>
        <color rgb="FF000000"/>
        <rFont val="Calibri"/>
      </rPr>
      <t xml:space="preserve">
</t>
    </r>
    <r>
      <rPr>
        <sz val="11"/>
        <color rgb="FF0000FF"/>
        <rFont val="Calibri"/>
      </rPr>
      <t>https://learn.microsoft.com/en-us/power-platform/admin/cross-tenant-restrictions#enable-tenant-isolation-and-configure-allowlist</t>
    </r>
  </si>
  <si>
    <t>MS.POWERPLATFORM.3.2v1</t>
  </si>
  <si>
    <r>
      <rPr>
        <sz val="11"/>
        <color rgb="FF000000"/>
        <rFont val="Calibri"/>
      </rPr>
      <t>An inbound/outbound connection allowlist SHOULD be configured.</t>
    </r>
  </si>
  <si>
    <r>
      <rPr>
        <sz val="11"/>
        <color rgb="FF000000"/>
        <rFont val="Calibri"/>
      </rPr>
      <t xml:space="preserve">1. Follow steps </t>
    </r>
    <r>
      <rPr>
        <b/>
        <sz val="11"/>
        <color rgb="FF000000"/>
        <rFont val="Calibri"/>
      </rPr>
      <t>1 and 2</t>
    </r>
    <r>
      <rPr>
        <sz val="11"/>
        <color rgb="FF000000"/>
        <rFont val="Calibri"/>
      </rPr>
      <t xml:space="preserve"> in </t>
    </r>
    <r>
      <rPr>
        <b/>
        <sz val="11"/>
        <color rgb="FF000000"/>
        <rFont val="Calibri"/>
      </rPr>
      <t>MS.POWERPLATFORM.3.1v1 instructions</t>
    </r>
    <r>
      <rPr>
        <sz val="11"/>
        <color rgb="FF000000"/>
        <rFont val="Calibri"/>
      </rPr>
      <t xml:space="preserve"> to</t>
    </r>
    <r>
      <rPr>
        <sz val="11"/>
        <color rgb="FF000000"/>
        <rFont val="Calibri"/>
      </rPr>
      <t xml:space="preserve">
</t>
    </r>
    <r>
      <rPr>
        <sz val="11"/>
        <color rgb="FF000000"/>
        <rFont val="Calibri"/>
      </rPr>
      <t>arrive at the same page.</t>
    </r>
    <r>
      <rPr>
        <sz val="11"/>
        <color rgb="FF000000"/>
        <rFont val="Calibri"/>
      </rPr>
      <t xml:space="preserve">
</t>
    </r>
    <r>
      <rPr>
        <sz val="11"/>
        <color rgb="FF000000"/>
        <rFont val="Calibri"/>
      </rPr>
      <t xml:space="preserve">1. The tenant isolation allowlist can be configured by clicking </t>
    </r>
    <r>
      <rPr>
        <b/>
        <sz val="11"/>
        <color rgb="FF000000"/>
        <rFont val="Calibri"/>
      </rPr>
      <t>New tenant rule</t>
    </r>
    <r>
      <rPr>
        <sz val="11"/>
        <color rgb="FF000000"/>
        <rFont val="Calibri"/>
      </rPr>
      <t xml:space="preserve">
</t>
    </r>
    <r>
      <rPr>
        <sz val="11"/>
        <color rgb="FF000000"/>
        <rFont val="Calibri"/>
      </rPr>
      <t>on the Tenant Isolation page.</t>
    </r>
    <r>
      <rPr>
        <sz val="11"/>
        <color rgb="FF000000"/>
        <rFont val="Calibri"/>
      </rPr>
      <t xml:space="preserve">
</t>
    </r>
    <r>
      <rPr>
        <sz val="11"/>
        <color rgb="FF000000"/>
        <rFont val="Calibri"/>
      </rPr>
      <t xml:space="preserve">1. Select the </t>
    </r>
    <r>
      <rPr>
        <b/>
        <sz val="11"/>
        <color rgb="FF000000"/>
        <rFont val="Calibri"/>
      </rPr>
      <t>Direction</t>
    </r>
    <r>
      <rPr>
        <sz val="11"/>
        <color rgb="FF000000"/>
        <rFont val="Calibri"/>
      </rPr>
      <t xml:space="preserve"> of the rule and add the </t>
    </r>
    <r>
      <rPr>
        <b/>
        <sz val="11"/>
        <color rgb="FF000000"/>
        <rFont val="Calibri"/>
      </rPr>
      <t>Tenant Domain or ID</t>
    </r>
    <r>
      <rPr>
        <sz val="11"/>
        <color rgb="FF000000"/>
        <rFont val="Calibri"/>
      </rPr>
      <t xml:space="preserve"> this rule applies to.</t>
    </r>
    <r>
      <rPr>
        <sz val="11"/>
        <color rgb="FF000000"/>
        <rFont val="Calibri"/>
      </rPr>
      <t xml:space="preserve">
</t>
    </r>
    <r>
      <rPr>
        <sz val="11"/>
        <color rgb="FF000000"/>
        <rFont val="Calibri"/>
      </rPr>
      <t xml:space="preserve">2. If Tenant Isolation is switched </t>
    </r>
    <r>
      <rPr>
        <b/>
        <sz val="11"/>
        <color rgb="FF000000"/>
        <rFont val="Calibri"/>
      </rPr>
      <t>Off</t>
    </r>
    <r>
      <rPr>
        <sz val="11"/>
        <color rgb="FF000000"/>
        <rFont val="Calibri"/>
      </rPr>
      <t>, these rules will not be enforced until tenant</t>
    </r>
    <r>
      <rPr>
        <sz val="11"/>
        <color rgb="FF000000"/>
        <rFont val="Calibri"/>
      </rPr>
      <t xml:space="preserve">
</t>
    </r>
    <r>
      <rPr>
        <sz val="11"/>
        <color rgb="FF000000"/>
        <rFont val="Calibri"/>
      </rPr>
      <t xml:space="preserve">isolation is turned </t>
    </r>
    <r>
      <rPr>
        <b/>
        <sz val="11"/>
        <color rgb="FF000000"/>
        <rFont val="Calibri"/>
      </rPr>
      <t>On</t>
    </r>
    <r>
      <rPr>
        <sz val="11"/>
        <color rgb="FF000000"/>
        <rFont val="Calibri"/>
      </rPr>
      <t>.</t>
    </r>
  </si>
  <si>
    <r>
      <rPr>
        <sz val="11"/>
        <color rgb="FF000000"/>
        <rFont val="Calibri"/>
      </rPr>
      <t>Depending on agency needs an allowlist can be configured to allow cross tenant collaboration via connectors.</t>
    </r>
  </si>
  <si>
    <t>Power Apps Content Security Policy</t>
  </si>
  <si>
    <t>MS.POWERPLATFORM.4.1v1</t>
  </si>
  <si>
    <r>
      <rPr>
        <sz val="11"/>
        <color rgb="FF000000"/>
        <rFont val="Calibri"/>
      </rPr>
      <t>Content Security Policy (CSP) SHALL be enforced for model-driven and canvas Power Apps.</t>
    </r>
  </si>
  <si>
    <r>
      <rPr>
        <sz val="11"/>
        <color rgb="FF000000"/>
        <rFont val="Calibri"/>
      </rPr>
      <t>1. Sign in to your tenant environment's respective Power Platform admin</t>
    </r>
    <r>
      <rPr>
        <sz val="11"/>
        <color rgb="FF000000"/>
        <rFont val="Calibri"/>
      </rPr>
      <t xml:space="preserve">
</t>
    </r>
    <r>
      <rPr>
        <sz val="11"/>
        <color rgb="FF000000"/>
        <rFont val="Calibri"/>
      </rPr>
      <t xml:space="preserve">center </t>
    </r>
    <r>
      <rPr>
        <sz val="11"/>
        <color rgb="FF0000FF"/>
        <rFont val="Calibri"/>
      </rPr>
      <t>(https://learn.microsoft.com/en-us/power-platform/admin/powerapps-us-government#power-apps-us-government-service-urls)</t>
    </r>
    <r>
      <rPr>
        <sz val="11"/>
        <color rgb="FF000000"/>
        <rFont val="Calibri"/>
      </rPr>
      <t>.</t>
    </r>
    <r>
      <rPr>
        <sz val="11"/>
        <color rgb="FF000000"/>
        <rFont val="Calibri"/>
      </rPr>
      <t xml:space="preserve">
</t>
    </r>
    <r>
      <rPr>
        <sz val="11"/>
        <color rgb="FF000000"/>
        <rFont val="Calibri"/>
      </rPr>
      <t xml:space="preserve">1. On the left-hand pane click on </t>
    </r>
    <r>
      <rPr>
        <b/>
        <sz val="11"/>
        <color rgb="FF000000"/>
        <rFont val="Calibri"/>
      </rPr>
      <t>Environments</t>
    </r>
    <r>
      <rPr>
        <sz val="11"/>
        <color rgb="FF000000"/>
        <rFont val="Calibri"/>
      </rPr>
      <t xml:space="preserve"> and then select an environment from the list.</t>
    </r>
    <r>
      <rPr>
        <sz val="11"/>
        <color rgb="FF000000"/>
        <rFont val="Calibri"/>
      </rPr>
      <t xml:space="preserve">
</t>
    </r>
    <r>
      <rPr>
        <sz val="11"/>
        <color rgb="FF000000"/>
        <rFont val="Calibri"/>
      </rPr>
      <t xml:space="preserve">2. Select the </t>
    </r>
    <r>
      <rPr>
        <b/>
        <sz val="11"/>
        <color rgb="FF000000"/>
        <rFont val="Calibri"/>
      </rPr>
      <t>Settings</t>
    </r>
    <r>
      <rPr>
        <sz val="11"/>
        <color rgb="FF000000"/>
        <rFont val="Calibri"/>
      </rPr>
      <t xml:space="preserve"> icon at the top of the page.</t>
    </r>
    <r>
      <rPr>
        <sz val="11"/>
        <color rgb="FF000000"/>
        <rFont val="Calibri"/>
      </rPr>
      <t xml:space="preserve">
</t>
    </r>
    <r>
      <rPr>
        <sz val="11"/>
        <color rgb="FF000000"/>
        <rFont val="Calibri"/>
      </rPr>
      <t xml:space="preserve">3. Click on </t>
    </r>
    <r>
      <rPr>
        <b/>
        <sz val="11"/>
        <color rgb="FF000000"/>
        <rFont val="Calibri"/>
      </rPr>
      <t>Product</t>
    </r>
    <r>
      <rPr>
        <sz val="11"/>
        <color rgb="FF000000"/>
        <rFont val="Calibri"/>
      </rPr>
      <t xml:space="preserve"> then click on </t>
    </r>
    <r>
      <rPr>
        <b/>
        <sz val="11"/>
        <color rgb="FF000000"/>
        <rFont val="Calibri"/>
      </rPr>
      <t>Privacy + Security</t>
    </r>
    <r>
      <rPr>
        <sz val="11"/>
        <color rgb="FF000000"/>
        <rFont val="Calibri"/>
      </rPr>
      <t xml:space="preserve"> from the options that appear.</t>
    </r>
    <r>
      <rPr>
        <sz val="11"/>
        <color rgb="FF000000"/>
        <rFont val="Calibri"/>
      </rPr>
      <t xml:space="preserve">
</t>
    </r>
    <r>
      <rPr>
        <sz val="11"/>
        <color rgb="FF000000"/>
        <rFont val="Calibri"/>
      </rPr>
      <t xml:space="preserve">4. At the bottom of the page under the </t>
    </r>
    <r>
      <rPr>
        <b/>
        <sz val="11"/>
        <color rgb="FF000000"/>
        <rFont val="Calibri"/>
      </rPr>
      <t>Content security policy</t>
    </r>
    <r>
      <rPr>
        <sz val="11"/>
        <color rgb="FF000000"/>
        <rFont val="Calibri"/>
      </rPr>
      <t xml:space="preserve"> section, turn the slider </t>
    </r>
    <r>
      <rPr>
        <b/>
        <sz val="11"/>
        <color rgb="FF000000"/>
        <rFont val="Calibri"/>
      </rPr>
      <t>On</t>
    </r>
    <r>
      <rPr>
        <sz val="11"/>
        <color rgb="FF000000"/>
        <rFont val="Calibri"/>
      </rPr>
      <t xml:space="preserve"> for </t>
    </r>
    <r>
      <rPr>
        <b/>
        <sz val="11"/>
        <color rgb="FF000000"/>
        <rFont val="Calibri"/>
      </rPr>
      <t>Model-driven</t>
    </r>
    <r>
      <rPr>
        <sz val="11"/>
        <color rgb="FF000000"/>
        <rFont val="Calibri"/>
      </rPr>
      <t xml:space="preserve"> and </t>
    </r>
    <r>
      <rPr>
        <b/>
        <sz val="11"/>
        <color rgb="FF000000"/>
        <rFont val="Calibri"/>
      </rPr>
      <t>Canvas</t>
    </r>
    <r>
      <rPr>
        <sz val="11"/>
        <color rgb="FF000000"/>
        <rFont val="Calibri"/>
      </rPr>
      <t>.</t>
    </r>
    <r>
      <rPr>
        <sz val="11"/>
        <color rgb="FF000000"/>
        <rFont val="Calibri"/>
      </rPr>
      <t xml:space="preserve">
</t>
    </r>
    <r>
      <rPr>
        <sz val="11"/>
        <color rgb="FF000000"/>
        <rFont val="Calibri"/>
      </rPr>
      <t xml:space="preserve">5. At the same location, set </t>
    </r>
    <r>
      <rPr>
        <b/>
        <sz val="11"/>
        <color rgb="FF000000"/>
        <rFont val="Calibri"/>
      </rPr>
      <t>Enable reporting</t>
    </r>
    <r>
      <rPr>
        <sz val="11"/>
        <color rgb="FF000000"/>
        <rFont val="Calibri"/>
      </rPr>
      <t xml:space="preserve"> to </t>
    </r>
    <r>
      <rPr>
        <b/>
        <sz val="11"/>
        <color rgb="FF000000"/>
        <rFont val="Calibri"/>
      </rPr>
      <t>On</t>
    </r>
    <r>
      <rPr>
        <sz val="11"/>
        <color rgb="FF000000"/>
        <rFont val="Calibri"/>
      </rPr>
      <t xml:space="preserve"> and add an appropriate endpoint for reporting CSP violations can be reported to.</t>
    </r>
    <r>
      <rPr>
        <sz val="11"/>
        <color rgb="FF000000"/>
        <rFont val="Calibri"/>
      </rPr>
      <t xml:space="preserve">
</t>
    </r>
    <r>
      <rPr>
        <sz val="11"/>
        <color rgb="FF000000"/>
        <rFont val="Calibri"/>
      </rPr>
      <t>6. Repeat steps 2 to 6 for all active Power Platform environments.</t>
    </r>
  </si>
  <si>
    <r>
      <rPr>
        <sz val="11"/>
        <color rgb="FF000000"/>
        <rFont val="Calibri"/>
      </rPr>
      <t>Adds CSP as a defense mechanism for Power Apps against common website attacks.</t>
    </r>
  </si>
  <si>
    <r>
      <rPr>
        <sz val="11"/>
        <color rgb="FF000000"/>
        <rFont val="Calibri"/>
      </rPr>
      <t>Content Security Policy (CSP) is an added security layer that helps to detect and mitigate certain types of attacks, including Cross-Site Scripting (XSS), clickjacking, and data injection attacks. When enabled, this setting can apply to all current canvas apps and model-driven apps at the Power Platform environment level.</t>
    </r>
  </si>
  <si>
    <r>
      <rPr>
        <b/>
        <sz val="11"/>
        <color rgb="FF000000"/>
        <rFont val="Calibri"/>
      </rPr>
      <t>Content Security Policy | Microsoft Learn</t>
    </r>
    <r>
      <rPr>
        <sz val="11"/>
        <color rgb="FF000000"/>
        <rFont val="Calibri"/>
      </rPr>
      <t xml:space="preserve">
</t>
    </r>
    <r>
      <rPr>
        <sz val="11"/>
        <color rgb="FF0000FF"/>
        <rFont val="Calibri"/>
      </rPr>
      <t>https://learn.microsoft.com/en-us/power-platform/admin/content-security-policy</t>
    </r>
  </si>
  <si>
    <t>Power Pages Creation</t>
  </si>
  <si>
    <t>MS.POWERPLATFORM.5.1v1</t>
  </si>
  <si>
    <r>
      <rPr>
        <sz val="11"/>
        <color rgb="FF000000"/>
        <rFont val="Calibri"/>
      </rPr>
      <t>The ability to create Power Pages sites SHOULD be restricted to admins.</t>
    </r>
  </si>
  <si>
    <r>
      <rPr>
        <sz val="11"/>
        <color rgb="FF000000"/>
        <rFont val="Calibri"/>
      </rPr>
      <t xml:space="preserve">1. This setting currently can only be enabled through the Power Apps PowerShell modules </t>
    </r>
    <r>
      <rPr>
        <sz val="11"/>
        <color rgb="FF0000FF"/>
        <rFont val="Calibri"/>
      </rPr>
      <t>(https://learn.microsoft.com/en-us/power-platform/admin/powerapps-powershell#installation)</t>
    </r>
    <r>
      <rPr>
        <sz val="11"/>
        <color rgb="FF000000"/>
        <rFont val="Calibri"/>
      </rPr>
      <t>.</t>
    </r>
    <r>
      <rPr>
        <sz val="11"/>
        <color rgb="FF000000"/>
        <rFont val="Calibri"/>
      </rPr>
      <t xml:space="preserve">
</t>
    </r>
    <r>
      <rPr>
        <sz val="11"/>
        <color rgb="FF000000"/>
        <rFont val="Calibri"/>
      </rPr>
      <t xml:space="preserve">2. After installing the Power Apps PowerShell modules, run </t>
    </r>
    <r>
      <rPr>
        <b/>
        <sz val="11"/>
        <color rgb="FF000000"/>
        <rFont val="Calibri"/>
      </rPr>
      <t>Add-PowerAppsAccount -Endpoint $YourTenantsEndpoint</t>
    </r>
    <r>
      <rPr>
        <sz val="11"/>
        <color rgb="FF000000"/>
        <rFont val="Calibri"/>
      </rPr>
      <t>. To authenticate to your tenant's Power Platform.</t>
    </r>
    <r>
      <rPr>
        <sz val="11"/>
        <color rgb="FF000000"/>
        <rFont val="Calibri"/>
      </rPr>
      <t xml:space="preserve">
</t>
    </r>
    <r>
      <rPr>
        <sz val="11"/>
        <color rgb="FF000000"/>
        <rFont val="Calibri"/>
      </rPr>
      <t xml:space="preserve">Discover the valid endpoint parameter here </t>
    </r>
    <r>
      <rPr>
        <sz val="11"/>
        <color rgb="FF0000FF"/>
        <rFont val="Calibri"/>
      </rPr>
      <t>(https://learn.microsoft.com/en-us/powershell/module/microsoft.powerapps.administration.powershell/add-powerappsaccount?view=pa-ps-latest#-endpoint)</t>
    </r>
    <r>
      <rPr>
        <sz val="11"/>
        <color rgb="FF000000"/>
        <rFont val="Calibri"/>
      </rPr>
      <t xml:space="preserve">. Commercial tenants use </t>
    </r>
    <r>
      <rPr>
        <b/>
        <sz val="11"/>
        <color rgb="FF000000"/>
        <rFont val="Calibri"/>
      </rPr>
      <t>-Endpoint prod</t>
    </r>
    <r>
      <rPr>
        <sz val="11"/>
        <color rgb="FF000000"/>
        <rFont val="Calibri"/>
      </rPr>
      <t xml:space="preserve">, GCC tenants use </t>
    </r>
    <r>
      <rPr>
        <b/>
        <sz val="11"/>
        <color rgb="FF000000"/>
        <rFont val="Calibri"/>
      </rPr>
      <t>-Endpoint usgov</t>
    </r>
    <r>
      <rPr>
        <sz val="11"/>
        <color rgb="FF000000"/>
        <rFont val="Calibri"/>
      </rPr>
      <t xml:space="preserve"> and so on.</t>
    </r>
    <r>
      <rPr>
        <sz val="11"/>
        <color rgb="FF000000"/>
        <rFont val="Calibri"/>
      </rPr>
      <t xml:space="preserve">
</t>
    </r>
    <r>
      <rPr>
        <sz val="11"/>
        <color rgb="FF000000"/>
        <rFont val="Calibri"/>
      </rPr>
      <t>1. Then run the following PowerShell command to disable the creation of Power Pages sites by non-administrative users.</t>
    </r>
    <r>
      <rPr>
        <sz val="11"/>
        <color rgb="FF000000"/>
        <rFont val="Calibri"/>
      </rPr>
      <t xml:space="preserve">
</t>
    </r>
    <r>
      <rPr>
        <sz val="11"/>
        <color rgb="FF000000"/>
        <rFont val="Calibri"/>
      </rPr>
      <t>``</t>
    </r>
    <r>
      <rPr>
        <b/>
        <sz val="11"/>
        <color rgb="FF000000"/>
        <rFont val="Calibri"/>
      </rPr>
      <t xml:space="preserve"> Set-TenantSettings -RequestBody @{ “disablePortalsCreationByNonAdminUsers” = $true } </t>
    </r>
    <r>
      <rPr>
        <sz val="11"/>
        <color rgb="FF000000"/>
        <rFont val="Calibri"/>
      </rPr>
      <t>``</t>
    </r>
  </si>
  <si>
    <r>
      <rPr>
        <sz val="11"/>
        <color rgb="FF000000"/>
        <rFont val="Calibri"/>
      </rPr>
      <t>Users may unintentionally misconfigure their Power Pages to expose sensitive information or leave the website in a vulnerable state.</t>
    </r>
  </si>
  <si>
    <r>
      <rPr>
        <sz val="11"/>
        <color rgb="FF000000"/>
        <rFont val="Calibri"/>
      </rPr>
      <t>Power Pages formerly known as Power Portals are Power Apps specifically designed to act as external facing websites. By default any user in the tenant can create a Power Page. Admins can restrict the creation of new Power Pages to only admins.</t>
    </r>
  </si>
  <si>
    <r>
      <rPr>
        <b/>
        <sz val="11"/>
        <color rgb="FF000000"/>
        <rFont val="Calibri"/>
      </rPr>
      <t>Control Portal Creation | Microsoft Learn</t>
    </r>
    <r>
      <rPr>
        <sz val="11"/>
        <color rgb="FF000000"/>
        <rFont val="Calibri"/>
      </rPr>
      <t xml:space="preserve">
</t>
    </r>
    <r>
      <rPr>
        <sz val="11"/>
        <color rgb="FF0000FF"/>
        <rFont val="Calibri"/>
      </rPr>
      <t>https://learn.microsoft.com/en-us/power-apps/maker/portals/control-portal-creation</t>
    </r>
  </si>
  <si>
    <t>Power Apps Sharing Controls</t>
  </si>
  <si>
    <t>MS.POWERPLATFORM.6.1v1</t>
  </si>
  <si>
    <r>
      <rPr>
        <sz val="11"/>
        <color rgb="FF000000"/>
        <rFont val="Calibri"/>
      </rPr>
      <t>The Share with Everyone feature SHOULD be disabled.</t>
    </r>
  </si>
  <si>
    <r>
      <rPr>
        <sz val="11"/>
        <color rgb="FF000000"/>
        <rFont val="Calibri"/>
      </rPr>
      <t xml:space="preserve">1. This setting currently can only be enabled through the Power Apps PowerShell modules </t>
    </r>
    <r>
      <rPr>
        <sz val="11"/>
        <color rgb="FF0000FF"/>
        <rFont val="Calibri"/>
      </rPr>
      <t>(https://learn.microsoft.com/en-us/power-platform/admin/powerapps-powershell#installation)</t>
    </r>
    <r>
      <rPr>
        <sz val="11"/>
        <color rgb="FF000000"/>
        <rFont val="Calibri"/>
      </rPr>
      <t>.</t>
    </r>
    <r>
      <rPr>
        <sz val="11"/>
        <color rgb="FF000000"/>
        <rFont val="Calibri"/>
      </rPr>
      <t xml:space="preserve">
</t>
    </r>
    <r>
      <rPr>
        <sz val="11"/>
        <color rgb="FF000000"/>
        <rFont val="Calibri"/>
      </rPr>
      <t xml:space="preserve">2. After installing the Power Apps PowerShell modules, run </t>
    </r>
    <r>
      <rPr>
        <b/>
        <sz val="11"/>
        <color rgb="FF000000"/>
        <rFont val="Calibri"/>
      </rPr>
      <t>Add-PowerAppsAccount -Endpoint $YourTenantsEndpoint</t>
    </r>
    <r>
      <rPr>
        <sz val="11"/>
        <color rgb="FF000000"/>
        <rFont val="Calibri"/>
      </rPr>
      <t>. To authenticate to your tenant's Power Platform.</t>
    </r>
    <r>
      <rPr>
        <sz val="11"/>
        <color rgb="FF000000"/>
        <rFont val="Calibri"/>
      </rPr>
      <t xml:space="preserve">
</t>
    </r>
    <r>
      <rPr>
        <sz val="11"/>
        <color rgb="FF000000"/>
        <rFont val="Calibri"/>
      </rPr>
      <t xml:space="preserve">Discover the valid endpoint parameter here </t>
    </r>
    <r>
      <rPr>
        <sz val="11"/>
        <color rgb="FF0000FF"/>
        <rFont val="Calibri"/>
      </rPr>
      <t>(https://learn.microsoft.com/en-us/powershell/module/microsoft.powerapps.administration.powershell/add-powerappsaccount?view=pa-ps-latest#-endpoint)</t>
    </r>
    <r>
      <rPr>
        <sz val="11"/>
        <color rgb="FF000000"/>
        <rFont val="Calibri"/>
      </rPr>
      <t xml:space="preserve">. Commercial tenants use </t>
    </r>
    <r>
      <rPr>
        <b/>
        <sz val="11"/>
        <color rgb="FF000000"/>
        <rFont val="Calibri"/>
      </rPr>
      <t>-Endpoint prod</t>
    </r>
    <r>
      <rPr>
        <sz val="11"/>
        <color rgb="FF000000"/>
        <rFont val="Calibri"/>
      </rPr>
      <t xml:space="preserve">, GCC tenants use </t>
    </r>
    <r>
      <rPr>
        <b/>
        <sz val="11"/>
        <color rgb="FF000000"/>
        <rFont val="Calibri"/>
      </rPr>
      <t>-Endpoint usgov</t>
    </r>
    <r>
      <rPr>
        <sz val="11"/>
        <color rgb="FF000000"/>
        <rFont val="Calibri"/>
      </rPr>
      <t xml:space="preserve"> and so on.</t>
    </r>
    <r>
      <rPr>
        <sz val="11"/>
        <color rgb="FF000000"/>
        <rFont val="Calibri"/>
      </rPr>
      <t xml:space="preserve">
</t>
    </r>
    <r>
      <rPr>
        <sz val="11"/>
        <color rgb="FF000000"/>
        <rFont val="Calibri"/>
      </rPr>
      <t xml:space="preserve">1. Then run the following PowerShell commands to get the settings object and set the variable </t>
    </r>
    <r>
      <rPr>
        <b/>
        <sz val="11"/>
        <color rgb="FF000000"/>
        <rFont val="Calibri"/>
      </rPr>
      <t>disableShareWithEveryone</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0000"/>
        <rFont val="Calibri"/>
      </rPr>
      <t>``</t>
    </r>
    <r>
      <rPr>
        <b/>
        <sz val="11"/>
        <color rgb="FF000000"/>
        <rFont val="Calibri"/>
      </rPr>
      <t xml:space="preserve"> $tenantSettings = Get-TenantSettings $tenantSettings.powerPlatform.powerApps.disableShareWithEveryone = $true Set-TenantSettings $tenantSettings </t>
    </r>
    <r>
      <rPr>
        <sz val="11"/>
        <color rgb="FF000000"/>
        <rFont val="Calibri"/>
      </rPr>
      <t>``</t>
    </r>
  </si>
  <si>
    <r>
      <rPr>
        <sz val="11"/>
        <color rgb="FF000000"/>
        <rFont val="Calibri"/>
      </rPr>
      <t xml:space="preserve">Prevents tenant-wide exposure of applications with unintended users. If enabled, this setting grants application access to the </t>
    </r>
    <r>
      <rPr>
        <b/>
        <sz val="11"/>
        <color rgb="FF000000"/>
        <rFont val="Calibri"/>
      </rPr>
      <t>Everyone</t>
    </r>
    <r>
      <rPr>
        <sz val="11"/>
        <color rgb="FF000000"/>
        <rFont val="Calibri"/>
      </rPr>
      <t xml:space="preserve"> group for your organization. Its membership contains all users present in the directory, including B2B guest accounts and internal members. The </t>
    </r>
    <r>
      <rPr>
        <b/>
        <sz val="11"/>
        <color rgb="FF000000"/>
        <rFont val="Calibri"/>
      </rPr>
      <t>Everyone</t>
    </r>
    <r>
      <rPr>
        <sz val="11"/>
        <color rgb="FF000000"/>
        <rFont val="Calibri"/>
      </rPr>
      <t xml:space="preserve"> group is not a standard Microsoft Entra ID security group and can't be edited or viewed, complicating auditing and access governance. The configuration setting is disabled by default; however, this is a defense-in-depth policy to protect against misconfigurations or malicious actors.</t>
    </r>
  </si>
  <si>
    <r>
      <rPr>
        <sz val="11"/>
        <color rgb="FF000000"/>
        <rFont val="Calibri"/>
      </rPr>
      <t xml:space="preserve">Power Apps supports discovery of apps by allowing makers to share canvas apps with individuals and security groups. Sharing with </t>
    </r>
    <r>
      <rPr>
        <b/>
        <sz val="11"/>
        <color rgb="FF000000"/>
        <rFont val="Calibri"/>
      </rPr>
      <t>Everyone</t>
    </r>
    <r>
      <rPr>
        <sz val="11"/>
        <color rgb="FF000000"/>
        <rFont val="Calibri"/>
      </rPr>
      <t xml:space="preserve">, or all users present in the directory, is disabled by default. When the </t>
    </r>
    <r>
      <rPr>
        <b/>
        <sz val="11"/>
        <color rgb="FF000000"/>
        <rFont val="Calibri"/>
      </rPr>
      <t>Share with Everyone</t>
    </r>
    <r>
      <rPr>
        <sz val="11"/>
        <color rgb="FF000000"/>
        <rFont val="Calibri"/>
      </rPr>
      <t xml:space="preserve"> feature is disabled, only Dynamics 365 administrators, Power Platform administrators, and global administrators have the ability to share an application with everyone in the environment.</t>
    </r>
  </si>
  <si>
    <r>
      <rPr>
        <b/>
        <sz val="11"/>
        <color rgb="FF000000"/>
        <rFont val="Calibri"/>
      </rPr>
      <t>Limit Sharing with Everyone | Microsoft Learn</t>
    </r>
    <r>
      <rPr>
        <sz val="11"/>
        <color rgb="FF000000"/>
        <rFont val="Calibri"/>
      </rPr>
      <t xml:space="preserve">
</t>
    </r>
    <r>
      <rPr>
        <sz val="11"/>
        <color rgb="FF0000FF"/>
        <rFont val="Calibri"/>
      </rPr>
      <t>https://learn.microsoft.com/en-us/power-platform/guidance/adoption/secure-default-environment#limit-sharing-with-everyone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</si>
  <si>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</si>
  <si>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</si>
  <si>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</si>
  <si>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</si>
  <si>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</si>
  <si>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</si>
  <si>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</si>
  <si>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</si>
  <si>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</si>
  <si>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</si>
  <si>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</si>
  <si>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</si>
  <si>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</si>
  <si>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</si>
  <si>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</si>
  <si>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</si>
  <si>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</si>
  <si>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</si>
  <si>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</si>
  <si>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</si>
  <si>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</si>
  <si>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</si>
  <si>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</si>
  <si>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</si>
  <si>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</si>
  <si>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</si>
  <si>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</si>
  <si>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</si>
  <si>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</si>
  <si>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M365 Secure Configuration Baseline for Power Platform</t>
  </si>
  <si>
    <t>Developed By:</t>
  </si>
  <si>
    <t>Cybersecurity and Infrastructure Security Agency (CISA)</t>
  </si>
  <si>
    <t>Release Information:</t>
  </si>
  <si>
    <r>
      <rPr>
        <b/>
        <sz val="11"/>
        <color rgb="FF000000"/>
        <rFont val="Calibri"/>
      </rPr>
      <t>Version:</t>
    </r>
    <r>
      <rPr>
        <sz val="11"/>
        <color rgb="FF000000"/>
        <rFont val="Calibri"/>
      </rPr>
      <t xml:space="preserve"> 1.8.0     </t>
    </r>
    <r>
      <rPr>
        <b/>
        <sz val="11"/>
        <color rgb="FF000000"/>
        <rFont val="Calibri"/>
      </rPr>
      <t>Date:</t>
    </r>
    <r>
      <rPr>
        <sz val="11"/>
        <color rgb="FF000000"/>
        <rFont val="Calibri"/>
      </rPr>
      <t xml:space="preserve"> 07 May 2026     </t>
    </r>
    <r>
      <rPr>
        <b/>
        <sz val="11"/>
        <color rgb="FF000000"/>
        <rFont val="Calibri"/>
      </rPr>
      <t>Classification:</t>
    </r>
    <r>
      <rPr>
        <sz val="11"/>
        <color rgb="FF000000"/>
        <rFont val="Calibri"/>
      </rPr>
      <t xml:space="preserve"> TLP:CLEAR     </t>
    </r>
    <r>
      <rPr>
        <b/>
        <sz val="11"/>
        <color rgb="FF000000"/>
        <rFont val="Calibri"/>
      </rPr>
      <t>Recommendation Count:</t>
    </r>
    <r>
      <rPr>
        <sz val="11"/>
        <color rgb="FF000000"/>
        <rFont val="Calibri"/>
      </rPr>
      <t xml:space="preserve"> 9</t>
    </r>
  </si>
  <si>
    <t>Development Url:</t>
  </si>
  <si>
    <t>https://github.com/cisagov/ScubaGear/blob/v1.8.0/PowerShell/ScubaGear/baselines/powerplatform.md</t>
  </si>
  <si>
    <t>Guide Overview:</t>
  </si>
  <si>
    <r>
      <rPr>
        <sz val="11"/>
        <color rgb="FF000000"/>
        <rFont val="Calibri"/>
      </rPr>
      <t>Microsoft 365 (M365) Power Platform is a cloud-based enterprise group of applications comprised of a low-code application development toolkit, business intelligence software, a custom chat bot creator, and app connectivity software. This Secure Configuration Baseline (SCB) provides specific policies to help secure Power Platform security.</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M365 help secure federal information assets stored within M365 cloud business application environments through consistent, effective, and manageable security configurations. CISA created baselines tailored to the federal government’s threats and risk tolerance with the knowledge that every organization has different threat models and risk tolerance. While use of these baselines will be mandatory for civilian Federal Government agencies, organizations outside of the Federal Government may also find these baselines to be useful references to help reduce risks.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M365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i/>
        <sz val="11"/>
        <color rgb="FF000000"/>
        <rFont val="Calibri"/>
      </rPr>
      <t xml:space="preserve">This document is marked TLP:CLEAR. Recipients may share this information without restriction. Information is subject to standard copyright rules. For more information on the Traffic Light Protocol, see </t>
    </r>
    <r>
      <rPr>
        <i/>
        <sz val="11"/>
        <color rgb="FF0000FF"/>
        <rFont val="Calibri"/>
      </rPr>
      <t>https://www.cisa.gov/tlp.</t>
    </r>
  </si>
  <si>
    <t>License Compliance and Copyright</t>
  </si>
  <si>
    <r>
      <rPr>
        <sz val="11"/>
        <color rgb="FF000000"/>
        <rFont val="Calibri"/>
      </rPr>
      <t xml:space="preserve">Portions of this document are adapted from documents in Microsoft’s Microsoft 365 </t>
    </r>
    <r>
      <rPr>
        <sz val="11"/>
        <color rgb="FF0000FF"/>
        <rFont val="Calibri"/>
      </rPr>
      <t>(https://github.com/MicrosoftDocs/microsoft-365-docs/blob/public/LICENSE)</t>
    </r>
    <r>
      <rPr>
        <sz val="11"/>
        <color rgb="FF000000"/>
        <rFont val="Calibri"/>
      </rPr>
      <t xml:space="preserve"> and Azure </t>
    </r>
    <r>
      <rPr>
        <sz val="11"/>
        <color rgb="FF0000FF"/>
        <rFont val="Calibri"/>
      </rPr>
      <t>(https://github.com/MicrosoftDocs/azure-docs/blob/main/LICENSE)</t>
    </r>
    <r>
      <rPr>
        <sz val="11"/>
        <color rgb="FF000000"/>
        <rFont val="Calibri"/>
      </rPr>
      <t xml:space="preserve"> GitHub repositories. The respective documents are subject to copyright and are adapted under the terms of the Creative Commons Attribution 4.0 International license. Source documents are linked throughout this document. The United States Government has adapted selections of these documents to develop innovative and scalable configuration standards to strengthen the security of widely used cloud-based software services.</t>
    </r>
  </si>
  <si>
    <t>Assumptions</t>
  </si>
  <si>
    <r>
      <rPr>
        <sz val="11"/>
        <color rgb="FF000000"/>
        <rFont val="Calibri"/>
      </rPr>
      <t xml:space="preserve">The </t>
    </r>
    <r>
      <rPr>
        <b/>
        <sz val="11"/>
        <color rgb="FF000000"/>
        <rFont val="Calibri"/>
      </rPr>
      <t>License Requirements</t>
    </r>
    <r>
      <rPr>
        <sz val="11"/>
        <color rgb="FF000000"/>
        <rFont val="Calibri"/>
      </rPr>
      <t xml:space="preserve"> sections of this document assume the organization is using an M365 E3 </t>
    </r>
    <r>
      <rPr>
        <sz val="11"/>
        <color rgb="FF0000FF"/>
        <rFont val="Calibri"/>
      </rPr>
      <t>(https://www.microsoft.com/en-us/microsoft-365/compare-microsoft-365-enterprise-plans)</t>
    </r>
    <r>
      <rPr>
        <sz val="11"/>
        <color rgb="FF000000"/>
        <rFont val="Calibri"/>
      </rPr>
      <t xml:space="preserve"> or G3 </t>
    </r>
    <r>
      <rPr>
        <sz val="11"/>
        <color rgb="FF0000FF"/>
        <rFont val="Calibri"/>
      </rPr>
      <t>(https://www.microsoft.com/en-us/microsoft-365/government)</t>
    </r>
    <r>
      <rPr>
        <sz val="11"/>
        <color rgb="FF000000"/>
        <rFont val="Calibri"/>
      </rPr>
      <t xml:space="preserve"> license level at a minimum. Therefore, only licenses not included in E3/G3 are listed.</t>
    </r>
  </si>
  <si>
    <t>Key Terminology</t>
  </si>
  <si>
    <r>
      <rPr>
        <sz val="11"/>
        <color rgb="FF000000"/>
        <rFont val="Calibri"/>
      </rPr>
      <t xml:space="preserve">The key words "MUST", "MUST NOT", "REQUIRED", "SHALL", "SHALL NOT", "SHOULD", "SHOULD NOT", "RECOMMENDED", "MAY", and "OPTIONAL" in this document are to be interpreted as described in RFC 2119 </t>
    </r>
    <r>
      <rPr>
        <sz val="11"/>
        <color rgb="FF0000FF"/>
        <rFont val="Calibri"/>
      </rPr>
      <t>(https://datatracker.ietf.org/doc/html/rfc2119)</t>
    </r>
    <r>
      <rPr>
        <sz val="11"/>
        <color rgb="FF000000"/>
        <rFont val="Calibri"/>
      </rPr>
      <t>.</t>
    </r>
    <r>
      <rPr>
        <sz val="11"/>
        <color rgb="FF000000"/>
        <rFont val="Calibri"/>
      </rPr>
      <t xml:space="preserve">
</t>
    </r>
    <r>
      <rPr>
        <sz val="11"/>
        <color rgb="FF000000"/>
        <rFont val="Calibri"/>
      </rPr>
      <t>The following section summarizes the various Power Platform applications referenced in this baseline:</t>
    </r>
    <r>
      <rPr>
        <sz val="11"/>
        <color rgb="FF000000"/>
        <rFont val="Calibri"/>
      </rPr>
      <t xml:space="preserve">
</t>
    </r>
    <r>
      <rPr>
        <sz val="11"/>
        <color rgb="FF000000"/>
        <rFont val="Calibri"/>
      </rPr>
      <t xml:space="preserve">1. </t>
    </r>
    <r>
      <rPr>
        <b/>
        <sz val="11"/>
        <color rgb="FF000000"/>
        <rFont val="Calibri"/>
      </rPr>
      <t>Power Apps</t>
    </r>
    <r>
      <rPr>
        <sz val="11"/>
        <color rgb="FF000000"/>
        <rFont val="Calibri"/>
      </rPr>
      <t>: Low-code application development software used</t>
    </r>
    <r>
      <rPr>
        <sz val="11"/>
        <color rgb="FF000000"/>
        <rFont val="Calibri"/>
      </rPr>
      <t xml:space="preserve">
</t>
    </r>
    <r>
      <rPr>
        <sz val="11"/>
        <color rgb="FF000000"/>
        <rFont val="Calibri"/>
      </rPr>
      <t>to create custom business applications. The apps can be developed as desktop, mobile, and even web apps. Three different types of Power Apps can be created:</t>
    </r>
    <r>
      <rPr>
        <sz val="11"/>
        <color rgb="FF000000"/>
        <rFont val="Calibri"/>
      </rPr>
      <t xml:space="preserve">
</t>
    </r>
    <r>
      <rPr>
        <sz val="11"/>
        <color rgb="FF000000"/>
        <rFont val="Calibri"/>
      </rPr>
      <t xml:space="preserve">1. </t>
    </r>
    <r>
      <rPr>
        <b/>
        <sz val="11"/>
        <color rgb="FF000000"/>
        <rFont val="Calibri"/>
      </rPr>
      <t>Canvas Apps</t>
    </r>
    <r>
      <rPr>
        <sz val="11"/>
        <color rgb="FF000000"/>
        <rFont val="Calibri"/>
      </rPr>
      <t xml:space="preserve"> </t>
    </r>
    <r>
      <rPr>
        <sz val="11"/>
        <color rgb="FF0000FF"/>
        <rFont val="Calibri"/>
      </rPr>
      <t>(https://learn.microsoft.com/en-us/power-apps/maker/canvas-apps/)</t>
    </r>
    <r>
      <rPr>
        <sz val="11"/>
        <color rgb="FF000000"/>
        <rFont val="Calibri"/>
      </rPr>
      <t>: These are drag and drop style developed apps, where users drag and add User Interface (UI) components to the screen. Users can then connect the components to data sources to display data in the canvas app.</t>
    </r>
    <r>
      <rPr>
        <sz val="11"/>
        <color rgb="FF000000"/>
        <rFont val="Calibri"/>
      </rPr>
      <t xml:space="preserve">
</t>
    </r>
    <r>
      <rPr>
        <sz val="11"/>
        <color rgb="FF000000"/>
        <rFont val="Calibri"/>
      </rPr>
      <t xml:space="preserve">2. </t>
    </r>
    <r>
      <rPr>
        <b/>
        <sz val="11"/>
        <color rgb="FF000000"/>
        <rFont val="Calibri"/>
      </rPr>
      <t>Model-Driven Apps</t>
    </r>
    <r>
      <rPr>
        <sz val="11"/>
        <color rgb="FF000000"/>
        <rFont val="Calibri"/>
      </rPr>
      <t xml:space="preserve"> </t>
    </r>
    <r>
      <rPr>
        <sz val="11"/>
        <color rgb="FF0000FF"/>
        <rFont val="Calibri"/>
      </rPr>
      <t>(https://learn.microsoft.com/en-us/power-apps/maker/model-driven-apps/)</t>
    </r>
    <r>
      <rPr>
        <sz val="11"/>
        <color rgb="FF000000"/>
        <rFont val="Calibri"/>
      </rPr>
      <t>: These are apps developed from an existing data source. They can be thought of as the inverse of a Canvas App. Since, you build the app from the source rather than building the UI and then connecting to the source like Canvas apps.</t>
    </r>
    <r>
      <rPr>
        <sz val="11"/>
        <color rgb="FF000000"/>
        <rFont val="Calibri"/>
      </rPr>
      <t xml:space="preserve">
</t>
    </r>
    <r>
      <rPr>
        <sz val="11"/>
        <color rgb="FF000000"/>
        <rFont val="Calibri"/>
      </rPr>
      <t xml:space="preserve">3. </t>
    </r>
    <r>
      <rPr>
        <b/>
        <sz val="11"/>
        <color rgb="FF000000"/>
        <rFont val="Calibri"/>
      </rPr>
      <t>Power Pages</t>
    </r>
    <r>
      <rPr>
        <sz val="11"/>
        <color rgb="FF000000"/>
        <rFont val="Calibri"/>
      </rPr>
      <t xml:space="preserve"> </t>
    </r>
    <r>
      <rPr>
        <sz val="11"/>
        <color rgb="FF0000FF"/>
        <rFont val="Calibri"/>
      </rPr>
      <t>(https://learn.microsoft.com/en-us/power-pages/)</t>
    </r>
    <r>
      <rPr>
        <sz val="11"/>
        <color rgb="FF000000"/>
        <rFont val="Calibri"/>
      </rPr>
      <t>: These apps that are developed to function as either internal or external facing websites.</t>
    </r>
    <r>
      <rPr>
        <sz val="11"/>
        <color rgb="FF000000"/>
        <rFont val="Calibri"/>
      </rPr>
      <t xml:space="preserve">
</t>
    </r>
    <r>
      <rPr>
        <sz val="11"/>
        <color rgb="FF000000"/>
        <rFont val="Calibri"/>
      </rPr>
      <t xml:space="preserve">4. </t>
    </r>
    <r>
      <rPr>
        <b/>
        <sz val="11"/>
        <color rgb="FF000000"/>
        <rFont val="Calibri"/>
      </rPr>
      <t>Power Automate</t>
    </r>
    <r>
      <rPr>
        <sz val="11"/>
        <color rgb="FF000000"/>
        <rFont val="Calibri"/>
      </rPr>
      <t xml:space="preserve"> </t>
    </r>
    <r>
      <rPr>
        <sz val="11"/>
        <color rgb="FF0000FF"/>
        <rFont val="Calibri"/>
      </rPr>
      <t>(https://learn.microsoft.com/en-us/power-automate/)</t>
    </r>
    <r>
      <rPr>
        <sz val="11"/>
        <color rgb="FF000000"/>
        <rFont val="Calibri"/>
      </rPr>
      <t>: This is an online tool within Microsoft 365 and add-ins used to create automated workflows between apps</t>
    </r>
    <r>
      <rPr>
        <sz val="11"/>
        <color rgb="FF000000"/>
        <rFont val="Calibri"/>
      </rPr>
      <t xml:space="preserve">
</t>
    </r>
    <r>
      <rPr>
        <sz val="11"/>
        <color rgb="FF000000"/>
        <rFont val="Calibri"/>
      </rPr>
      <t>and services to synchronize files, get notifications, and collect data.</t>
    </r>
    <r>
      <rPr>
        <sz val="11"/>
        <color rgb="FF000000"/>
        <rFont val="Calibri"/>
      </rPr>
      <t xml:space="preserve">
</t>
    </r>
    <r>
      <rPr>
        <sz val="11"/>
        <color rgb="FF000000"/>
        <rFont val="Calibri"/>
      </rPr>
      <t xml:space="preserve">1. </t>
    </r>
    <r>
      <rPr>
        <b/>
        <sz val="11"/>
        <color rgb="FF000000"/>
        <rFont val="Calibri"/>
      </rPr>
      <t>Power Virtual Agents</t>
    </r>
    <r>
      <rPr>
        <sz val="11"/>
        <color rgb="FF000000"/>
        <rFont val="Calibri"/>
      </rPr>
      <t xml:space="preserve"> </t>
    </r>
    <r>
      <rPr>
        <sz val="11"/>
        <color rgb="FF0000FF"/>
        <rFont val="Calibri"/>
      </rPr>
      <t>(https://learn.microsoft.com/en-us/power-virtual-agents/)</t>
    </r>
    <r>
      <rPr>
        <sz val="11"/>
        <color rgb="FF000000"/>
        <rFont val="Calibri"/>
      </rPr>
      <t>: These are custom chat bots for use in the stand-alone Power Virtual Agents web app or in a Microsoft Teams</t>
    </r>
    <r>
      <rPr>
        <sz val="11"/>
        <color rgb="FF000000"/>
        <rFont val="Calibri"/>
      </rPr>
      <t xml:space="preserve">
</t>
    </r>
    <r>
      <rPr>
        <sz val="11"/>
        <color rgb="FF000000"/>
        <rFont val="Calibri"/>
      </rPr>
      <t>channel.</t>
    </r>
    <r>
      <rPr>
        <sz val="11"/>
        <color rgb="FF000000"/>
        <rFont val="Calibri"/>
      </rPr>
      <t xml:space="preserve">
</t>
    </r>
    <r>
      <rPr>
        <sz val="11"/>
        <color rgb="FF000000"/>
        <rFont val="Calibri"/>
      </rPr>
      <t xml:space="preserve">1. </t>
    </r>
    <r>
      <rPr>
        <b/>
        <sz val="11"/>
        <color rgb="FF000000"/>
        <rFont val="Calibri"/>
      </rPr>
      <t>Connectors</t>
    </r>
    <r>
      <rPr>
        <sz val="11"/>
        <color rgb="FF000000"/>
        <rFont val="Calibri"/>
      </rPr>
      <t xml:space="preserve"> </t>
    </r>
    <r>
      <rPr>
        <sz val="11"/>
        <color rgb="FF0000FF"/>
        <rFont val="Calibri"/>
      </rPr>
      <t>(https://learn.microsoft.com/en-us/connectors/connector-reference/)</t>
    </r>
    <r>
      <rPr>
        <sz val="11"/>
        <color rgb="FF000000"/>
        <rFont val="Calibri"/>
      </rPr>
      <t>: These are proxies or wrappers around an API that allow the underlying service to be accessed from Power Automate Workflows, Power Apps, or Azure Logic Apps.</t>
    </r>
    <r>
      <rPr>
        <sz val="11"/>
        <color rgb="FF000000"/>
        <rFont val="Calibri"/>
      </rPr>
      <t xml:space="preserve">
</t>
    </r>
    <r>
      <rPr>
        <sz val="11"/>
        <color rgb="FF000000"/>
        <rFont val="Calibri"/>
      </rPr>
      <t xml:space="preserve">2. </t>
    </r>
    <r>
      <rPr>
        <b/>
        <sz val="11"/>
        <color rgb="FF000000"/>
        <rFont val="Calibri"/>
      </rPr>
      <t>Microsoft Dataverse</t>
    </r>
    <r>
      <rPr>
        <sz val="11"/>
        <color rgb="FF000000"/>
        <rFont val="Calibri"/>
      </rPr>
      <t xml:space="preserve"> </t>
    </r>
    <r>
      <rPr>
        <sz val="11"/>
        <color rgb="FF0000FF"/>
        <rFont val="Calibri"/>
      </rPr>
      <t>(https://learn.microsoft.com/en-us/power-apps/maker/data-platform/)</t>
    </r>
    <r>
      <rPr>
        <sz val="11"/>
        <color rgb="FF000000"/>
        <rFont val="Calibri"/>
      </rPr>
      <t>: This is a cloud database management system most</t>
    </r>
    <r>
      <rPr>
        <sz val="11"/>
        <color rgb="FF000000"/>
        <rFont val="Calibri"/>
      </rPr>
      <t xml:space="preserve">
</t>
    </r>
    <r>
      <rPr>
        <sz val="11"/>
        <color rgb="FF000000"/>
        <rFont val="Calibri"/>
      </rPr>
      <t>often used to store data in SQL-like tables. A Power App would then use a connector to connect to the Dataverse table and perform create, read, update, and delete (CRUD) operations.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</si>
  <si>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</si>
  <si>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</si>
  <si>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</si>
  <si>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</si>
  <si>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</si>
  <si>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</si>
  <si>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</si>
  <si>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</si>
  <si>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</si>
  <si>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</si>
  <si>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</si>
  <si>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</si>
  <si>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</si>
  <si>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</si>
  <si>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</si>
  <si>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</si>
  <si>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</si>
  <si>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M365 Secure Configuration Baseline for Power Platform 1.8.0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</si>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</sst>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FFD-4834-B65F-D24330FA5F9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FFD-4834-B65F-D24330FA5F9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c:v>
                </c:pt>
              </c:numCache>
            </c:numRef>
          </c:val>
          <c:extLst>
            <c:ext xmlns:c16="http://schemas.microsoft.com/office/drawing/2014/chart" uri="{C3380CC4-5D6E-409C-BE32-E72D297353CC}">
              <c16:uniqueId val="{00000002-8FFD-4834-B65F-D24330FA5F9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Dashboard!$B$29:$B$30</c:f>
              <c:strCache>
                <c:ptCount val="2"/>
                <c:pt idx="0">
                  <c:v>SHALL</c:v>
                </c:pt>
                <c:pt idx="1">
                  <c:v>SHOULD</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3D82-449F-9A1B-94EED1560B5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Dashboard!$B$29:$B$30</c:f>
              <c:strCache>
                <c:ptCount val="2"/>
                <c:pt idx="0">
                  <c:v>SHALL</c:v>
                </c:pt>
                <c:pt idx="1">
                  <c:v>SHOULD</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3D82-449F-9A1B-94EED1560B5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Dashboard!$B$29:$B$30</c:f>
              <c:strCache>
                <c:ptCount val="2"/>
                <c:pt idx="0">
                  <c:v>SHALL</c:v>
                </c:pt>
                <c:pt idx="1">
                  <c:v>SHOULD</c:v>
                </c:pt>
              </c:strCache>
            </c:strRef>
          </c:cat>
          <c:val>
            <c:numRef>
              <c:f>Dashboard!$E$29:$E$30</c:f>
              <c:numCache>
                <c:formatCode>General</c:formatCode>
                <c:ptCount val="2"/>
                <c:pt idx="0">
                  <c:v>5</c:v>
                </c:pt>
                <c:pt idx="1">
                  <c:v>4</c:v>
                </c:pt>
              </c:numCache>
            </c:numRef>
          </c:val>
          <c:extLst>
            <c:ext xmlns:c16="http://schemas.microsoft.com/office/drawing/2014/chart" uri="{C3380CC4-5D6E-409C-BE32-E72D297353CC}">
              <c16:uniqueId val="{00000002-3D82-449F-9A1B-94EED1560B5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882-4673-8A41-F5778428ECD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882-4673-8A41-F5778428ECD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c:v>
                </c:pt>
              </c:numCache>
            </c:numRef>
          </c:val>
          <c:extLst>
            <c:ext xmlns:c16="http://schemas.microsoft.com/office/drawing/2014/chart" uri="{C3380CC4-5D6E-409C-BE32-E72D297353CC}">
              <c16:uniqueId val="{00000002-5882-4673-8A41-F5778428ECD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236-4BF7-B48A-3F8ECED1B3C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236-4BF7-B48A-3F8ECED1B3C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9</c:v>
                </c:pt>
              </c:numCache>
            </c:numRef>
          </c:val>
          <c:extLst>
            <c:ext xmlns:c16="http://schemas.microsoft.com/office/drawing/2014/chart" uri="{C3380CC4-5D6E-409C-BE32-E72D297353CC}">
              <c16:uniqueId val="{00000002-A236-4BF7-B48A-3F8ECED1B3C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F9F-4258-9AEF-8DCE7C3A739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F9F-4258-9AEF-8DCE7C3A739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9</c:v>
                </c:pt>
              </c:numCache>
            </c:numRef>
          </c:val>
          <c:extLst>
            <c:ext xmlns:c16="http://schemas.microsoft.com/office/drawing/2014/chart" uri="{C3380CC4-5D6E-409C-BE32-E72D297353CC}">
              <c16:uniqueId val="{00000002-7F9F-4258-9AEF-8DCE7C3A739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418-415A-A894-6490404490CD}"/>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418-415A-A894-6490404490CD}"/>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418-415A-A894-6490404490CD}"/>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418-415A-A894-6490404490C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D07-4E81-80E0-B2D479978B1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u5bv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axknb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n0x3h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jwbyj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fshzf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4lkrz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gqlqm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10">
  <autoFilter ref="A1:P10"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Licens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ear/blob/v1.8.0/PowerShell/ScubaGear/baselines/powerplatform.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78</v>
      </c>
    </row>
    <row r="3" spans="2:3" ht="15" customHeight="1" x14ac:dyDescent="0.35"/>
    <row r="4" spans="2:3" ht="58" x14ac:dyDescent="0.35">
      <c r="B4" s="20" t="s">
        <v>79</v>
      </c>
      <c r="C4" s="21" t="s">
        <v>80</v>
      </c>
    </row>
    <row r="5" spans="2:3" x14ac:dyDescent="0.35">
      <c r="C5" s="21" t="s">
        <v>81</v>
      </c>
    </row>
    <row r="6" spans="2:3" x14ac:dyDescent="0.35">
      <c r="C6" s="18" t="s">
        <v>82</v>
      </c>
    </row>
    <row r="7" spans="2:3" ht="10" customHeight="1" x14ac:dyDescent="0.35"/>
    <row r="8" spans="2:3" ht="232" x14ac:dyDescent="0.35">
      <c r="B8" s="22" t="s">
        <v>83</v>
      </c>
      <c r="C8" s="21" t="s">
        <v>84</v>
      </c>
    </row>
    <row r="9" spans="2:3" ht="10" customHeight="1" x14ac:dyDescent="0.35"/>
    <row r="10" spans="2:3" ht="35" customHeight="1" x14ac:dyDescent="0.35">
      <c r="B10" s="22" t="s">
        <v>85</v>
      </c>
      <c r="C10" s="21" t="s">
        <v>86</v>
      </c>
    </row>
    <row r="11" spans="2:3" ht="75" customHeight="1" x14ac:dyDescent="0.35">
      <c r="B11" s="18" t="s">
        <v>23</v>
      </c>
      <c r="C11" s="21" t="s">
        <v>87</v>
      </c>
    </row>
    <row r="12" spans="2:3" ht="47" customHeight="1" x14ac:dyDescent="0.35">
      <c r="B12" s="18" t="s">
        <v>23</v>
      </c>
      <c r="C12" s="21" t="s">
        <v>88</v>
      </c>
    </row>
    <row r="13" spans="2:3" ht="35" customHeight="1" x14ac:dyDescent="0.35">
      <c r="B13" s="18" t="s">
        <v>23</v>
      </c>
      <c r="C13" s="21" t="s">
        <v>89</v>
      </c>
    </row>
    <row r="14" spans="2:3" ht="32" customHeight="1" x14ac:dyDescent="0.35">
      <c r="B14" s="18" t="s">
        <v>23</v>
      </c>
      <c r="C14" s="21" t="s">
        <v>90</v>
      </c>
    </row>
    <row r="15" spans="2:3" ht="30" customHeight="1" x14ac:dyDescent="0.35">
      <c r="B15" s="18" t="s">
        <v>23</v>
      </c>
      <c r="C15" s="21" t="s">
        <v>91</v>
      </c>
    </row>
    <row r="16" spans="2:3" ht="10" customHeight="1" x14ac:dyDescent="0.35"/>
    <row r="17" spans="1:3" ht="145" customHeight="1" x14ac:dyDescent="0.35">
      <c r="B17" s="22" t="s">
        <v>92</v>
      </c>
      <c r="C17" s="21" t="s">
        <v>93</v>
      </c>
    </row>
    <row r="18" spans="1:3" ht="10" customHeight="1" x14ac:dyDescent="0.35"/>
    <row r="19" spans="1:3" ht="3" customHeight="1" x14ac:dyDescent="0.35">
      <c r="B19" s="23"/>
      <c r="C19" s="23"/>
    </row>
    <row r="20" spans="1:3" ht="12" customHeight="1" x14ac:dyDescent="0.35"/>
    <row r="21" spans="1:3" ht="35" customHeight="1" x14ac:dyDescent="0.35">
      <c r="A21" s="25"/>
      <c r="B21" s="26" t="s">
        <v>94</v>
      </c>
      <c r="C21" s="27" t="s">
        <v>95</v>
      </c>
    </row>
    <row r="22" spans="1:3" ht="18" customHeight="1" x14ac:dyDescent="0.35">
      <c r="A22" s="25"/>
      <c r="B22" s="25" t="s">
        <v>23</v>
      </c>
      <c r="C22" s="27" t="s">
        <v>96</v>
      </c>
    </row>
    <row r="23" spans="1:3" ht="18" customHeight="1" x14ac:dyDescent="0.35">
      <c r="A23" s="25"/>
      <c r="B23" s="25" t="s">
        <v>23</v>
      </c>
      <c r="C23" s="27" t="s">
        <v>97</v>
      </c>
    </row>
    <row r="24" spans="1:3" ht="18" customHeight="1" x14ac:dyDescent="0.35">
      <c r="A24" s="25"/>
      <c r="B24" s="25" t="s">
        <v>23</v>
      </c>
      <c r="C24" s="27" t="s">
        <v>98</v>
      </c>
    </row>
    <row r="25" spans="1:3" ht="18" customHeight="1" x14ac:dyDescent="0.35">
      <c r="A25" s="25"/>
      <c r="B25" s="25" t="s">
        <v>23</v>
      </c>
      <c r="C25" s="27" t="s">
        <v>99</v>
      </c>
    </row>
    <row r="26" spans="1:3" ht="18" customHeight="1" x14ac:dyDescent="0.35">
      <c r="A26" s="25"/>
      <c r="B26" s="25" t="s">
        <v>23</v>
      </c>
      <c r="C26" s="27" t="s">
        <v>100</v>
      </c>
    </row>
    <row r="27" spans="1:3" ht="18" customHeight="1" x14ac:dyDescent="0.35">
      <c r="A27" s="25"/>
      <c r="B27" s="25" t="s">
        <v>23</v>
      </c>
      <c r="C27" s="27" t="s">
        <v>101</v>
      </c>
    </row>
    <row r="28" spans="1:3" ht="18" customHeight="1" x14ac:dyDescent="0.35">
      <c r="A28" s="25"/>
      <c r="B28" s="25" t="s">
        <v>23</v>
      </c>
      <c r="C28" s="27" t="s">
        <v>102</v>
      </c>
    </row>
    <row r="29" spans="1:3" ht="18" customHeight="1" x14ac:dyDescent="0.35">
      <c r="A29" s="25"/>
      <c r="B29" s="25" t="s">
        <v>23</v>
      </c>
      <c r="C29" s="27" t="s">
        <v>103</v>
      </c>
    </row>
    <row r="30" spans="1:3" ht="44" customHeight="1" x14ac:dyDescent="0.35">
      <c r="A30" s="25"/>
      <c r="B30" s="25" t="s">
        <v>23</v>
      </c>
      <c r="C30" s="28" t="s">
        <v>104</v>
      </c>
    </row>
    <row r="31" spans="1:3" ht="10" customHeight="1" x14ac:dyDescent="0.35"/>
    <row r="32" spans="1:3" ht="3" customHeight="1" x14ac:dyDescent="0.35">
      <c r="B32" s="23"/>
      <c r="C32" s="23"/>
    </row>
    <row r="33" spans="2:3" ht="12" customHeight="1" x14ac:dyDescent="0.35"/>
    <row r="34" spans="2:3" ht="24" customHeight="1" x14ac:dyDescent="0.35">
      <c r="B34" s="29" t="s">
        <v>105</v>
      </c>
      <c r="C34" s="30" t="s">
        <v>106</v>
      </c>
    </row>
    <row r="35" spans="2:3" ht="18.5" x14ac:dyDescent="0.35">
      <c r="B35" s="29" t="s">
        <v>107</v>
      </c>
      <c r="C35" s="31" t="s">
        <v>108</v>
      </c>
    </row>
    <row r="36" spans="2:3" ht="27" customHeight="1" x14ac:dyDescent="0.35">
      <c r="B36" s="32" t="s">
        <v>109</v>
      </c>
      <c r="C36" s="24" t="s">
        <v>110</v>
      </c>
    </row>
    <row r="37" spans="2:3" x14ac:dyDescent="0.35">
      <c r="B37" s="29" t="s">
        <v>111</v>
      </c>
      <c r="C37" s="33" t="s">
        <v>112</v>
      </c>
    </row>
    <row r="38" spans="2:3" ht="10" customHeight="1" x14ac:dyDescent="0.35"/>
    <row r="39" spans="2:3" ht="220" customHeight="1" x14ac:dyDescent="0.35">
      <c r="B39" s="29" t="s">
        <v>113</v>
      </c>
      <c r="C39" s="34" t="s">
        <v>114</v>
      </c>
    </row>
    <row r="40" spans="2:3" x14ac:dyDescent="0.35">
      <c r="C40" s="35" t="s">
        <v>115</v>
      </c>
    </row>
    <row r="41" spans="2:3" ht="100" customHeight="1" x14ac:dyDescent="0.35">
      <c r="C41" s="34" t="s">
        <v>116</v>
      </c>
    </row>
    <row r="42" spans="2:3" ht="6" customHeight="1" x14ac:dyDescent="0.35"/>
    <row r="43" spans="2:3" x14ac:dyDescent="0.35">
      <c r="C43" s="35" t="s">
        <v>117</v>
      </c>
    </row>
    <row r="44" spans="2:3" ht="58" x14ac:dyDescent="0.35">
      <c r="C44" s="34" t="s">
        <v>118</v>
      </c>
    </row>
    <row r="45" spans="2:3" ht="6" customHeight="1" x14ac:dyDescent="0.35"/>
    <row r="46" spans="2:3" x14ac:dyDescent="0.35">
      <c r="C46" s="35" t="s">
        <v>119</v>
      </c>
    </row>
    <row r="47" spans="2:3" ht="100" customHeight="1" x14ac:dyDescent="0.35">
      <c r="C47" s="34" t="s">
        <v>120</v>
      </c>
    </row>
    <row r="49" spans="2:3" ht="10" customHeight="1" x14ac:dyDescent="0.35"/>
    <row r="50" spans="2:3" ht="3" customHeight="1" x14ac:dyDescent="0.35">
      <c r="B50" s="23"/>
      <c r="C50" s="23"/>
    </row>
    <row r="51" spans="2:3" ht="12" customHeight="1" x14ac:dyDescent="0.35"/>
    <row r="52" spans="2:3" ht="130.5" x14ac:dyDescent="0.35">
      <c r="B52" s="20" t="s">
        <v>121</v>
      </c>
      <c r="C52" s="21" t="s">
        <v>122</v>
      </c>
    </row>
    <row r="53" spans="2:3" ht="6" customHeight="1" x14ac:dyDescent="0.35"/>
    <row r="54" spans="2:3" ht="217.5" x14ac:dyDescent="0.35">
      <c r="C54" s="21" t="s">
        <v>123</v>
      </c>
    </row>
    <row r="55" spans="2:3" ht="6" customHeight="1" x14ac:dyDescent="0.35"/>
    <row r="56" spans="2:3" ht="43.5" x14ac:dyDescent="0.35">
      <c r="C56" s="21" t="s">
        <v>124</v>
      </c>
    </row>
    <row r="57" spans="2:3" ht="10" customHeight="1" x14ac:dyDescent="0.35"/>
    <row r="58" spans="2:3" ht="3" customHeight="1" x14ac:dyDescent="0.35">
      <c r="B58" s="23"/>
      <c r="C58" s="23"/>
    </row>
    <row r="59" spans="2:3" ht="12" customHeight="1" x14ac:dyDescent="0.35"/>
    <row r="60" spans="2:3" ht="145" x14ac:dyDescent="0.35">
      <c r="B60" s="20" t="s">
        <v>125</v>
      </c>
      <c r="C60" s="21" t="s">
        <v>126</v>
      </c>
    </row>
    <row r="61" spans="2:3" ht="6" customHeight="1" x14ac:dyDescent="0.35"/>
    <row r="62" spans="2:3" ht="203" x14ac:dyDescent="0.35">
      <c r="C62" s="21" t="s">
        <v>127</v>
      </c>
    </row>
    <row r="63" spans="2:3" ht="6" customHeight="1" x14ac:dyDescent="0.35"/>
    <row r="64" spans="2:3" ht="43.5" x14ac:dyDescent="0.35">
      <c r="C64" s="21" t="s">
        <v>128</v>
      </c>
    </row>
    <row r="65" spans="2:3" ht="10" customHeight="1" x14ac:dyDescent="0.35"/>
    <row r="66" spans="2:3" ht="3" customHeight="1" x14ac:dyDescent="0.35">
      <c r="B66" s="23"/>
      <c r="C66" s="23"/>
    </row>
    <row r="67" spans="2:3" ht="12" customHeight="1" x14ac:dyDescent="0.35"/>
    <row r="68" spans="2:3" ht="101.5" x14ac:dyDescent="0.35">
      <c r="B68" s="20" t="s">
        <v>129</v>
      </c>
      <c r="C68" s="21" t="s">
        <v>130</v>
      </c>
    </row>
    <row r="69" spans="2:3" ht="6" customHeight="1" x14ac:dyDescent="0.35"/>
    <row r="70" spans="2:3" ht="145" x14ac:dyDescent="0.35">
      <c r="C70" s="21" t="s">
        <v>131</v>
      </c>
    </row>
    <row r="71" spans="2:3" ht="6" customHeight="1" x14ac:dyDescent="0.35"/>
    <row r="72" spans="2:3" ht="43.5" x14ac:dyDescent="0.35">
      <c r="C72" s="21" t="s">
        <v>132</v>
      </c>
    </row>
    <row r="76" spans="2:3" ht="32" customHeight="1" x14ac:dyDescent="0.35">
      <c r="B76" s="78" t="s">
        <v>77</v>
      </c>
      <c r="C76" s="78"/>
    </row>
  </sheetData>
  <sheetProtection password="90EA" sheet="1"/>
  <mergeCells count="1">
    <mergeCell ref="B76:C76"/>
  </mergeCells>
  <hyperlinks>
    <hyperlink ref="C5" r:id="rId1" xr:uid="{00000000-0004-0000-0000-000000000000}"/>
    <hyperlink ref="C6" r:id="rId2" xr:uid="{00000000-0004-0000-0000-000001000000}"/>
    <hyperlink ref="C37" r:id="rId3" xr:uid="{00000000-0004-0000-0000-000002000000}"/>
    <hyperlink ref="B76"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133</v>
      </c>
      <c r="C2" s="80"/>
      <c r="D2" s="80"/>
      <c r="E2" s="80"/>
      <c r="F2" s="80"/>
      <c r="G2" s="80"/>
      <c r="H2" s="80"/>
      <c r="I2" s="80"/>
    </row>
    <row r="4" spans="2:15" ht="18.5" x14ac:dyDescent="0.45">
      <c r="B4" s="37" t="s">
        <v>134</v>
      </c>
    </row>
    <row r="5" spans="2:15" x14ac:dyDescent="0.35">
      <c r="B5" s="39" t="s">
        <v>23</v>
      </c>
      <c r="C5" s="39" t="s">
        <v>135</v>
      </c>
      <c r="D5" s="39" t="s">
        <v>136</v>
      </c>
      <c r="F5" s="81" t="s">
        <v>137</v>
      </c>
      <c r="G5" s="81"/>
      <c r="H5" s="81"/>
      <c r="I5" s="82" t="s">
        <v>138</v>
      </c>
      <c r="J5" s="82"/>
      <c r="K5" s="82"/>
      <c r="L5" s="82"/>
      <c r="M5" s="82"/>
      <c r="N5" s="82"/>
      <c r="O5" s="82"/>
    </row>
    <row r="6" spans="2:15" x14ac:dyDescent="0.35">
      <c r="B6" s="45" t="s">
        <v>139</v>
      </c>
      <c r="C6" s="46">
        <v>9</v>
      </c>
      <c r="D6" s="47" t="s">
        <v>23</v>
      </c>
      <c r="F6" s="81" t="s">
        <v>140</v>
      </c>
      <c r="G6" s="81"/>
      <c r="H6" s="81"/>
      <c r="I6" s="83" t="s">
        <v>141</v>
      </c>
      <c r="J6" s="83"/>
      <c r="K6" s="83"/>
      <c r="L6" s="83"/>
      <c r="M6" s="83"/>
      <c r="N6" s="83"/>
      <c r="O6" s="83"/>
    </row>
    <row r="7" spans="2:15" x14ac:dyDescent="0.35">
      <c r="B7" s="48" t="s">
        <v>142</v>
      </c>
      <c r="C7" s="49">
        <f>C6-C8-C9</f>
        <v>9</v>
      </c>
      <c r="D7" s="50">
        <f>IF(C6&gt;0,C7/C6,0)</f>
        <v>1</v>
      </c>
      <c r="F7" s="81" t="s">
        <v>143</v>
      </c>
      <c r="G7" s="81"/>
      <c r="H7" s="81"/>
      <c r="I7" s="83" t="s">
        <v>141</v>
      </c>
      <c r="J7" s="83"/>
      <c r="K7" s="83"/>
      <c r="L7" s="83"/>
      <c r="M7" s="83"/>
      <c r="N7" s="83"/>
      <c r="O7" s="83"/>
    </row>
    <row r="8" spans="2:15" x14ac:dyDescent="0.35">
      <c r="B8" s="41" t="s">
        <v>144</v>
      </c>
      <c r="C8" s="42">
        <f>COUNTIF('Recommendations'!H:H,"Risk Accepted")</f>
        <v>0</v>
      </c>
      <c r="D8" s="43">
        <f>IF(C6&gt;0,C8/C6,0)</f>
        <v>0</v>
      </c>
      <c r="F8" s="81" t="s">
        <v>145</v>
      </c>
      <c r="G8" s="81"/>
      <c r="H8" s="81"/>
      <c r="I8" s="83" t="s">
        <v>141</v>
      </c>
      <c r="J8" s="83"/>
      <c r="K8" s="83"/>
      <c r="L8" s="83"/>
      <c r="M8" s="83"/>
      <c r="N8" s="83"/>
      <c r="O8" s="83"/>
    </row>
    <row r="9" spans="2:15" x14ac:dyDescent="0.35">
      <c r="B9" s="41" t="s">
        <v>146</v>
      </c>
      <c r="C9" s="42">
        <f>COUNTIF('Recommendations'!H:H,"N/A")</f>
        <v>0</v>
      </c>
      <c r="D9" s="43">
        <f>IF(C6&gt;0,C9/C6,0)</f>
        <v>0</v>
      </c>
      <c r="F9" s="81" t="s">
        <v>147</v>
      </c>
      <c r="G9" s="81"/>
      <c r="H9" s="81"/>
      <c r="I9" s="83" t="s">
        <v>141</v>
      </c>
      <c r="J9" s="83"/>
      <c r="K9" s="83"/>
      <c r="L9" s="83"/>
      <c r="M9" s="83"/>
      <c r="N9" s="83"/>
      <c r="O9" s="83"/>
    </row>
    <row r="12" spans="2:15" ht="18.5" x14ac:dyDescent="0.45">
      <c r="B12" s="37" t="s">
        <v>148</v>
      </c>
    </row>
    <row r="14" spans="2:15" x14ac:dyDescent="0.35">
      <c r="B14" s="51" t="s">
        <v>149</v>
      </c>
    </row>
    <row r="15" spans="2:15" x14ac:dyDescent="0.35">
      <c r="B15" s="39" t="s">
        <v>23</v>
      </c>
      <c r="C15" s="39" t="s">
        <v>150</v>
      </c>
      <c r="D15" s="39" t="s">
        <v>151</v>
      </c>
      <c r="E15" s="39" t="s">
        <v>152</v>
      </c>
      <c r="F15" s="39" t="s">
        <v>153</v>
      </c>
    </row>
    <row r="16" spans="2:15" x14ac:dyDescent="0.35">
      <c r="B16" s="41" t="s">
        <v>154</v>
      </c>
      <c r="C16" s="42">
        <f>COUNTIF('Recommendations'!O:O,"Resolved")</f>
        <v>0</v>
      </c>
      <c r="D16" s="42">
        <f>COUNTIF('Recommendations'!O:O,"Testing")</f>
        <v>0</v>
      </c>
      <c r="E16" s="42">
        <f>COUNTIF('Recommendations'!O:O,"Outstanding")</f>
        <v>9</v>
      </c>
      <c r="F16" s="42">
        <f>SUM(C16:E16)</f>
        <v>9</v>
      </c>
    </row>
    <row r="18" spans="2:6" x14ac:dyDescent="0.35">
      <c r="B18" s="51" t="s">
        <v>155</v>
      </c>
    </row>
    <row r="19" spans="2:6" x14ac:dyDescent="0.35">
      <c r="B19" s="52" t="s">
        <v>23</v>
      </c>
      <c r="C19" s="52" t="s">
        <v>150</v>
      </c>
      <c r="D19" s="52" t="s">
        <v>151</v>
      </c>
      <c r="E19" s="52" t="s">
        <v>152</v>
      </c>
      <c r="F19" s="52" t="s">
        <v>23</v>
      </c>
    </row>
    <row r="20" spans="2:6" x14ac:dyDescent="0.35">
      <c r="B20" s="41" t="s">
        <v>154</v>
      </c>
      <c r="C20" s="43">
        <f>IF(F16&gt;0, C16/F16, 0)</f>
        <v>0</v>
      </c>
      <c r="D20" s="43">
        <f>IF(F16&gt;0, D16/F16, 0)</f>
        <v>0</v>
      </c>
      <c r="E20" s="43">
        <f>IF(F16&gt;0, E16/F16, 0)</f>
        <v>1</v>
      </c>
      <c r="F20" s="44" t="s">
        <v>23</v>
      </c>
    </row>
    <row r="25" spans="2:6" ht="18.5" x14ac:dyDescent="0.45">
      <c r="B25" s="37" t="s">
        <v>156</v>
      </c>
    </row>
    <row r="27" spans="2:6" x14ac:dyDescent="0.35">
      <c r="B27" s="51" t="s">
        <v>149</v>
      </c>
    </row>
    <row r="28" spans="2:6" x14ac:dyDescent="0.35">
      <c r="B28" s="39" t="s">
        <v>3</v>
      </c>
      <c r="C28" s="39" t="s">
        <v>150</v>
      </c>
      <c r="D28" s="39" t="s">
        <v>151</v>
      </c>
      <c r="E28" s="39" t="s">
        <v>152</v>
      </c>
      <c r="F28" s="39" t="s">
        <v>153</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5</v>
      </c>
      <c r="F29" s="42">
        <f>SUM(C29:E29)</f>
        <v>5</v>
      </c>
    </row>
    <row r="30" spans="2:6" x14ac:dyDescent="0.35">
      <c r="B30" s="41" t="s">
        <v>42</v>
      </c>
      <c r="C30" s="42">
        <f>COUNTIFS('Recommendations'!D:D,"SHOULD",'Recommendations'!O:O,"=Resolved")</f>
        <v>0</v>
      </c>
      <c r="D30" s="42">
        <f>COUNTIFS('Recommendations'!D:D,"=SHOULD",'Recommendations'!O:O,"=Testing")</f>
        <v>0</v>
      </c>
      <c r="E30" s="42">
        <f>COUNTIFS('Recommendations'!D:D,"=SHOULD",'Recommendations'!O:O,"=Outstanding")</f>
        <v>4</v>
      </c>
      <c r="F30" s="42">
        <f>SUM(C30:E30)</f>
        <v>4</v>
      </c>
    </row>
    <row r="32" spans="2:6" x14ac:dyDescent="0.35">
      <c r="B32" s="51" t="s">
        <v>155</v>
      </c>
    </row>
    <row r="33" spans="2:6" x14ac:dyDescent="0.35">
      <c r="B33" s="52" t="s">
        <v>3</v>
      </c>
      <c r="C33" s="52" t="s">
        <v>150</v>
      </c>
      <c r="D33" s="52" t="s">
        <v>151</v>
      </c>
      <c r="E33" s="52" t="s">
        <v>152</v>
      </c>
      <c r="F33" s="52" t="s">
        <v>23</v>
      </c>
    </row>
    <row r="34" spans="2:6" x14ac:dyDescent="0.35">
      <c r="B34" s="41" t="s">
        <v>19</v>
      </c>
      <c r="C34" s="43">
        <f>IF(F29&gt;0, C29/F29, 0)</f>
        <v>0</v>
      </c>
      <c r="D34" s="43">
        <f>IF(F29&gt;0, D29/F29, 0)</f>
        <v>0</v>
      </c>
      <c r="E34" s="43">
        <f>IF(F29&gt;0, E29/F29, 0)</f>
        <v>1</v>
      </c>
      <c r="F34" s="44" t="s">
        <v>23</v>
      </c>
    </row>
    <row r="35" spans="2:6" x14ac:dyDescent="0.35">
      <c r="B35" s="41" t="s">
        <v>42</v>
      </c>
      <c r="C35" s="43">
        <f>IF(F30&gt;0, C30/F30, 0)</f>
        <v>0</v>
      </c>
      <c r="D35" s="43">
        <f>IF(F30&gt;0, D30/F30, 0)</f>
        <v>0</v>
      </c>
      <c r="E35" s="43">
        <f>IF(F30&gt;0, E30/F30, 0)</f>
        <v>1</v>
      </c>
      <c r="F35" s="44" t="s">
        <v>23</v>
      </c>
    </row>
    <row r="40" spans="2:6" ht="18.5" x14ac:dyDescent="0.45">
      <c r="B40" s="37" t="s">
        <v>157</v>
      </c>
    </row>
    <row r="42" spans="2:6" x14ac:dyDescent="0.35">
      <c r="B42" s="51" t="s">
        <v>149</v>
      </c>
    </row>
    <row r="43" spans="2:6" x14ac:dyDescent="0.35">
      <c r="B43" s="39" t="s">
        <v>6</v>
      </c>
      <c r="C43" s="39" t="s">
        <v>150</v>
      </c>
      <c r="D43" s="39" t="s">
        <v>151</v>
      </c>
      <c r="E43" s="39" t="s">
        <v>152</v>
      </c>
      <c r="F43" s="39" t="s">
        <v>153</v>
      </c>
    </row>
    <row r="44" spans="2:6" x14ac:dyDescent="0.35">
      <c r="B44" s="41" t="s">
        <v>158</v>
      </c>
      <c r="C44" s="42">
        <f>COUNTIFS('Recommendations'!G:G,"Phase1",'Recommendations'!O:O,"=Resolved")</f>
        <v>0</v>
      </c>
      <c r="D44" s="42">
        <f>COUNTIFS('Recommendations'!G:G,"=Phase1",'Recommendations'!O:O,"=Testing")</f>
        <v>0</v>
      </c>
      <c r="E44" s="42">
        <f>COUNTIFS('Recommendations'!G:G,"=Phase1",'Recommendations'!O:O,"=Outstanding")</f>
        <v>0</v>
      </c>
      <c r="F44" s="42">
        <f t="shared" ref="F44:F49" si="0">SUM(C44:E44)</f>
        <v>0</v>
      </c>
    </row>
    <row r="45" spans="2:6" x14ac:dyDescent="0.35">
      <c r="B45" s="41" t="s">
        <v>159</v>
      </c>
      <c r="C45" s="42">
        <f>COUNTIFS('Recommendations'!G:G,"Phase2",'Recommendations'!O:O,"=Resolved")</f>
        <v>0</v>
      </c>
      <c r="D45" s="42">
        <f>COUNTIFS('Recommendations'!G:G,"=Phase2",'Recommendations'!O:O,"=Testing")</f>
        <v>0</v>
      </c>
      <c r="E45" s="42">
        <f>COUNTIFS('Recommendations'!G:G,"=Phase2",'Recommendations'!O:O,"=Outstanding")</f>
        <v>0</v>
      </c>
      <c r="F45" s="42">
        <f t="shared" si="0"/>
        <v>0</v>
      </c>
    </row>
    <row r="46" spans="2:6" x14ac:dyDescent="0.35">
      <c r="B46" s="41" t="s">
        <v>160</v>
      </c>
      <c r="C46" s="42">
        <f>COUNTIFS('Recommendations'!G:G,"Phase3",'Recommendations'!O:O,"=Resolved")</f>
        <v>0</v>
      </c>
      <c r="D46" s="42">
        <f>COUNTIFS('Recommendations'!G:G,"=Phase3",'Recommendations'!O:O,"=Testing")</f>
        <v>0</v>
      </c>
      <c r="E46" s="42">
        <f>COUNTIFS('Recommendations'!G:G,"=Phase3",'Recommendations'!O:O,"=Outstanding")</f>
        <v>0</v>
      </c>
      <c r="F46" s="42">
        <f t="shared" si="0"/>
        <v>0</v>
      </c>
    </row>
    <row r="47" spans="2:6" x14ac:dyDescent="0.35">
      <c r="B47" s="41" t="s">
        <v>161</v>
      </c>
      <c r="C47" s="42">
        <f>COUNTIFS('Recommendations'!G:G,"Phase4",'Recommendations'!O:O,"=Resolved")</f>
        <v>0</v>
      </c>
      <c r="D47" s="42">
        <f>COUNTIFS('Recommendations'!G:G,"=Phase4",'Recommendations'!O:O,"=Testing")</f>
        <v>0</v>
      </c>
      <c r="E47" s="42">
        <f>COUNTIFS('Recommendations'!G:G,"=Phase4",'Recommendations'!O:O,"=Outstanding")</f>
        <v>0</v>
      </c>
      <c r="F47" s="42">
        <f t="shared" si="0"/>
        <v>0</v>
      </c>
    </row>
    <row r="48" spans="2:6" x14ac:dyDescent="0.35">
      <c r="B48" s="41" t="s">
        <v>162</v>
      </c>
      <c r="C48" s="42">
        <f>COUNTIFS('Recommendations'!G:G,"Phase5",'Recommendations'!O:O,"=Resolved")</f>
        <v>0</v>
      </c>
      <c r="D48" s="42">
        <f>COUNTIFS('Recommendations'!G:G,"=Phase5",'Recommendations'!O:O,"=Testing")</f>
        <v>0</v>
      </c>
      <c r="E48" s="42">
        <f>COUNTIFS('Recommendations'!G:G,"=Phase5",'Recommendations'!O:O,"=Outstanding")</f>
        <v>0</v>
      </c>
      <c r="F48" s="42">
        <f t="shared" si="0"/>
        <v>0</v>
      </c>
    </row>
    <row r="49" spans="2:6" x14ac:dyDescent="0.35">
      <c r="B49" s="41" t="s">
        <v>22</v>
      </c>
      <c r="C49" s="42">
        <f>COUNTIFS('Recommendations'!G:G,"Pending",'Recommendations'!O:O,"=Resolved")</f>
        <v>0</v>
      </c>
      <c r="D49" s="42">
        <f>COUNTIFS('Recommendations'!G:G,"=Pending",'Recommendations'!O:O,"=Testing")</f>
        <v>0</v>
      </c>
      <c r="E49" s="42">
        <f>COUNTIFS('Recommendations'!G:G,"=Pending",'Recommendations'!O:O,"=Outstanding")</f>
        <v>9</v>
      </c>
      <c r="F49" s="42">
        <f t="shared" si="0"/>
        <v>9</v>
      </c>
    </row>
    <row r="51" spans="2:6" x14ac:dyDescent="0.35">
      <c r="B51" s="51" t="s">
        <v>155</v>
      </c>
    </row>
    <row r="52" spans="2:6" x14ac:dyDescent="0.35">
      <c r="B52" s="52" t="s">
        <v>6</v>
      </c>
      <c r="C52" s="52" t="s">
        <v>150</v>
      </c>
      <c r="D52" s="52" t="s">
        <v>151</v>
      </c>
      <c r="E52" s="52" t="s">
        <v>152</v>
      </c>
      <c r="F52" s="52" t="s">
        <v>23</v>
      </c>
    </row>
    <row r="53" spans="2:6" x14ac:dyDescent="0.35">
      <c r="B53" s="41" t="s">
        <v>158</v>
      </c>
      <c r="C53" s="43">
        <f t="shared" ref="C53:C58" si="1">IF(F44&gt;0, C44/F44, 0)</f>
        <v>0</v>
      </c>
      <c r="D53" s="43">
        <f t="shared" ref="D53:D58" si="2">IF(F44&gt;0, D44/F44, 0)</f>
        <v>0</v>
      </c>
      <c r="E53" s="43">
        <f t="shared" ref="E53:E58" si="3">IF(F44&gt;0, E44/F44, 0)</f>
        <v>0</v>
      </c>
      <c r="F53" s="44" t="s">
        <v>23</v>
      </c>
    </row>
    <row r="54" spans="2:6" x14ac:dyDescent="0.35">
      <c r="B54" s="41" t="s">
        <v>159</v>
      </c>
      <c r="C54" s="43">
        <f t="shared" si="1"/>
        <v>0</v>
      </c>
      <c r="D54" s="43">
        <f t="shared" si="2"/>
        <v>0</v>
      </c>
      <c r="E54" s="43">
        <f t="shared" si="3"/>
        <v>0</v>
      </c>
      <c r="F54" s="44" t="s">
        <v>23</v>
      </c>
    </row>
    <row r="55" spans="2:6" x14ac:dyDescent="0.35">
      <c r="B55" s="41" t="s">
        <v>160</v>
      </c>
      <c r="C55" s="43">
        <f t="shared" si="1"/>
        <v>0</v>
      </c>
      <c r="D55" s="43">
        <f t="shared" si="2"/>
        <v>0</v>
      </c>
      <c r="E55" s="43">
        <f t="shared" si="3"/>
        <v>0</v>
      </c>
      <c r="F55" s="44" t="s">
        <v>23</v>
      </c>
    </row>
    <row r="56" spans="2:6" x14ac:dyDescent="0.35">
      <c r="B56" s="41" t="s">
        <v>161</v>
      </c>
      <c r="C56" s="43">
        <f t="shared" si="1"/>
        <v>0</v>
      </c>
      <c r="D56" s="43">
        <f t="shared" si="2"/>
        <v>0</v>
      </c>
      <c r="E56" s="43">
        <f t="shared" si="3"/>
        <v>0</v>
      </c>
      <c r="F56" s="44" t="s">
        <v>23</v>
      </c>
    </row>
    <row r="57" spans="2:6" x14ac:dyDescent="0.35">
      <c r="B57" s="41" t="s">
        <v>162</v>
      </c>
      <c r="C57" s="43">
        <f t="shared" si="1"/>
        <v>0</v>
      </c>
      <c r="D57" s="43">
        <f t="shared" si="2"/>
        <v>0</v>
      </c>
      <c r="E57" s="43">
        <f t="shared" si="3"/>
        <v>0</v>
      </c>
      <c r="F57" s="44" t="s">
        <v>23</v>
      </c>
    </row>
    <row r="58" spans="2:6" x14ac:dyDescent="0.35">
      <c r="B58" s="41" t="s">
        <v>22</v>
      </c>
      <c r="C58" s="43">
        <f t="shared" si="1"/>
        <v>0</v>
      </c>
      <c r="D58" s="43">
        <f t="shared" si="2"/>
        <v>0</v>
      </c>
      <c r="E58" s="43">
        <f t="shared" si="3"/>
        <v>1</v>
      </c>
      <c r="F58" s="44" t="s">
        <v>23</v>
      </c>
    </row>
    <row r="63" spans="2:6" ht="18.5" x14ac:dyDescent="0.45">
      <c r="B63" s="37" t="s">
        <v>163</v>
      </c>
    </row>
    <row r="65" spans="2:6" x14ac:dyDescent="0.35">
      <c r="B65" s="51" t="s">
        <v>149</v>
      </c>
    </row>
    <row r="66" spans="2:6" x14ac:dyDescent="0.35">
      <c r="B66" s="39" t="s">
        <v>4</v>
      </c>
      <c r="C66" s="39" t="s">
        <v>150</v>
      </c>
      <c r="D66" s="39" t="s">
        <v>151</v>
      </c>
      <c r="E66" s="39" t="s">
        <v>152</v>
      </c>
      <c r="F66" s="39" t="s">
        <v>153</v>
      </c>
    </row>
    <row r="67" spans="2:6" x14ac:dyDescent="0.35">
      <c r="B67" s="41" t="s">
        <v>164</v>
      </c>
      <c r="C67" s="42">
        <f>COUNTIFS('Recommendations'!E:E,"Must",'Recommendations'!O:O,"=Resolved")</f>
        <v>0</v>
      </c>
      <c r="D67" s="42">
        <f>COUNTIFS('Recommendations'!E:E,"=Must",'Recommendations'!O:O,"=Testing")</f>
        <v>0</v>
      </c>
      <c r="E67" s="42">
        <f>COUNTIFS('Recommendations'!E:E,"=Must",'Recommendations'!O:O,"=Outstanding")</f>
        <v>0</v>
      </c>
      <c r="F67" s="42">
        <f>SUM(C67:E67)</f>
        <v>0</v>
      </c>
    </row>
    <row r="68" spans="2:6" x14ac:dyDescent="0.35">
      <c r="B68" s="41" t="s">
        <v>165</v>
      </c>
      <c r="C68" s="42">
        <f>COUNTIFS('Recommendations'!E:E,"Should",'Recommendations'!O:O,"=Resolved")</f>
        <v>0</v>
      </c>
      <c r="D68" s="42">
        <f>COUNTIFS('Recommendations'!E:E,"=Should",'Recommendations'!O:O,"=Testing")</f>
        <v>0</v>
      </c>
      <c r="E68" s="42">
        <f>COUNTIFS('Recommendations'!E:E,"=Should",'Recommendations'!O:O,"=Outstanding")</f>
        <v>0</v>
      </c>
      <c r="F68" s="42">
        <f>SUM(C68:E68)</f>
        <v>0</v>
      </c>
    </row>
    <row r="69" spans="2:6" x14ac:dyDescent="0.35">
      <c r="B69" s="41" t="s">
        <v>166</v>
      </c>
      <c r="C69" s="42">
        <f>COUNTIFS('Recommendations'!E:E,"Could",'Recommendations'!O:O,"=Resolved")</f>
        <v>0</v>
      </c>
      <c r="D69" s="42">
        <f>COUNTIFS('Recommendations'!E:E,"=Could",'Recommendations'!O:O,"=Testing")</f>
        <v>0</v>
      </c>
      <c r="E69" s="42">
        <f>COUNTIFS('Recommendations'!E:E,"=Could",'Recommendations'!O:O,"=Outstanding")</f>
        <v>0</v>
      </c>
      <c r="F69" s="42">
        <f>SUM(C69:E69)</f>
        <v>0</v>
      </c>
    </row>
    <row r="70" spans="2:6" x14ac:dyDescent="0.35">
      <c r="B70" s="41" t="s">
        <v>167</v>
      </c>
      <c r="C70" s="42">
        <f>COUNTIFS('Recommendations'!E:E,"Won't",'Recommendations'!O:O,"=Resolved")</f>
        <v>0</v>
      </c>
      <c r="D70" s="42">
        <f>COUNTIFS('Recommendations'!E:E,"=Won't",'Recommendations'!O:O,"=Testing")</f>
        <v>0</v>
      </c>
      <c r="E70" s="42">
        <f>COUNTIFS('Recommendations'!E:E,"=Won't",'Recommendations'!O:O,"=Outstanding")</f>
        <v>0</v>
      </c>
      <c r="F70" s="42">
        <f>SUM(C70:E70)</f>
        <v>0</v>
      </c>
    </row>
    <row r="71" spans="2:6" x14ac:dyDescent="0.35">
      <c r="B71" s="41" t="s">
        <v>20</v>
      </c>
      <c r="C71" s="42">
        <f>COUNTIFS('Recommendations'!E:E,"Unassigned",'Recommendations'!O:O,"=Resolved")</f>
        <v>0</v>
      </c>
      <c r="D71" s="42">
        <f>COUNTIFS('Recommendations'!E:E,"=Unassigned",'Recommendations'!O:O,"=Testing")</f>
        <v>0</v>
      </c>
      <c r="E71" s="42">
        <f>COUNTIFS('Recommendations'!E:E,"=Unassigned",'Recommendations'!O:O,"=Outstanding")</f>
        <v>9</v>
      </c>
      <c r="F71" s="42">
        <f>SUM(C71:E71)</f>
        <v>9</v>
      </c>
    </row>
    <row r="73" spans="2:6" x14ac:dyDescent="0.35">
      <c r="B73" s="51" t="s">
        <v>155</v>
      </c>
    </row>
    <row r="74" spans="2:6" x14ac:dyDescent="0.35">
      <c r="B74" s="52" t="s">
        <v>4</v>
      </c>
      <c r="C74" s="52" t="s">
        <v>150</v>
      </c>
      <c r="D74" s="52" t="s">
        <v>151</v>
      </c>
      <c r="E74" s="52" t="s">
        <v>152</v>
      </c>
      <c r="F74" s="52" t="s">
        <v>23</v>
      </c>
    </row>
    <row r="75" spans="2:6" x14ac:dyDescent="0.35">
      <c r="B75" s="41" t="s">
        <v>164</v>
      </c>
      <c r="C75" s="43">
        <f>IF(F67&gt;0, C67/F67, 0)</f>
        <v>0</v>
      </c>
      <c r="D75" s="43">
        <f>IF(F67&gt;0, D67/F67, 0)</f>
        <v>0</v>
      </c>
      <c r="E75" s="43">
        <f>IF(F67&gt;0, E67/F67, 0)</f>
        <v>0</v>
      </c>
      <c r="F75" s="44" t="s">
        <v>23</v>
      </c>
    </row>
    <row r="76" spans="2:6" x14ac:dyDescent="0.35">
      <c r="B76" s="41" t="s">
        <v>165</v>
      </c>
      <c r="C76" s="43">
        <f>IF(F68&gt;0, C68/F68, 0)</f>
        <v>0</v>
      </c>
      <c r="D76" s="43">
        <f>IF(F68&gt;0, D68/F68, 0)</f>
        <v>0</v>
      </c>
      <c r="E76" s="43">
        <f>IF(F68&gt;0, E68/F68, 0)</f>
        <v>0</v>
      </c>
      <c r="F76" s="44" t="s">
        <v>23</v>
      </c>
    </row>
    <row r="77" spans="2:6" x14ac:dyDescent="0.35">
      <c r="B77" s="41" t="s">
        <v>166</v>
      </c>
      <c r="C77" s="43">
        <f>IF(F69&gt;0, C69/F69, 0)</f>
        <v>0</v>
      </c>
      <c r="D77" s="43">
        <f>IF(F69&gt;0, D69/F69, 0)</f>
        <v>0</v>
      </c>
      <c r="E77" s="43">
        <f>IF(F69&gt;0, E69/F69, 0)</f>
        <v>0</v>
      </c>
      <c r="F77" s="44" t="s">
        <v>23</v>
      </c>
    </row>
    <row r="78" spans="2:6" x14ac:dyDescent="0.35">
      <c r="B78" s="41" t="s">
        <v>167</v>
      </c>
      <c r="C78" s="43">
        <f>IF(F70&gt;0, C70/F70, 0)</f>
        <v>0</v>
      </c>
      <c r="D78" s="43">
        <f>IF(F70&gt;0, D70/F70, 0)</f>
        <v>0</v>
      </c>
      <c r="E78" s="43">
        <f>IF(F70&gt;0, E70/F70, 0)</f>
        <v>0</v>
      </c>
      <c r="F78" s="44" t="s">
        <v>23</v>
      </c>
    </row>
    <row r="79" spans="2:6" x14ac:dyDescent="0.35">
      <c r="B79" s="41" t="s">
        <v>20</v>
      </c>
      <c r="C79" s="43">
        <f>IF(F71&gt;0, C71/F71, 0)</f>
        <v>0</v>
      </c>
      <c r="D79" s="43">
        <f>IF(F71&gt;0, D71/F71, 0)</f>
        <v>0</v>
      </c>
      <c r="E79" s="43">
        <f>IF(F71&gt;0, E71/F71, 0)</f>
        <v>1</v>
      </c>
      <c r="F79" s="44" t="s">
        <v>23</v>
      </c>
    </row>
    <row r="84" spans="2:6" ht="18.5" x14ac:dyDescent="0.45">
      <c r="B84" s="37" t="s">
        <v>168</v>
      </c>
    </row>
    <row r="86" spans="2:6" x14ac:dyDescent="0.35">
      <c r="B86" s="51" t="s">
        <v>149</v>
      </c>
    </row>
    <row r="87" spans="2:6" x14ac:dyDescent="0.35">
      <c r="B87" s="39" t="s">
        <v>169</v>
      </c>
      <c r="C87" s="39" t="s">
        <v>150</v>
      </c>
      <c r="D87" s="39" t="s">
        <v>151</v>
      </c>
      <c r="E87" s="39" t="s">
        <v>152</v>
      </c>
      <c r="F87" s="39" t="s">
        <v>153</v>
      </c>
    </row>
    <row r="88" spans="2:6" x14ac:dyDescent="0.35">
      <c r="B88" s="41" t="s">
        <v>170</v>
      </c>
      <c r="C88" s="42">
        <f>COUNTIFS('Recommendations'!F:F,"Low",'Recommendations'!O:O,"=Resolved")</f>
        <v>0</v>
      </c>
      <c r="D88" s="42">
        <f>COUNTIFS('Recommendations'!F:F,"=Low",'Recommendations'!O:O,"=Testing")</f>
        <v>0</v>
      </c>
      <c r="E88" s="42">
        <f>COUNTIFS('Recommendations'!F:F,"=Low",'Recommendations'!O:O,"=Outstanding")</f>
        <v>0</v>
      </c>
      <c r="F88" s="42">
        <f>SUM(C88:E88)</f>
        <v>0</v>
      </c>
    </row>
    <row r="89" spans="2:6" x14ac:dyDescent="0.35">
      <c r="B89" s="41" t="s">
        <v>171</v>
      </c>
      <c r="C89" s="42">
        <f>COUNTIFS('Recommendations'!F:F,"Medium",'Recommendations'!O:O,"=Resolved")</f>
        <v>0</v>
      </c>
      <c r="D89" s="42">
        <f>COUNTIFS('Recommendations'!F:F,"=Medium",'Recommendations'!O:O,"=Testing")</f>
        <v>0</v>
      </c>
      <c r="E89" s="42">
        <f>COUNTIFS('Recommendations'!F:F,"=Medium",'Recommendations'!O:O,"=Outstanding")</f>
        <v>0</v>
      </c>
      <c r="F89" s="42">
        <f>SUM(C89:E89)</f>
        <v>0</v>
      </c>
    </row>
    <row r="90" spans="2:6" x14ac:dyDescent="0.35">
      <c r="B90" s="41" t="s">
        <v>172</v>
      </c>
      <c r="C90" s="42">
        <f>COUNTIFS('Recommendations'!F:F,"High",'Recommendations'!O:O,"=Resolved")</f>
        <v>0</v>
      </c>
      <c r="D90" s="42">
        <f>COUNTIFS('Recommendations'!F:F,"=High",'Recommendations'!O:O,"=Testing")</f>
        <v>0</v>
      </c>
      <c r="E90" s="42">
        <f>COUNTIFS('Recommendations'!F:F,"=High",'Recommendations'!O:O,"=Outstanding")</f>
        <v>0</v>
      </c>
      <c r="F90" s="42">
        <f>SUM(C90:E90)</f>
        <v>0</v>
      </c>
    </row>
    <row r="91" spans="2:6" x14ac:dyDescent="0.35">
      <c r="B91" s="41" t="s">
        <v>21</v>
      </c>
      <c r="C91" s="42">
        <f>COUNTIFS('Recommendations'!F:F,"Unassessed",'Recommendations'!O:O,"=Resolved")</f>
        <v>0</v>
      </c>
      <c r="D91" s="42">
        <f>COUNTIFS('Recommendations'!F:F,"=Unassessed",'Recommendations'!O:O,"=Testing")</f>
        <v>0</v>
      </c>
      <c r="E91" s="42">
        <f>COUNTIFS('Recommendations'!F:F,"=Unassessed",'Recommendations'!O:O,"=Outstanding")</f>
        <v>9</v>
      </c>
      <c r="F91" s="42">
        <f>SUM(C91:E91)</f>
        <v>9</v>
      </c>
    </row>
    <row r="93" spans="2:6" x14ac:dyDescent="0.35">
      <c r="B93" s="51" t="s">
        <v>155</v>
      </c>
    </row>
    <row r="94" spans="2:6" x14ac:dyDescent="0.35">
      <c r="B94" s="52" t="s">
        <v>169</v>
      </c>
      <c r="C94" s="52" t="s">
        <v>150</v>
      </c>
      <c r="D94" s="52" t="s">
        <v>151</v>
      </c>
      <c r="E94" s="52" t="s">
        <v>152</v>
      </c>
      <c r="F94" s="52" t="s">
        <v>23</v>
      </c>
    </row>
    <row r="95" spans="2:6" x14ac:dyDescent="0.35">
      <c r="B95" s="41" t="s">
        <v>170</v>
      </c>
      <c r="C95" s="43">
        <f>IF(F88&gt;0, C88/F88, 0)</f>
        <v>0</v>
      </c>
      <c r="D95" s="43">
        <f>IF(F88&gt;0, D88/F88, 0)</f>
        <v>0</v>
      </c>
      <c r="E95" s="43">
        <f>IF(F88&gt;0, E88/F88, 0)</f>
        <v>0</v>
      </c>
      <c r="F95" s="44" t="s">
        <v>23</v>
      </c>
    </row>
    <row r="96" spans="2:6" x14ac:dyDescent="0.35">
      <c r="B96" s="41" t="s">
        <v>171</v>
      </c>
      <c r="C96" s="43">
        <f>IF(F89&gt;0, C89/F89, 0)</f>
        <v>0</v>
      </c>
      <c r="D96" s="43">
        <f>IF(F89&gt;0, D89/F89, 0)</f>
        <v>0</v>
      </c>
      <c r="E96" s="43">
        <f>IF(F89&gt;0, E89/F89, 0)</f>
        <v>0</v>
      </c>
      <c r="F96" s="44" t="s">
        <v>23</v>
      </c>
    </row>
    <row r="97" spans="2:15" x14ac:dyDescent="0.35">
      <c r="B97" s="41" t="s">
        <v>172</v>
      </c>
      <c r="C97" s="43">
        <f>IF(F90&gt;0, C90/F90, 0)</f>
        <v>0</v>
      </c>
      <c r="D97" s="43">
        <f>IF(F90&gt;0, D90/F90, 0)</f>
        <v>0</v>
      </c>
      <c r="E97" s="43">
        <f>IF(F90&gt;0, E90/F90, 0)</f>
        <v>0</v>
      </c>
      <c r="F97" s="44" t="s">
        <v>23</v>
      </c>
    </row>
    <row r="98" spans="2:15" x14ac:dyDescent="0.35">
      <c r="B98" s="41" t="s">
        <v>21</v>
      </c>
      <c r="C98" s="43">
        <f>IF(F91&gt;0, C91/F91, 0)</f>
        <v>0</v>
      </c>
      <c r="D98" s="43">
        <f>IF(F91&gt;0, D91/F91, 0)</f>
        <v>0</v>
      </c>
      <c r="E98" s="43">
        <f>IF(F91&gt;0, E91/F91, 0)</f>
        <v>1</v>
      </c>
      <c r="F98" s="44" t="s">
        <v>23</v>
      </c>
    </row>
    <row r="103" spans="2:15" ht="18.5" x14ac:dyDescent="0.45">
      <c r="B103" s="37" t="s">
        <v>173</v>
      </c>
      <c r="J103" s="37" t="s">
        <v>174</v>
      </c>
    </row>
    <row r="104" spans="2:15" x14ac:dyDescent="0.35">
      <c r="B104" s="39" t="s">
        <v>6</v>
      </c>
      <c r="C104" s="84" t="s">
        <v>175</v>
      </c>
      <c r="D104" s="84"/>
      <c r="E104" s="39" t="s">
        <v>142</v>
      </c>
      <c r="F104" s="39" t="s">
        <v>150</v>
      </c>
      <c r="G104" s="84" t="s">
        <v>176</v>
      </c>
      <c r="H104" s="84"/>
      <c r="J104" s="39" t="s">
        <v>6</v>
      </c>
      <c r="K104" s="39" t="s">
        <v>164</v>
      </c>
      <c r="L104" s="39" t="s">
        <v>165</v>
      </c>
      <c r="M104" s="39" t="s">
        <v>166</v>
      </c>
      <c r="N104" s="39" t="s">
        <v>167</v>
      </c>
      <c r="O104" s="39" t="s">
        <v>20</v>
      </c>
    </row>
    <row r="105" spans="2:15" x14ac:dyDescent="0.35">
      <c r="B105" s="45" t="s">
        <v>158</v>
      </c>
      <c r="C105" s="85" t="s">
        <v>23</v>
      </c>
      <c r="D105" s="85"/>
      <c r="E105" s="42">
        <f>COUNTIF('Recommendations'!G:G,"Phase1")-COUNTIFS('Recommendations'!G:G,"Phase1",'Recommendations'!H:H,"Risk Accepted")-COUNTIFS('Recommendations'!G:G,"Phase1",'Recommendations'!H:H,"N/A")</f>
        <v>0</v>
      </c>
      <c r="F105" s="42">
        <f>COUNTIFS('Recommendations'!G:G,"Phase1",'Recommendations'!O:O,"Resolved")</f>
        <v>0</v>
      </c>
      <c r="G105" s="86">
        <f t="shared" ref="G105:G110" si="4">IF(E105&gt;0,F105/E105,0)</f>
        <v>0</v>
      </c>
      <c r="H105" s="86"/>
      <c r="J105" s="45" t="s">
        <v>158</v>
      </c>
      <c r="K105" s="42">
        <f>COUNTIFS('Recommendations'!G:G,"Phase1",'Recommendations'!E:E,"Must")</f>
        <v>0</v>
      </c>
      <c r="L105" s="42">
        <f>COUNTIFS('Recommendations'!G:G,"Phase1",'Recommendations'!E:E,"Should")</f>
        <v>0</v>
      </c>
      <c r="M105" s="42">
        <f>COUNTIFS('Recommendations'!G:G,"Phase1",'Recommendations'!E:E,"Could")</f>
        <v>0</v>
      </c>
      <c r="N105" s="42">
        <f>COUNTIFS('Recommendations'!G:G,"Phase1",'Recommendations'!E:E,"Won't")</f>
        <v>0</v>
      </c>
      <c r="O105" s="42">
        <f>COUNTIFS('Recommendations'!G:G,"Phase1",'Recommendations'!E:E,"Unassigned")</f>
        <v>0</v>
      </c>
    </row>
    <row r="106" spans="2:15" x14ac:dyDescent="0.35">
      <c r="B106" s="45" t="s">
        <v>159</v>
      </c>
      <c r="C106" s="85" t="s">
        <v>23</v>
      </c>
      <c r="D106" s="85"/>
      <c r="E106" s="42">
        <f>COUNTIF('Recommendations'!G:G,"Phase2")-COUNTIFS('Recommendations'!G:G,"Phase2",'Recommendations'!H:H,"Risk Accepted")-COUNTIFS('Recommendations'!G:G,"Phase2",'Recommendations'!H:H,"N/A")</f>
        <v>0</v>
      </c>
      <c r="F106" s="42">
        <f>COUNTIFS('Recommendations'!G:G,"Phase2",'Recommendations'!O:O,"Resolved")</f>
        <v>0</v>
      </c>
      <c r="G106" s="86">
        <f t="shared" si="4"/>
        <v>0</v>
      </c>
      <c r="H106" s="86"/>
      <c r="J106" s="45" t="s">
        <v>159</v>
      </c>
      <c r="K106" s="42">
        <f>COUNTIFS('Recommendations'!G:G,"Phase2",'Recommendations'!E:E,"Must")</f>
        <v>0</v>
      </c>
      <c r="L106" s="42">
        <f>COUNTIFS('Recommendations'!G:G,"Phase2",'Recommendations'!E:E,"Should")</f>
        <v>0</v>
      </c>
      <c r="M106" s="42">
        <f>COUNTIFS('Recommendations'!G:G,"Phase2",'Recommendations'!E:E,"Could")</f>
        <v>0</v>
      </c>
      <c r="N106" s="42">
        <f>COUNTIFS('Recommendations'!G:G,"Phase2",'Recommendations'!E:E,"Won't")</f>
        <v>0</v>
      </c>
      <c r="O106" s="42">
        <f>COUNTIFS('Recommendations'!G:G,"Phase2",'Recommendations'!E:E,"Unassigned")</f>
        <v>0</v>
      </c>
    </row>
    <row r="107" spans="2:15" x14ac:dyDescent="0.35">
      <c r="B107" s="45" t="s">
        <v>160</v>
      </c>
      <c r="C107" s="85" t="s">
        <v>23</v>
      </c>
      <c r="D107" s="85"/>
      <c r="E107" s="42">
        <f>COUNTIF('Recommendations'!G:G,"Phase3")-COUNTIFS('Recommendations'!G:G,"Phase3",'Recommendations'!H:H,"Risk Accepted")-COUNTIFS('Recommendations'!G:G,"Phase3",'Recommendations'!H:H,"N/A")</f>
        <v>0</v>
      </c>
      <c r="F107" s="42">
        <f>COUNTIFS('Recommendations'!G:G,"Phase3",'Recommendations'!O:O,"Resolved")</f>
        <v>0</v>
      </c>
      <c r="G107" s="86">
        <f t="shared" si="4"/>
        <v>0</v>
      </c>
      <c r="H107" s="86"/>
      <c r="J107" s="45" t="s">
        <v>160</v>
      </c>
      <c r="K107" s="42">
        <f>COUNTIFS('Recommendations'!G:G,"Phase3",'Recommendations'!E:E,"Must")</f>
        <v>0</v>
      </c>
      <c r="L107" s="42">
        <f>COUNTIFS('Recommendations'!G:G,"Phase3",'Recommendations'!E:E,"Should")</f>
        <v>0</v>
      </c>
      <c r="M107" s="42">
        <f>COUNTIFS('Recommendations'!G:G,"Phase3",'Recommendations'!E:E,"Could")</f>
        <v>0</v>
      </c>
      <c r="N107" s="42">
        <f>COUNTIFS('Recommendations'!G:G,"Phase3",'Recommendations'!E:E,"Won't")</f>
        <v>0</v>
      </c>
      <c r="O107" s="42">
        <f>COUNTIFS('Recommendations'!G:G,"Phase3",'Recommendations'!E:E,"Unassigned")</f>
        <v>0</v>
      </c>
    </row>
    <row r="108" spans="2:15" x14ac:dyDescent="0.35">
      <c r="B108" s="45" t="s">
        <v>161</v>
      </c>
      <c r="C108" s="85" t="s">
        <v>23</v>
      </c>
      <c r="D108" s="85"/>
      <c r="E108" s="42">
        <f>COUNTIF('Recommendations'!G:G,"Phase4")-COUNTIFS('Recommendations'!G:G,"Phase4",'Recommendations'!H:H,"Risk Accepted")-COUNTIFS('Recommendations'!G:G,"Phase4",'Recommendations'!H:H,"N/A")</f>
        <v>0</v>
      </c>
      <c r="F108" s="42">
        <f>COUNTIFS('Recommendations'!G:G,"Phase4",'Recommendations'!O:O,"Resolved")</f>
        <v>0</v>
      </c>
      <c r="G108" s="86">
        <f t="shared" si="4"/>
        <v>0</v>
      </c>
      <c r="H108" s="86"/>
      <c r="J108" s="45" t="s">
        <v>161</v>
      </c>
      <c r="K108" s="42">
        <f>COUNTIFS('Recommendations'!G:G,"Phase4",'Recommendations'!E:E,"Must")</f>
        <v>0</v>
      </c>
      <c r="L108" s="42">
        <f>COUNTIFS('Recommendations'!G:G,"Phase4",'Recommendations'!E:E,"Should")</f>
        <v>0</v>
      </c>
      <c r="M108" s="42">
        <f>COUNTIFS('Recommendations'!G:G,"Phase4",'Recommendations'!E:E,"Could")</f>
        <v>0</v>
      </c>
      <c r="N108" s="42">
        <f>COUNTIFS('Recommendations'!G:G,"Phase4",'Recommendations'!E:E,"Won't")</f>
        <v>0</v>
      </c>
      <c r="O108" s="42">
        <f>COUNTIFS('Recommendations'!G:G,"Phase4",'Recommendations'!E:E,"Unassigned")</f>
        <v>0</v>
      </c>
    </row>
    <row r="109" spans="2:15" x14ac:dyDescent="0.35">
      <c r="B109" s="45" t="s">
        <v>162</v>
      </c>
      <c r="C109" s="85" t="s">
        <v>23</v>
      </c>
      <c r="D109" s="85"/>
      <c r="E109" s="42">
        <f>COUNTIF('Recommendations'!G:G,"Phase5")-COUNTIFS('Recommendations'!G:G,"Phase5",'Recommendations'!H:H,"Risk Accepted")-COUNTIFS('Recommendations'!G:G,"Phase5",'Recommendations'!H:H,"N/A")</f>
        <v>0</v>
      </c>
      <c r="F109" s="42">
        <f>COUNTIFS('Recommendations'!G:G,"Phase5",'Recommendations'!O:O,"Resolved")</f>
        <v>0</v>
      </c>
      <c r="G109" s="86">
        <f t="shared" si="4"/>
        <v>0</v>
      </c>
      <c r="H109" s="86"/>
      <c r="J109" s="45" t="s">
        <v>162</v>
      </c>
      <c r="K109" s="42">
        <f>COUNTIFS('Recommendations'!G:G,"Phase5",'Recommendations'!E:E,"Must")</f>
        <v>0</v>
      </c>
      <c r="L109" s="42">
        <f>COUNTIFS('Recommendations'!G:G,"Phase5",'Recommendations'!E:E,"Should")</f>
        <v>0</v>
      </c>
      <c r="M109" s="42">
        <f>COUNTIFS('Recommendations'!G:G,"Phase5",'Recommendations'!E:E,"Could")</f>
        <v>0</v>
      </c>
      <c r="N109" s="42">
        <f>COUNTIFS('Recommendations'!G:G,"Phase5",'Recommendations'!E:E,"Won't")</f>
        <v>0</v>
      </c>
      <c r="O109" s="42">
        <f>COUNTIFS('Recommendations'!G:G,"Phase5",'Recommendations'!E:E,"Unassigned")</f>
        <v>0</v>
      </c>
    </row>
    <row r="110" spans="2:15" x14ac:dyDescent="0.35">
      <c r="B110" s="45" t="s">
        <v>22</v>
      </c>
      <c r="C110" s="85" t="s">
        <v>23</v>
      </c>
      <c r="D110" s="85"/>
      <c r="E110" s="42">
        <f>COUNTIF('Recommendations'!G:G,"Pending")-COUNTIFS('Recommendations'!G:G,"Pending",'Recommendations'!H:H,"Risk Accepted")-COUNTIFS('Recommendations'!G:G,"Pending",'Recommendations'!H:H,"N/A")</f>
        <v>9</v>
      </c>
      <c r="F110" s="42">
        <f>COUNTIFS('Recommendations'!G:G,"Pending",'Recommendations'!O:O,"Resolved")</f>
        <v>0</v>
      </c>
      <c r="G110" s="86">
        <f t="shared" si="4"/>
        <v>0</v>
      </c>
      <c r="H110" s="86"/>
      <c r="J110" s="45" t="s">
        <v>22</v>
      </c>
      <c r="K110" s="42">
        <f>COUNTIFS('Recommendations'!G:G,"Pending",'Recommendations'!E:E,"Must")</f>
        <v>0</v>
      </c>
      <c r="L110" s="42">
        <f>COUNTIFS('Recommendations'!G:G,"Pending",'Recommendations'!E:E,"Should")</f>
        <v>0</v>
      </c>
      <c r="M110" s="42">
        <f>COUNTIFS('Recommendations'!G:G,"Pending",'Recommendations'!E:E,"Could")</f>
        <v>0</v>
      </c>
      <c r="N110" s="42">
        <f>COUNTIFS('Recommendations'!G:G,"Pending",'Recommendations'!E:E,"Won't")</f>
        <v>0</v>
      </c>
      <c r="O110" s="42">
        <f>COUNTIFS('Recommendations'!G:G,"Pending",'Recommendations'!E:E,"Unassigned")</f>
        <v>9</v>
      </c>
    </row>
    <row r="117" spans="2:24" ht="21" x14ac:dyDescent="0.5">
      <c r="B117" s="37" t="s">
        <v>177</v>
      </c>
      <c r="P117" s="54" t="s">
        <v>178</v>
      </c>
    </row>
    <row r="119" spans="2:24" ht="60" customHeight="1" x14ac:dyDescent="0.35">
      <c r="B119" s="87" t="s">
        <v>179</v>
      </c>
      <c r="C119" s="80"/>
      <c r="D119" s="80"/>
      <c r="E119" s="80"/>
      <c r="F119" s="80"/>
      <c r="P119" s="87" t="s">
        <v>180</v>
      </c>
      <c r="Q119" s="80"/>
      <c r="R119" s="80"/>
      <c r="S119" s="80"/>
      <c r="T119" s="80"/>
      <c r="U119" s="80"/>
      <c r="V119" s="80"/>
      <c r="W119" s="80"/>
    </row>
    <row r="121" spans="2:24" ht="30" customHeight="1" x14ac:dyDescent="0.35">
      <c r="P121" s="55" t="s">
        <v>181</v>
      </c>
      <c r="Q121" s="56">
        <f>C16</f>
        <v>0</v>
      </c>
      <c r="R121" s="57"/>
      <c r="S121" s="56">
        <f>C67</f>
        <v>0</v>
      </c>
      <c r="T121" s="57"/>
      <c r="U121" s="56">
        <f>C68</f>
        <v>0</v>
      </c>
      <c r="V121" s="57"/>
      <c r="W121" s="56">
        <f>C69</f>
        <v>0</v>
      </c>
      <c r="X121" s="57"/>
    </row>
    <row r="122" spans="2:24" ht="35" customHeight="1" x14ac:dyDescent="0.35">
      <c r="P122" s="58" t="s">
        <v>182</v>
      </c>
      <c r="Q122" s="58" t="s">
        <v>183</v>
      </c>
      <c r="R122" s="58" t="s">
        <v>184</v>
      </c>
      <c r="S122" s="58" t="s">
        <v>185</v>
      </c>
      <c r="T122" s="58" t="s">
        <v>186</v>
      </c>
      <c r="U122" s="58" t="s">
        <v>187</v>
      </c>
      <c r="V122" s="58" t="s">
        <v>188</v>
      </c>
      <c r="W122" s="58" t="s">
        <v>189</v>
      </c>
      <c r="X122" s="58" t="s">
        <v>190</v>
      </c>
    </row>
    <row r="123" spans="2:24" x14ac:dyDescent="0.35">
      <c r="O123" s="59" t="s">
        <v>191</v>
      </c>
      <c r="P123" s="60" t="s">
        <v>192</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193</v>
      </c>
      <c r="P158" s="54" t="s">
        <v>194</v>
      </c>
    </row>
    <row r="160" spans="2:24" ht="45" customHeight="1" x14ac:dyDescent="0.35">
      <c r="B160" s="87" t="s">
        <v>195</v>
      </c>
      <c r="C160" s="80"/>
      <c r="D160" s="80"/>
      <c r="E160" s="80"/>
      <c r="F160" s="80"/>
      <c r="P160" s="87" t="s">
        <v>196</v>
      </c>
      <c r="Q160" s="80"/>
      <c r="R160" s="80"/>
      <c r="S160" s="80"/>
      <c r="T160" s="80"/>
      <c r="U160" s="80"/>
    </row>
    <row r="161" spans="16:22" ht="35" customHeight="1" x14ac:dyDescent="0.35">
      <c r="P161" s="84" t="s">
        <v>197</v>
      </c>
      <c r="Q161" s="84"/>
      <c r="R161" s="84" t="s">
        <v>198</v>
      </c>
      <c r="S161" s="84"/>
      <c r="T161" s="84"/>
    </row>
    <row r="162" spans="16:22" ht="30" customHeight="1" x14ac:dyDescent="0.35">
      <c r="P162" s="88">
        <v>0</v>
      </c>
      <c r="Q162" s="89"/>
      <c r="R162" s="90" t="s">
        <v>199</v>
      </c>
      <c r="S162" s="91"/>
      <c r="T162" s="91"/>
    </row>
    <row r="165" spans="16:22" ht="25" customHeight="1" x14ac:dyDescent="0.35">
      <c r="P165" s="63" t="s">
        <v>182</v>
      </c>
      <c r="Q165" s="63" t="s">
        <v>200</v>
      </c>
      <c r="R165" s="63" t="s">
        <v>201</v>
      </c>
      <c r="S165" s="92" t="s">
        <v>8</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77</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5:H110">
    <cfRule type="expression" dxfId="29" priority="4">
      <formula>$G105&gt;=0.8</formula>
    </cfRule>
    <cfRule type="expression" dxfId="28" priority="5">
      <formula>AND($G105&gt;=0.5,$G105&lt;0.8)</formula>
    </cfRule>
    <cfRule type="expression" dxfId="27" priority="6">
      <formula>$G105&lt;0.5</formula>
    </cfRule>
  </conditionalFormatting>
  <conditionalFormatting sqref="K105:K110">
    <cfRule type="cellIs" dxfId="26" priority="7" operator="greaterThan">
      <formula>0</formula>
    </cfRule>
  </conditionalFormatting>
  <conditionalFormatting sqref="L105:L110">
    <cfRule type="cellIs" dxfId="25" priority="8" operator="greaterThan">
      <formula>0</formula>
    </cfRule>
  </conditionalFormatting>
  <conditionalFormatting sqref="M105:M110">
    <cfRule type="cellIs" dxfId="24" priority="9" operator="greaterThan">
      <formula>0</formula>
    </cfRule>
  </conditionalFormatting>
  <conditionalFormatting sqref="N105:N110">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10" si="0">IF(OR(H2="Implemented",H2="Compensated"),"Resolved",IF(OR(H2="Risk Accepted",H2="N/A"),"Excluded",IF(H2="Testing","Testing","Outstanding")))</f>
        <v>Outstanding</v>
      </c>
      <c r="P2" s="13" t="s">
        <v>23</v>
      </c>
    </row>
    <row r="3" spans="1:16" ht="60" customHeight="1" x14ac:dyDescent="0.35">
      <c r="A3" s="11" t="s">
        <v>16</v>
      </c>
      <c r="B3" s="2" t="s">
        <v>29</v>
      </c>
      <c r="C3" s="3" t="s">
        <v>30</v>
      </c>
      <c r="D3" s="4" t="s">
        <v>19</v>
      </c>
      <c r="E3" s="4" t="s">
        <v>20</v>
      </c>
      <c r="F3" s="4" t="s">
        <v>21</v>
      </c>
      <c r="G3" s="4" t="s">
        <v>22</v>
      </c>
      <c r="H3" s="4" t="s">
        <v>23</v>
      </c>
      <c r="I3" s="1" t="s">
        <v>23</v>
      </c>
      <c r="J3" s="3" t="s">
        <v>31</v>
      </c>
      <c r="K3" s="3" t="s">
        <v>32</v>
      </c>
      <c r="L3" s="3" t="s">
        <v>26</v>
      </c>
      <c r="M3" s="3" t="s">
        <v>27</v>
      </c>
      <c r="N3" s="3" t="s">
        <v>28</v>
      </c>
      <c r="O3" s="5" t="str">
        <f t="shared" si="0"/>
        <v>Outstanding</v>
      </c>
      <c r="P3" s="13" t="s">
        <v>23</v>
      </c>
    </row>
    <row r="4" spans="1:16" ht="60" customHeight="1" x14ac:dyDescent="0.35">
      <c r="A4" s="11" t="s">
        <v>33</v>
      </c>
      <c r="B4" s="2" t="s">
        <v>34</v>
      </c>
      <c r="C4" s="3" t="s">
        <v>35</v>
      </c>
      <c r="D4" s="4" t="s">
        <v>19</v>
      </c>
      <c r="E4" s="4" t="s">
        <v>20</v>
      </c>
      <c r="F4" s="4" t="s">
        <v>21</v>
      </c>
      <c r="G4" s="4" t="s">
        <v>22</v>
      </c>
      <c r="H4" s="4" t="s">
        <v>23</v>
      </c>
      <c r="I4" s="1" t="s">
        <v>23</v>
      </c>
      <c r="J4" s="3" t="s">
        <v>36</v>
      </c>
      <c r="K4" s="3" t="s">
        <v>37</v>
      </c>
      <c r="L4" s="3" t="s">
        <v>38</v>
      </c>
      <c r="M4" s="3" t="s">
        <v>27</v>
      </c>
      <c r="N4" s="3" t="s">
        <v>39</v>
      </c>
      <c r="O4" s="5" t="str">
        <f t="shared" si="0"/>
        <v>Outstanding</v>
      </c>
      <c r="P4" s="13" t="s">
        <v>23</v>
      </c>
    </row>
    <row r="5" spans="1:16" ht="60" customHeight="1" x14ac:dyDescent="0.35">
      <c r="A5" s="11" t="s">
        <v>33</v>
      </c>
      <c r="B5" s="2" t="s">
        <v>40</v>
      </c>
      <c r="C5" s="3" t="s">
        <v>41</v>
      </c>
      <c r="D5" s="4" t="s">
        <v>42</v>
      </c>
      <c r="E5" s="4" t="s">
        <v>20</v>
      </c>
      <c r="F5" s="4" t="s">
        <v>21</v>
      </c>
      <c r="G5" s="4" t="s">
        <v>22</v>
      </c>
      <c r="H5" s="4" t="s">
        <v>23</v>
      </c>
      <c r="I5" s="1" t="s">
        <v>23</v>
      </c>
      <c r="J5" s="3" t="s">
        <v>43</v>
      </c>
      <c r="K5" s="3" t="s">
        <v>44</v>
      </c>
      <c r="L5" s="3" t="s">
        <v>38</v>
      </c>
      <c r="M5" s="3" t="s">
        <v>27</v>
      </c>
      <c r="N5" s="3" t="s">
        <v>39</v>
      </c>
      <c r="O5" s="5" t="str">
        <f t="shared" si="0"/>
        <v>Outstanding</v>
      </c>
      <c r="P5" s="13" t="s">
        <v>23</v>
      </c>
    </row>
    <row r="6" spans="1:16" ht="60" customHeight="1" x14ac:dyDescent="0.35">
      <c r="A6" s="11" t="s">
        <v>45</v>
      </c>
      <c r="B6" s="2" t="s">
        <v>46</v>
      </c>
      <c r="C6" s="3" t="s">
        <v>47</v>
      </c>
      <c r="D6" s="4" t="s">
        <v>19</v>
      </c>
      <c r="E6" s="4" t="s">
        <v>20</v>
      </c>
      <c r="F6" s="4" t="s">
        <v>21</v>
      </c>
      <c r="G6" s="4" t="s">
        <v>22</v>
      </c>
      <c r="H6" s="4" t="s">
        <v>23</v>
      </c>
      <c r="I6" s="1" t="s">
        <v>23</v>
      </c>
      <c r="J6" s="3" t="s">
        <v>48</v>
      </c>
      <c r="K6" s="3" t="s">
        <v>49</v>
      </c>
      <c r="L6" s="3" t="s">
        <v>50</v>
      </c>
      <c r="M6" s="3" t="s">
        <v>27</v>
      </c>
      <c r="N6" s="3" t="s">
        <v>51</v>
      </c>
      <c r="O6" s="5" t="str">
        <f t="shared" si="0"/>
        <v>Outstanding</v>
      </c>
      <c r="P6" s="13" t="s">
        <v>23</v>
      </c>
    </row>
    <row r="7" spans="1:16" ht="60" customHeight="1" x14ac:dyDescent="0.35">
      <c r="A7" s="11" t="s">
        <v>45</v>
      </c>
      <c r="B7" s="2" t="s">
        <v>52</v>
      </c>
      <c r="C7" s="3" t="s">
        <v>53</v>
      </c>
      <c r="D7" s="4" t="s">
        <v>42</v>
      </c>
      <c r="E7" s="4" t="s">
        <v>20</v>
      </c>
      <c r="F7" s="4" t="s">
        <v>21</v>
      </c>
      <c r="G7" s="4" t="s">
        <v>22</v>
      </c>
      <c r="H7" s="4" t="s">
        <v>23</v>
      </c>
      <c r="I7" s="1" t="s">
        <v>23</v>
      </c>
      <c r="J7" s="3" t="s">
        <v>54</v>
      </c>
      <c r="K7" s="3" t="s">
        <v>55</v>
      </c>
      <c r="L7" s="3" t="s">
        <v>50</v>
      </c>
      <c r="M7" s="3" t="s">
        <v>27</v>
      </c>
      <c r="N7" s="3" t="s">
        <v>51</v>
      </c>
      <c r="O7" s="5" t="str">
        <f t="shared" si="0"/>
        <v>Outstanding</v>
      </c>
      <c r="P7" s="13" t="s">
        <v>23</v>
      </c>
    </row>
    <row r="8" spans="1:16" ht="60" customHeight="1" x14ac:dyDescent="0.35">
      <c r="A8" s="11" t="s">
        <v>56</v>
      </c>
      <c r="B8" s="2" t="s">
        <v>57</v>
      </c>
      <c r="C8" s="3" t="s">
        <v>58</v>
      </c>
      <c r="D8" s="4" t="s">
        <v>19</v>
      </c>
      <c r="E8" s="4" t="s">
        <v>20</v>
      </c>
      <c r="F8" s="4" t="s">
        <v>21</v>
      </c>
      <c r="G8" s="4" t="s">
        <v>22</v>
      </c>
      <c r="H8" s="4" t="s">
        <v>23</v>
      </c>
      <c r="I8" s="1" t="s">
        <v>23</v>
      </c>
      <c r="J8" s="3" t="s">
        <v>59</v>
      </c>
      <c r="K8" s="3" t="s">
        <v>60</v>
      </c>
      <c r="L8" s="3" t="s">
        <v>61</v>
      </c>
      <c r="M8" s="3" t="s">
        <v>27</v>
      </c>
      <c r="N8" s="3" t="s">
        <v>62</v>
      </c>
      <c r="O8" s="5" t="str">
        <f t="shared" si="0"/>
        <v>Outstanding</v>
      </c>
      <c r="P8" s="13" t="s">
        <v>23</v>
      </c>
    </row>
    <row r="9" spans="1:16" ht="60" customHeight="1" x14ac:dyDescent="0.35">
      <c r="A9" s="11" t="s">
        <v>63</v>
      </c>
      <c r="B9" s="2" t="s">
        <v>64</v>
      </c>
      <c r="C9" s="3" t="s">
        <v>65</v>
      </c>
      <c r="D9" s="4" t="s">
        <v>42</v>
      </c>
      <c r="E9" s="4" t="s">
        <v>20</v>
      </c>
      <c r="F9" s="4" t="s">
        <v>21</v>
      </c>
      <c r="G9" s="4" t="s">
        <v>22</v>
      </c>
      <c r="H9" s="4" t="s">
        <v>23</v>
      </c>
      <c r="I9" s="1" t="s">
        <v>23</v>
      </c>
      <c r="J9" s="3" t="s">
        <v>66</v>
      </c>
      <c r="K9" s="3" t="s">
        <v>67</v>
      </c>
      <c r="L9" s="3" t="s">
        <v>68</v>
      </c>
      <c r="M9" s="3" t="s">
        <v>27</v>
      </c>
      <c r="N9" s="3" t="s">
        <v>69</v>
      </c>
      <c r="O9" s="5" t="str">
        <f t="shared" si="0"/>
        <v>Outstanding</v>
      </c>
      <c r="P9" s="13" t="s">
        <v>23</v>
      </c>
    </row>
    <row r="10" spans="1:16" ht="60" customHeight="1" x14ac:dyDescent="0.35">
      <c r="A10" s="12" t="s">
        <v>70</v>
      </c>
      <c r="B10" s="6" t="s">
        <v>71</v>
      </c>
      <c r="C10" s="7" t="s">
        <v>72</v>
      </c>
      <c r="D10" s="8" t="s">
        <v>42</v>
      </c>
      <c r="E10" s="8" t="s">
        <v>20</v>
      </c>
      <c r="F10" s="8" t="s">
        <v>21</v>
      </c>
      <c r="G10" s="8" t="s">
        <v>22</v>
      </c>
      <c r="H10" s="8" t="s">
        <v>23</v>
      </c>
      <c r="I10" s="9" t="s">
        <v>23</v>
      </c>
      <c r="J10" s="7" t="s">
        <v>73</v>
      </c>
      <c r="K10" s="7" t="s">
        <v>74</v>
      </c>
      <c r="L10" s="7" t="s">
        <v>75</v>
      </c>
      <c r="M10" s="7" t="s">
        <v>27</v>
      </c>
      <c r="N10" s="7" t="s">
        <v>76</v>
      </c>
      <c r="O10" s="10" t="str">
        <f t="shared" si="0"/>
        <v>Outstanding</v>
      </c>
      <c r="P10" s="14" t="s">
        <v>23</v>
      </c>
    </row>
    <row r="14" spans="1:16" ht="32" customHeight="1" x14ac:dyDescent="0.35">
      <c r="A14" s="78" t="s">
        <v>77</v>
      </c>
      <c r="B14" s="78"/>
      <c r="C14" s="78"/>
      <c r="D14" s="78"/>
    </row>
  </sheetData>
  <mergeCells count="1">
    <mergeCell ref="A14:D14"/>
  </mergeCells>
  <conditionalFormatting sqref="E2:E1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0" xr:uid="{00000000-0002-0000-0200-000000000000}">
      <formula1>"Must,Should,Could,Won't,Unassigned"</formula1>
    </dataValidation>
    <dataValidation type="list" showErrorMessage="1" errorTitle="Invalid Value" error="Please select a value from the list: Low, Medium, High, Unassessed." sqref="F2:F10" xr:uid="{00000000-0002-0000-0200-000001000000}">
      <formula1>"Low,Medium,High,Unassessed"</formula1>
    </dataValidation>
    <dataValidation type="list" showErrorMessage="1" errorTitle="Invalid Value" error="Please select a value from the list: Phase1, Phase2, Phase3, Phase4, Phase5, Pending." sqref="G2:G1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0" xr:uid="{00000000-0002-0000-0200-000003000000}">
      <formula1>"Implemented,Testing,Failed,Compensated,Risk Accepted,N/A"</formula1>
    </dataValidation>
  </dataValidations>
  <hyperlinks>
    <hyperlink ref="A1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202</v>
      </c>
      <c r="C2" s="95" t="s">
        <v>202</v>
      </c>
      <c r="D2" s="95" t="s">
        <v>202</v>
      </c>
      <c r="E2" s="95" t="s">
        <v>202</v>
      </c>
      <c r="F2" s="95" t="s">
        <v>202</v>
      </c>
      <c r="G2" s="95" t="s">
        <v>202</v>
      </c>
      <c r="H2" s="99" t="s">
        <v>203</v>
      </c>
      <c r="I2" s="99" t="s">
        <v>203</v>
      </c>
      <c r="J2" s="99" t="s">
        <v>203</v>
      </c>
      <c r="K2" s="99" t="s">
        <v>203</v>
      </c>
      <c r="L2" s="99" t="s">
        <v>203</v>
      </c>
      <c r="M2" s="98" t="s">
        <v>204</v>
      </c>
      <c r="N2" s="98" t="s">
        <v>204</v>
      </c>
      <c r="O2" s="100" t="s">
        <v>205</v>
      </c>
      <c r="P2" s="100" t="s">
        <v>205</v>
      </c>
      <c r="Q2" s="96" t="s">
        <v>14</v>
      </c>
      <c r="R2" s="96" t="s">
        <v>14</v>
      </c>
      <c r="S2" s="96" t="s">
        <v>14</v>
      </c>
      <c r="T2" s="97" t="s">
        <v>206</v>
      </c>
    </row>
    <row r="3" spans="2:20" ht="35" customHeight="1" x14ac:dyDescent="0.35">
      <c r="B3" s="68" t="s">
        <v>207</v>
      </c>
      <c r="C3" s="68" t="s">
        <v>208</v>
      </c>
      <c r="D3" s="68" t="s">
        <v>209</v>
      </c>
      <c r="E3" s="68" t="s">
        <v>210</v>
      </c>
      <c r="F3" s="68" t="s">
        <v>211</v>
      </c>
      <c r="G3" s="68" t="s">
        <v>11</v>
      </c>
      <c r="H3" s="69" t="s">
        <v>212</v>
      </c>
      <c r="I3" s="69" t="s">
        <v>213</v>
      </c>
      <c r="J3" s="69" t="s">
        <v>214</v>
      </c>
      <c r="K3" s="69" t="s">
        <v>215</v>
      </c>
      <c r="L3" s="69" t="s">
        <v>147</v>
      </c>
      <c r="M3" s="70" t="s">
        <v>216</v>
      </c>
      <c r="N3" s="70" t="s">
        <v>217</v>
      </c>
      <c r="O3" s="71" t="s">
        <v>218</v>
      </c>
      <c r="P3" s="71" t="s">
        <v>219</v>
      </c>
      <c r="Q3" s="72" t="s">
        <v>14</v>
      </c>
      <c r="R3" s="72" t="s">
        <v>220</v>
      </c>
      <c r="S3" s="72" t="s">
        <v>221</v>
      </c>
      <c r="T3" s="73" t="s">
        <v>222</v>
      </c>
    </row>
    <row r="4" spans="2:20" ht="60" customHeight="1" x14ac:dyDescent="0.35">
      <c r="B4" s="74" t="s">
        <v>223</v>
      </c>
      <c r="C4" s="74" t="s">
        <v>224</v>
      </c>
      <c r="D4" s="74" t="s">
        <v>225</v>
      </c>
      <c r="E4" s="74" t="s">
        <v>226</v>
      </c>
      <c r="F4" s="74" t="s">
        <v>227</v>
      </c>
      <c r="G4" s="74" t="s">
        <v>228</v>
      </c>
      <c r="H4" s="74" t="s">
        <v>229</v>
      </c>
      <c r="I4" s="74" t="s">
        <v>230</v>
      </c>
      <c r="J4" s="74" t="s">
        <v>231</v>
      </c>
      <c r="K4" s="74" t="s">
        <v>232</v>
      </c>
      <c r="L4" s="74" t="s">
        <v>233</v>
      </c>
      <c r="M4" s="74" t="s">
        <v>234</v>
      </c>
      <c r="N4" s="74" t="s">
        <v>235</v>
      </c>
      <c r="O4" s="74" t="s">
        <v>236</v>
      </c>
      <c r="P4" s="74" t="s">
        <v>237</v>
      </c>
      <c r="Q4" s="74" t="s">
        <v>238</v>
      </c>
      <c r="R4" s="74" t="s">
        <v>239</v>
      </c>
      <c r="S4" s="74" t="s">
        <v>240</v>
      </c>
      <c r="T4" s="74" t="s">
        <v>241</v>
      </c>
    </row>
    <row r="5" spans="2:20" ht="60" customHeight="1" x14ac:dyDescent="0.35">
      <c r="B5" s="36" t="s">
        <v>242</v>
      </c>
      <c r="C5" s="75"/>
      <c r="D5" s="76"/>
      <c r="E5" s="76" t="s">
        <v>23</v>
      </c>
      <c r="F5" s="76" t="str">
        <f>IF(E5&lt;&gt;"", IFERROR(VLOOKUP(E5, Dashboard!$B44:$F49, 5, FALSE), ""), "")</f>
        <v/>
      </c>
      <c r="G5" s="77"/>
      <c r="H5" s="64"/>
      <c r="I5" s="64"/>
      <c r="J5" s="77"/>
      <c r="K5" s="77"/>
      <c r="L5" s="38"/>
      <c r="M5" s="38"/>
      <c r="N5" s="77"/>
      <c r="O5" s="77"/>
      <c r="P5" s="38"/>
      <c r="Q5" s="38" t="s">
        <v>23</v>
      </c>
      <c r="R5" s="77"/>
      <c r="S5" s="64"/>
      <c r="T5" s="77"/>
    </row>
    <row r="6" spans="2:20" ht="60" customHeight="1" x14ac:dyDescent="0.35">
      <c r="B6" s="36" t="s">
        <v>243</v>
      </c>
      <c r="C6" s="75"/>
      <c r="D6" s="76"/>
      <c r="E6" s="76" t="s">
        <v>23</v>
      </c>
      <c r="F6" s="76" t="str">
        <f>IF(E6&lt;&gt;"", IFERROR(VLOOKUP(E6, Dashboard!$B44:$F49, 5, FALSE), ""), "")</f>
        <v/>
      </c>
      <c r="G6" s="77"/>
      <c r="H6" s="64"/>
      <c r="I6" s="64"/>
      <c r="J6" s="77"/>
      <c r="K6" s="77"/>
      <c r="L6" s="38"/>
      <c r="M6" s="38"/>
      <c r="N6" s="77"/>
      <c r="O6" s="77"/>
      <c r="P6" s="38"/>
      <c r="Q6" s="38" t="s">
        <v>23</v>
      </c>
      <c r="R6" s="77"/>
      <c r="S6" s="64"/>
      <c r="T6" s="77"/>
    </row>
    <row r="7" spans="2:20" ht="60" customHeight="1" x14ac:dyDescent="0.35">
      <c r="B7" s="36" t="s">
        <v>244</v>
      </c>
      <c r="C7" s="75"/>
      <c r="D7" s="76"/>
      <c r="E7" s="76" t="s">
        <v>23</v>
      </c>
      <c r="F7" s="76" t="str">
        <f>IF(E7&lt;&gt;"", IFERROR(VLOOKUP(E7, Dashboard!$B44:$F49, 5, FALSE), ""), "")</f>
        <v/>
      </c>
      <c r="G7" s="77"/>
      <c r="H7" s="64"/>
      <c r="I7" s="64"/>
      <c r="J7" s="77"/>
      <c r="K7" s="77"/>
      <c r="L7" s="38"/>
      <c r="M7" s="38"/>
      <c r="N7" s="77"/>
      <c r="O7" s="77"/>
      <c r="P7" s="38"/>
      <c r="Q7" s="38" t="s">
        <v>23</v>
      </c>
      <c r="R7" s="77"/>
      <c r="S7" s="64"/>
      <c r="T7" s="77"/>
    </row>
    <row r="8" spans="2:20" ht="60" customHeight="1" x14ac:dyDescent="0.35">
      <c r="B8" s="36" t="s">
        <v>245</v>
      </c>
      <c r="C8" s="75"/>
      <c r="D8" s="76"/>
      <c r="E8" s="76" t="s">
        <v>23</v>
      </c>
      <c r="F8" s="76" t="str">
        <f>IF(E8&lt;&gt;"", IFERROR(VLOOKUP(E8, Dashboard!$B44:$F49, 5, FALSE), ""), "")</f>
        <v/>
      </c>
      <c r="G8" s="77"/>
      <c r="H8" s="64"/>
      <c r="I8" s="64"/>
      <c r="J8" s="77"/>
      <c r="K8" s="77"/>
      <c r="L8" s="38"/>
      <c r="M8" s="38"/>
      <c r="N8" s="77"/>
      <c r="O8" s="77"/>
      <c r="P8" s="38"/>
      <c r="Q8" s="38" t="s">
        <v>23</v>
      </c>
      <c r="R8" s="77"/>
      <c r="S8" s="64"/>
      <c r="T8" s="77"/>
    </row>
    <row r="9" spans="2:20" ht="60" customHeight="1" x14ac:dyDescent="0.35">
      <c r="B9" s="36" t="s">
        <v>246</v>
      </c>
      <c r="C9" s="75"/>
      <c r="D9" s="76"/>
      <c r="E9" s="76" t="s">
        <v>23</v>
      </c>
      <c r="F9" s="76" t="str">
        <f>IF(E9&lt;&gt;"", IFERROR(VLOOKUP(E9, Dashboard!$B44:$F49, 5, FALSE), ""), "")</f>
        <v/>
      </c>
      <c r="G9" s="77"/>
      <c r="H9" s="64"/>
      <c r="I9" s="64"/>
      <c r="J9" s="77"/>
      <c r="K9" s="77"/>
      <c r="L9" s="38"/>
      <c r="M9" s="38"/>
      <c r="N9" s="77"/>
      <c r="O9" s="77"/>
      <c r="P9" s="38"/>
      <c r="Q9" s="38" t="s">
        <v>23</v>
      </c>
      <c r="R9" s="77"/>
      <c r="S9" s="64"/>
      <c r="T9" s="77"/>
    </row>
    <row r="10" spans="2:20" ht="60" customHeight="1" x14ac:dyDescent="0.35">
      <c r="B10" s="36" t="s">
        <v>247</v>
      </c>
      <c r="C10" s="75"/>
      <c r="D10" s="76"/>
      <c r="E10" s="76" t="s">
        <v>23</v>
      </c>
      <c r="F10" s="76" t="str">
        <f>IF(E10&lt;&gt;"", IFERROR(VLOOKUP(E10, Dashboard!$B44:$F49, 5, FALSE), ""), "")</f>
        <v/>
      </c>
      <c r="G10" s="77"/>
      <c r="H10" s="64"/>
      <c r="I10" s="64"/>
      <c r="J10" s="77"/>
      <c r="K10" s="77"/>
      <c r="L10" s="38"/>
      <c r="M10" s="38"/>
      <c r="N10" s="77"/>
      <c r="O10" s="77"/>
      <c r="P10" s="38"/>
      <c r="Q10" s="38" t="s">
        <v>23</v>
      </c>
      <c r="R10" s="77"/>
      <c r="S10" s="64"/>
      <c r="T10" s="77"/>
    </row>
    <row r="11" spans="2:20" ht="60" customHeight="1" x14ac:dyDescent="0.35">
      <c r="B11" s="36" t="s">
        <v>248</v>
      </c>
      <c r="C11" s="75"/>
      <c r="D11" s="76"/>
      <c r="E11" s="76" t="s">
        <v>23</v>
      </c>
      <c r="F11" s="76" t="str">
        <f>IF(E11&lt;&gt;"", IFERROR(VLOOKUP(E11, Dashboard!$B44:$F49, 5, FALSE), ""), "")</f>
        <v/>
      </c>
      <c r="G11" s="77"/>
      <c r="H11" s="64"/>
      <c r="I11" s="64"/>
      <c r="J11" s="77"/>
      <c r="K11" s="77"/>
      <c r="L11" s="38"/>
      <c r="M11" s="38"/>
      <c r="N11" s="77"/>
      <c r="O11" s="77"/>
      <c r="P11" s="38"/>
      <c r="Q11" s="38" t="s">
        <v>23</v>
      </c>
      <c r="R11" s="77"/>
      <c r="S11" s="64"/>
      <c r="T11" s="77"/>
    </row>
    <row r="12" spans="2:20" ht="60" customHeight="1" x14ac:dyDescent="0.35">
      <c r="B12" s="36" t="s">
        <v>249</v>
      </c>
      <c r="C12" s="75"/>
      <c r="D12" s="76"/>
      <c r="E12" s="76" t="s">
        <v>23</v>
      </c>
      <c r="F12" s="76" t="str">
        <f>IF(E12&lt;&gt;"", IFERROR(VLOOKUP(E12, Dashboard!$B44:$F49, 5, FALSE), ""), "")</f>
        <v/>
      </c>
      <c r="G12" s="77"/>
      <c r="H12" s="64"/>
      <c r="I12" s="64"/>
      <c r="J12" s="77"/>
      <c r="K12" s="77"/>
      <c r="L12" s="38"/>
      <c r="M12" s="38"/>
      <c r="N12" s="77"/>
      <c r="O12" s="77"/>
      <c r="P12" s="38"/>
      <c r="Q12" s="38" t="s">
        <v>23</v>
      </c>
      <c r="R12" s="77"/>
      <c r="S12" s="64"/>
      <c r="T12" s="77"/>
    </row>
    <row r="13" spans="2:20" ht="60" customHeight="1" x14ac:dyDescent="0.35">
      <c r="B13" s="36" t="s">
        <v>250</v>
      </c>
      <c r="C13" s="75"/>
      <c r="D13" s="76"/>
      <c r="E13" s="76" t="s">
        <v>23</v>
      </c>
      <c r="F13" s="76" t="str">
        <f>IF(E13&lt;&gt;"", IFERROR(VLOOKUP(E13, Dashboard!$B44:$F49, 5, FALSE), ""), "")</f>
        <v/>
      </c>
      <c r="G13" s="77"/>
      <c r="H13" s="64"/>
      <c r="I13" s="64"/>
      <c r="J13" s="77"/>
      <c r="K13" s="77"/>
      <c r="L13" s="38"/>
      <c r="M13" s="38"/>
      <c r="N13" s="77"/>
      <c r="O13" s="77"/>
      <c r="P13" s="38"/>
      <c r="Q13" s="38" t="s">
        <v>23</v>
      </c>
      <c r="R13" s="77"/>
      <c r="S13" s="64"/>
      <c r="T13" s="77"/>
    </row>
    <row r="14" spans="2:20" ht="60" customHeight="1" x14ac:dyDescent="0.35">
      <c r="B14" s="36" t="s">
        <v>251</v>
      </c>
      <c r="C14" s="75"/>
      <c r="D14" s="76"/>
      <c r="E14" s="76" t="s">
        <v>23</v>
      </c>
      <c r="F14" s="76" t="str">
        <f>IF(E14&lt;&gt;"", IFERROR(VLOOKUP(E14, Dashboard!$B44:$F49, 5, FALSE), ""), "")</f>
        <v/>
      </c>
      <c r="G14" s="77"/>
      <c r="H14" s="64"/>
      <c r="I14" s="64"/>
      <c r="J14" s="77"/>
      <c r="K14" s="77"/>
      <c r="L14" s="38"/>
      <c r="M14" s="38"/>
      <c r="N14" s="77"/>
      <c r="O14" s="77"/>
      <c r="P14" s="38"/>
      <c r="Q14" s="38" t="s">
        <v>23</v>
      </c>
      <c r="R14" s="77"/>
      <c r="S14" s="64"/>
      <c r="T14" s="77"/>
    </row>
    <row r="15" spans="2:20" ht="60" customHeight="1" x14ac:dyDescent="0.35">
      <c r="B15" s="36" t="s">
        <v>252</v>
      </c>
      <c r="C15" s="75"/>
      <c r="D15" s="76"/>
      <c r="E15" s="76" t="s">
        <v>23</v>
      </c>
      <c r="F15" s="76" t="str">
        <f>IF(E15&lt;&gt;"", IFERROR(VLOOKUP(E15, Dashboard!$B44:$F49, 5, FALSE), ""), "")</f>
        <v/>
      </c>
      <c r="G15" s="77"/>
      <c r="H15" s="64"/>
      <c r="I15" s="64"/>
      <c r="J15" s="77"/>
      <c r="K15" s="77"/>
      <c r="L15" s="38"/>
      <c r="M15" s="38"/>
      <c r="N15" s="77"/>
      <c r="O15" s="77"/>
      <c r="P15" s="38"/>
      <c r="Q15" s="38" t="s">
        <v>23</v>
      </c>
      <c r="R15" s="77"/>
      <c r="S15" s="64"/>
      <c r="T15" s="77"/>
    </row>
    <row r="16" spans="2:20" ht="60" customHeight="1" x14ac:dyDescent="0.35">
      <c r="B16" s="36" t="s">
        <v>253</v>
      </c>
      <c r="C16" s="75"/>
      <c r="D16" s="76"/>
      <c r="E16" s="76" t="s">
        <v>23</v>
      </c>
      <c r="F16" s="76" t="str">
        <f>IF(E16&lt;&gt;"", IFERROR(VLOOKUP(E16, Dashboard!$B44:$F49, 5, FALSE), ""), "")</f>
        <v/>
      </c>
      <c r="G16" s="77"/>
      <c r="H16" s="64"/>
      <c r="I16" s="64"/>
      <c r="J16" s="77"/>
      <c r="K16" s="77"/>
      <c r="L16" s="38"/>
      <c r="M16" s="38"/>
      <c r="N16" s="77"/>
      <c r="O16" s="77"/>
      <c r="P16" s="38"/>
      <c r="Q16" s="38" t="s">
        <v>23</v>
      </c>
      <c r="R16" s="77"/>
      <c r="S16" s="64"/>
      <c r="T16" s="77"/>
    </row>
    <row r="17" spans="2:20" ht="60" customHeight="1" x14ac:dyDescent="0.35">
      <c r="B17" s="36" t="s">
        <v>254</v>
      </c>
      <c r="C17" s="75"/>
      <c r="D17" s="76"/>
      <c r="E17" s="76" t="s">
        <v>23</v>
      </c>
      <c r="F17" s="76" t="str">
        <f>IF(E17&lt;&gt;"", IFERROR(VLOOKUP(E17, Dashboard!$B44:$F49, 5, FALSE), ""), "")</f>
        <v/>
      </c>
      <c r="G17" s="77"/>
      <c r="H17" s="64"/>
      <c r="I17" s="64"/>
      <c r="J17" s="77"/>
      <c r="K17" s="77"/>
      <c r="L17" s="38"/>
      <c r="M17" s="38"/>
      <c r="N17" s="77"/>
      <c r="O17" s="77"/>
      <c r="P17" s="38"/>
      <c r="Q17" s="38" t="s">
        <v>23</v>
      </c>
      <c r="R17" s="77"/>
      <c r="S17" s="64"/>
      <c r="T17" s="77"/>
    </row>
    <row r="18" spans="2:20" ht="60" customHeight="1" x14ac:dyDescent="0.35">
      <c r="B18" s="36" t="s">
        <v>255</v>
      </c>
      <c r="C18" s="75"/>
      <c r="D18" s="76"/>
      <c r="E18" s="76" t="s">
        <v>23</v>
      </c>
      <c r="F18" s="76" t="str">
        <f>IF(E18&lt;&gt;"", IFERROR(VLOOKUP(E18, Dashboard!$B44:$F49, 5, FALSE), ""), "")</f>
        <v/>
      </c>
      <c r="G18" s="77"/>
      <c r="H18" s="64"/>
      <c r="I18" s="64"/>
      <c r="J18" s="77"/>
      <c r="K18" s="77"/>
      <c r="L18" s="38"/>
      <c r="M18" s="38"/>
      <c r="N18" s="77"/>
      <c r="O18" s="77"/>
      <c r="P18" s="38"/>
      <c r="Q18" s="38" t="s">
        <v>23</v>
      </c>
      <c r="R18" s="77"/>
      <c r="S18" s="64"/>
      <c r="T18" s="77"/>
    </row>
    <row r="19" spans="2:20" ht="60" customHeight="1" x14ac:dyDescent="0.35">
      <c r="B19" s="36" t="s">
        <v>256</v>
      </c>
      <c r="C19" s="75"/>
      <c r="D19" s="76"/>
      <c r="E19" s="76" t="s">
        <v>23</v>
      </c>
      <c r="F19" s="76" t="str">
        <f>IF(E19&lt;&gt;"", IFERROR(VLOOKUP(E19, Dashboard!$B44:$F49, 5, FALSE), ""), "")</f>
        <v/>
      </c>
      <c r="G19" s="77"/>
      <c r="H19" s="64"/>
      <c r="I19" s="64"/>
      <c r="J19" s="77"/>
      <c r="K19" s="77"/>
      <c r="L19" s="38"/>
      <c r="M19" s="38"/>
      <c r="N19" s="77"/>
      <c r="O19" s="77"/>
      <c r="P19" s="38"/>
      <c r="Q19" s="38" t="s">
        <v>23</v>
      </c>
      <c r="R19" s="77"/>
      <c r="S19" s="64"/>
      <c r="T19" s="77"/>
    </row>
    <row r="20" spans="2:20" ht="60" customHeight="1" x14ac:dyDescent="0.35">
      <c r="B20" s="36" t="s">
        <v>257</v>
      </c>
      <c r="C20" s="75"/>
      <c r="D20" s="76"/>
      <c r="E20" s="76" t="s">
        <v>23</v>
      </c>
      <c r="F20" s="76" t="str">
        <f>IF(E20&lt;&gt;"", IFERROR(VLOOKUP(E20, Dashboard!$B44:$F49, 5, FALSE), ""), "")</f>
        <v/>
      </c>
      <c r="G20" s="77"/>
      <c r="H20" s="64"/>
      <c r="I20" s="64"/>
      <c r="J20" s="77"/>
      <c r="K20" s="77"/>
      <c r="L20" s="38"/>
      <c r="M20" s="38"/>
      <c r="N20" s="77"/>
      <c r="O20" s="77"/>
      <c r="P20" s="38"/>
      <c r="Q20" s="38" t="s">
        <v>23</v>
      </c>
      <c r="R20" s="77"/>
      <c r="S20" s="64"/>
      <c r="T20" s="77"/>
    </row>
    <row r="21" spans="2:20" ht="60" customHeight="1" x14ac:dyDescent="0.35">
      <c r="B21" s="36" t="s">
        <v>258</v>
      </c>
      <c r="C21" s="75"/>
      <c r="D21" s="76"/>
      <c r="E21" s="76" t="s">
        <v>23</v>
      </c>
      <c r="F21" s="76" t="str">
        <f>IF(E21&lt;&gt;"", IFERROR(VLOOKUP(E21, Dashboard!$B44:$F49, 5, FALSE), ""), "")</f>
        <v/>
      </c>
      <c r="G21" s="77"/>
      <c r="H21" s="64"/>
      <c r="I21" s="64"/>
      <c r="J21" s="77"/>
      <c r="K21" s="77"/>
      <c r="L21" s="38"/>
      <c r="M21" s="38"/>
      <c r="N21" s="77"/>
      <c r="O21" s="77"/>
      <c r="P21" s="38"/>
      <c r="Q21" s="38" t="s">
        <v>23</v>
      </c>
      <c r="R21" s="77"/>
      <c r="S21" s="64"/>
      <c r="T21" s="77"/>
    </row>
    <row r="22" spans="2:20" ht="60" customHeight="1" x14ac:dyDescent="0.35">
      <c r="B22" s="36" t="s">
        <v>259</v>
      </c>
      <c r="C22" s="75"/>
      <c r="D22" s="76"/>
      <c r="E22" s="76" t="s">
        <v>23</v>
      </c>
      <c r="F22" s="76" t="str">
        <f>IF(E22&lt;&gt;"", IFERROR(VLOOKUP(E22, Dashboard!$B44:$F49, 5, FALSE), ""), "")</f>
        <v/>
      </c>
      <c r="G22" s="77"/>
      <c r="H22" s="64"/>
      <c r="I22" s="64"/>
      <c r="J22" s="77"/>
      <c r="K22" s="77"/>
      <c r="L22" s="38"/>
      <c r="M22" s="38"/>
      <c r="N22" s="77"/>
      <c r="O22" s="77"/>
      <c r="P22" s="38"/>
      <c r="Q22" s="38" t="s">
        <v>23</v>
      </c>
      <c r="R22" s="77"/>
      <c r="S22" s="64"/>
      <c r="T22" s="77"/>
    </row>
    <row r="23" spans="2:20" ht="60" customHeight="1" x14ac:dyDescent="0.35">
      <c r="B23" s="36" t="s">
        <v>260</v>
      </c>
      <c r="C23" s="75"/>
      <c r="D23" s="76"/>
      <c r="E23" s="76" t="s">
        <v>23</v>
      </c>
      <c r="F23" s="76" t="str">
        <f>IF(E23&lt;&gt;"", IFERROR(VLOOKUP(E23, Dashboard!$B44:$F49, 5, FALSE), ""), "")</f>
        <v/>
      </c>
      <c r="G23" s="77"/>
      <c r="H23" s="64"/>
      <c r="I23" s="64"/>
      <c r="J23" s="77"/>
      <c r="K23" s="77"/>
      <c r="L23" s="38"/>
      <c r="M23" s="38"/>
      <c r="N23" s="77"/>
      <c r="O23" s="77"/>
      <c r="P23" s="38"/>
      <c r="Q23" s="38" t="s">
        <v>23</v>
      </c>
      <c r="R23" s="77"/>
      <c r="S23" s="64"/>
      <c r="T23" s="77"/>
    </row>
    <row r="24" spans="2:20" ht="60" customHeight="1" x14ac:dyDescent="0.35">
      <c r="B24" s="36" t="s">
        <v>261</v>
      </c>
      <c r="C24" s="75"/>
      <c r="D24" s="76"/>
      <c r="E24" s="76" t="s">
        <v>23</v>
      </c>
      <c r="F24" s="76" t="str">
        <f>IF(E24&lt;&gt;"", IFERROR(VLOOKUP(E24, Dashboard!$B44:$F49, 5, FALSE), ""), "")</f>
        <v/>
      </c>
      <c r="G24" s="77"/>
      <c r="H24" s="64"/>
      <c r="I24" s="64"/>
      <c r="J24" s="77"/>
      <c r="K24" s="77"/>
      <c r="L24" s="38"/>
      <c r="M24" s="38"/>
      <c r="N24" s="77"/>
      <c r="O24" s="77"/>
      <c r="P24" s="38"/>
      <c r="Q24" s="38" t="s">
        <v>23</v>
      </c>
      <c r="R24" s="77"/>
      <c r="S24" s="64"/>
      <c r="T24" s="77"/>
    </row>
    <row r="25" spans="2:20" ht="60" customHeight="1" x14ac:dyDescent="0.35">
      <c r="B25" s="36" t="s">
        <v>262</v>
      </c>
      <c r="C25" s="75"/>
      <c r="D25" s="76"/>
      <c r="E25" s="76" t="s">
        <v>23</v>
      </c>
      <c r="F25" s="76" t="str">
        <f>IF(E25&lt;&gt;"", IFERROR(VLOOKUP(E25, Dashboard!$B44:$F49, 5, FALSE), ""), "")</f>
        <v/>
      </c>
      <c r="G25" s="77"/>
      <c r="H25" s="64"/>
      <c r="I25" s="64"/>
      <c r="J25" s="77"/>
      <c r="K25" s="77"/>
      <c r="L25" s="38"/>
      <c r="M25" s="38"/>
      <c r="N25" s="77"/>
      <c r="O25" s="77"/>
      <c r="P25" s="38"/>
      <c r="Q25" s="38" t="s">
        <v>23</v>
      </c>
      <c r="R25" s="77"/>
      <c r="S25" s="64"/>
      <c r="T25" s="77"/>
    </row>
    <row r="26" spans="2:20" ht="60" customHeight="1" x14ac:dyDescent="0.35">
      <c r="B26" s="36" t="s">
        <v>263</v>
      </c>
      <c r="C26" s="75"/>
      <c r="D26" s="76"/>
      <c r="E26" s="76" t="s">
        <v>23</v>
      </c>
      <c r="F26" s="76" t="str">
        <f>IF(E26&lt;&gt;"", IFERROR(VLOOKUP(E26, Dashboard!$B44:$F49, 5, FALSE), ""), "")</f>
        <v/>
      </c>
      <c r="G26" s="77"/>
      <c r="H26" s="64"/>
      <c r="I26" s="64"/>
      <c r="J26" s="77"/>
      <c r="K26" s="77"/>
      <c r="L26" s="38"/>
      <c r="M26" s="38"/>
      <c r="N26" s="77"/>
      <c r="O26" s="77"/>
      <c r="P26" s="38"/>
      <c r="Q26" s="38" t="s">
        <v>23</v>
      </c>
      <c r="R26" s="77"/>
      <c r="S26" s="64"/>
      <c r="T26" s="77"/>
    </row>
    <row r="27" spans="2:20" ht="60" customHeight="1" x14ac:dyDescent="0.35">
      <c r="B27" s="36" t="s">
        <v>264</v>
      </c>
      <c r="C27" s="75"/>
      <c r="D27" s="76"/>
      <c r="E27" s="76" t="s">
        <v>23</v>
      </c>
      <c r="F27" s="76" t="str">
        <f>IF(E27&lt;&gt;"", IFERROR(VLOOKUP(E27, Dashboard!$B44:$F49, 5, FALSE), ""), "")</f>
        <v/>
      </c>
      <c r="G27" s="77"/>
      <c r="H27" s="64"/>
      <c r="I27" s="64"/>
      <c r="J27" s="77"/>
      <c r="K27" s="77"/>
      <c r="L27" s="38"/>
      <c r="M27" s="38"/>
      <c r="N27" s="77"/>
      <c r="O27" s="77"/>
      <c r="P27" s="38"/>
      <c r="Q27" s="38" t="s">
        <v>23</v>
      </c>
      <c r="R27" s="77"/>
      <c r="S27" s="64"/>
      <c r="T27" s="77"/>
    </row>
    <row r="28" spans="2:20" ht="60" customHeight="1" x14ac:dyDescent="0.35">
      <c r="B28" s="36" t="s">
        <v>265</v>
      </c>
      <c r="C28" s="75"/>
      <c r="D28" s="76"/>
      <c r="E28" s="76" t="s">
        <v>23</v>
      </c>
      <c r="F28" s="76" t="str">
        <f>IF(E28&lt;&gt;"", IFERROR(VLOOKUP(E28, Dashboard!$B44:$F49, 5, FALSE), ""), "")</f>
        <v/>
      </c>
      <c r="G28" s="77"/>
      <c r="H28" s="64"/>
      <c r="I28" s="64"/>
      <c r="J28" s="77"/>
      <c r="K28" s="77"/>
      <c r="L28" s="38"/>
      <c r="M28" s="38"/>
      <c r="N28" s="77"/>
      <c r="O28" s="77"/>
      <c r="P28" s="38"/>
      <c r="Q28" s="38" t="s">
        <v>23</v>
      </c>
      <c r="R28" s="77"/>
      <c r="S28" s="64"/>
      <c r="T28" s="77"/>
    </row>
    <row r="29" spans="2:20" ht="60" customHeight="1" x14ac:dyDescent="0.35">
      <c r="B29" s="36" t="s">
        <v>266</v>
      </c>
      <c r="C29" s="75"/>
      <c r="D29" s="76"/>
      <c r="E29" s="76" t="s">
        <v>23</v>
      </c>
      <c r="F29" s="76" t="str">
        <f>IF(E29&lt;&gt;"", IFERROR(VLOOKUP(E29, Dashboard!$B44:$F49, 5, FALSE), ""), "")</f>
        <v/>
      </c>
      <c r="G29" s="77"/>
      <c r="H29" s="64"/>
      <c r="I29" s="64"/>
      <c r="J29" s="77"/>
      <c r="K29" s="77"/>
      <c r="L29" s="38"/>
      <c r="M29" s="38"/>
      <c r="N29" s="77"/>
      <c r="O29" s="77"/>
      <c r="P29" s="38"/>
      <c r="Q29" s="38" t="s">
        <v>23</v>
      </c>
      <c r="R29" s="77"/>
      <c r="S29" s="64"/>
      <c r="T29" s="77"/>
    </row>
    <row r="30" spans="2:20" ht="60" customHeight="1" x14ac:dyDescent="0.35">
      <c r="B30" s="36" t="s">
        <v>267</v>
      </c>
      <c r="C30" s="75"/>
      <c r="D30" s="76"/>
      <c r="E30" s="76" t="s">
        <v>23</v>
      </c>
      <c r="F30" s="76" t="str">
        <f>IF(E30&lt;&gt;"", IFERROR(VLOOKUP(E30, Dashboard!$B44:$F49, 5, FALSE), ""), "")</f>
        <v/>
      </c>
      <c r="G30" s="77"/>
      <c r="H30" s="64"/>
      <c r="I30" s="64"/>
      <c r="J30" s="77"/>
      <c r="K30" s="77"/>
      <c r="L30" s="38"/>
      <c r="M30" s="38"/>
      <c r="N30" s="77"/>
      <c r="O30" s="77"/>
      <c r="P30" s="38"/>
      <c r="Q30" s="38" t="s">
        <v>23</v>
      </c>
      <c r="R30" s="77"/>
      <c r="S30" s="64"/>
      <c r="T30" s="77"/>
    </row>
    <row r="31" spans="2:20" ht="60" customHeight="1" x14ac:dyDescent="0.35">
      <c r="B31" s="36" t="s">
        <v>268</v>
      </c>
      <c r="C31" s="75"/>
      <c r="D31" s="76"/>
      <c r="E31" s="76" t="s">
        <v>23</v>
      </c>
      <c r="F31" s="76" t="str">
        <f>IF(E31&lt;&gt;"", IFERROR(VLOOKUP(E31, Dashboard!$B44:$F49, 5, FALSE), ""), "")</f>
        <v/>
      </c>
      <c r="G31" s="77"/>
      <c r="H31" s="64"/>
      <c r="I31" s="64"/>
      <c r="J31" s="77"/>
      <c r="K31" s="77"/>
      <c r="L31" s="38"/>
      <c r="M31" s="38"/>
      <c r="N31" s="77"/>
      <c r="O31" s="77"/>
      <c r="P31" s="38"/>
      <c r="Q31" s="38" t="s">
        <v>23</v>
      </c>
      <c r="R31" s="77"/>
      <c r="S31" s="64"/>
      <c r="T31" s="77"/>
    </row>
    <row r="32" spans="2:20" ht="60" customHeight="1" x14ac:dyDescent="0.35">
      <c r="B32" s="36" t="s">
        <v>269</v>
      </c>
      <c r="C32" s="75"/>
      <c r="D32" s="76"/>
      <c r="E32" s="76" t="s">
        <v>23</v>
      </c>
      <c r="F32" s="76" t="str">
        <f>IF(E32&lt;&gt;"", IFERROR(VLOOKUP(E32, Dashboard!$B44:$F49, 5, FALSE), ""), "")</f>
        <v/>
      </c>
      <c r="G32" s="77"/>
      <c r="H32" s="64"/>
      <c r="I32" s="64"/>
      <c r="J32" s="77"/>
      <c r="K32" s="77"/>
      <c r="L32" s="38"/>
      <c r="M32" s="38"/>
      <c r="N32" s="77"/>
      <c r="O32" s="77"/>
      <c r="P32" s="38"/>
      <c r="Q32" s="38" t="s">
        <v>23</v>
      </c>
      <c r="R32" s="77"/>
      <c r="S32" s="64"/>
      <c r="T32" s="77"/>
    </row>
    <row r="33" spans="2:20" ht="60" customHeight="1" x14ac:dyDescent="0.35">
      <c r="B33" s="36" t="s">
        <v>270</v>
      </c>
      <c r="C33" s="75"/>
      <c r="D33" s="76"/>
      <c r="E33" s="76" t="s">
        <v>23</v>
      </c>
      <c r="F33" s="76" t="str">
        <f>IF(E33&lt;&gt;"", IFERROR(VLOOKUP(E33, Dashboard!$B44:$F49, 5, FALSE), ""), "")</f>
        <v/>
      </c>
      <c r="G33" s="77"/>
      <c r="H33" s="64"/>
      <c r="I33" s="64"/>
      <c r="J33" s="77"/>
      <c r="K33" s="77"/>
      <c r="L33" s="38"/>
      <c r="M33" s="38"/>
      <c r="N33" s="77"/>
      <c r="O33" s="77"/>
      <c r="P33" s="38"/>
      <c r="Q33" s="38" t="s">
        <v>23</v>
      </c>
      <c r="R33" s="77"/>
      <c r="S33" s="64"/>
      <c r="T33" s="77"/>
    </row>
    <row r="34" spans="2:20" ht="60" customHeight="1" x14ac:dyDescent="0.35">
      <c r="B34" s="36" t="s">
        <v>271</v>
      </c>
      <c r="C34" s="75"/>
      <c r="D34" s="76"/>
      <c r="E34" s="76" t="s">
        <v>23</v>
      </c>
      <c r="F34" s="76" t="str">
        <f>IF(E34&lt;&gt;"", IFERROR(VLOOKUP(E34, Dashboard!$B44:$F49, 5, FALSE), ""), "")</f>
        <v/>
      </c>
      <c r="G34" s="77"/>
      <c r="H34" s="64"/>
      <c r="I34" s="64"/>
      <c r="J34" s="77"/>
      <c r="K34" s="77"/>
      <c r="L34" s="38"/>
      <c r="M34" s="38"/>
      <c r="N34" s="77"/>
      <c r="O34" s="77"/>
      <c r="P34" s="38"/>
      <c r="Q34" s="38" t="s">
        <v>23</v>
      </c>
      <c r="R34" s="77"/>
      <c r="S34" s="64"/>
      <c r="T34" s="77"/>
    </row>
    <row r="35" spans="2:20" ht="60" customHeight="1" x14ac:dyDescent="0.35">
      <c r="B35" s="36" t="s">
        <v>272</v>
      </c>
      <c r="C35" s="75"/>
      <c r="D35" s="76"/>
      <c r="E35" s="76" t="s">
        <v>23</v>
      </c>
      <c r="F35" s="76" t="str">
        <f>IF(E35&lt;&gt;"", IFERROR(VLOOKUP(E35, Dashboard!$B44:$F49, 5, FALSE), ""), "")</f>
        <v/>
      </c>
      <c r="G35" s="77"/>
      <c r="H35" s="64"/>
      <c r="I35" s="64"/>
      <c r="J35" s="77"/>
      <c r="K35" s="77"/>
      <c r="L35" s="38"/>
      <c r="M35" s="38"/>
      <c r="N35" s="77"/>
      <c r="O35" s="77"/>
      <c r="P35" s="38"/>
      <c r="Q35" s="38" t="s">
        <v>23</v>
      </c>
      <c r="R35" s="77"/>
      <c r="S35" s="64"/>
      <c r="T35" s="77"/>
    </row>
    <row r="36" spans="2:20" ht="60" customHeight="1" x14ac:dyDescent="0.35">
      <c r="B36" s="36" t="s">
        <v>273</v>
      </c>
      <c r="C36" s="75"/>
      <c r="D36" s="76"/>
      <c r="E36" s="76" t="s">
        <v>23</v>
      </c>
      <c r="F36" s="76" t="str">
        <f>IF(E36&lt;&gt;"", IFERROR(VLOOKUP(E36, Dashboard!$B44:$F49, 5, FALSE), ""), "")</f>
        <v/>
      </c>
      <c r="G36" s="77"/>
      <c r="H36" s="64"/>
      <c r="I36" s="64"/>
      <c r="J36" s="77"/>
      <c r="K36" s="77"/>
      <c r="L36" s="38"/>
      <c r="M36" s="38"/>
      <c r="N36" s="77"/>
      <c r="O36" s="77"/>
      <c r="P36" s="38"/>
      <c r="Q36" s="38" t="s">
        <v>23</v>
      </c>
      <c r="R36" s="77"/>
      <c r="S36" s="64"/>
      <c r="T36" s="77"/>
    </row>
    <row r="37" spans="2:20" ht="60" customHeight="1" x14ac:dyDescent="0.35">
      <c r="B37" s="36" t="s">
        <v>274</v>
      </c>
      <c r="C37" s="75"/>
      <c r="D37" s="76"/>
      <c r="E37" s="76" t="s">
        <v>23</v>
      </c>
      <c r="F37" s="76" t="str">
        <f>IF(E37&lt;&gt;"", IFERROR(VLOOKUP(E37, Dashboard!$B44:$F49, 5, FALSE), ""), "")</f>
        <v/>
      </c>
      <c r="G37" s="77"/>
      <c r="H37" s="64"/>
      <c r="I37" s="64"/>
      <c r="J37" s="77"/>
      <c r="K37" s="77"/>
      <c r="L37" s="38"/>
      <c r="M37" s="38"/>
      <c r="N37" s="77"/>
      <c r="O37" s="77"/>
      <c r="P37" s="38"/>
      <c r="Q37" s="38" t="s">
        <v>23</v>
      </c>
      <c r="R37" s="77"/>
      <c r="S37" s="64"/>
      <c r="T37" s="77"/>
    </row>
    <row r="38" spans="2:20" ht="60" customHeight="1" x14ac:dyDescent="0.35">
      <c r="B38" s="36" t="s">
        <v>275</v>
      </c>
      <c r="C38" s="75"/>
      <c r="D38" s="76"/>
      <c r="E38" s="76" t="s">
        <v>23</v>
      </c>
      <c r="F38" s="76" t="str">
        <f>IF(E38&lt;&gt;"", IFERROR(VLOOKUP(E38, Dashboard!$B44:$F49, 5, FALSE), ""), "")</f>
        <v/>
      </c>
      <c r="G38" s="77"/>
      <c r="H38" s="64"/>
      <c r="I38" s="64"/>
      <c r="J38" s="77"/>
      <c r="K38" s="77"/>
      <c r="L38" s="38"/>
      <c r="M38" s="38"/>
      <c r="N38" s="77"/>
      <c r="O38" s="77"/>
      <c r="P38" s="38"/>
      <c r="Q38" s="38" t="s">
        <v>23</v>
      </c>
      <c r="R38" s="77"/>
      <c r="S38" s="64"/>
      <c r="T38" s="77"/>
    </row>
    <row r="39" spans="2:20" ht="60" customHeight="1" x14ac:dyDescent="0.35">
      <c r="B39" s="36" t="s">
        <v>276</v>
      </c>
      <c r="C39" s="75"/>
      <c r="D39" s="76"/>
      <c r="E39" s="76" t="s">
        <v>23</v>
      </c>
      <c r="F39" s="76" t="str">
        <f>IF(E39&lt;&gt;"", IFERROR(VLOOKUP(E39, Dashboard!$B44:$F49, 5, FALSE), ""), "")</f>
        <v/>
      </c>
      <c r="G39" s="77"/>
      <c r="H39" s="64"/>
      <c r="I39" s="64"/>
      <c r="J39" s="77"/>
      <c r="K39" s="77"/>
      <c r="L39" s="38"/>
      <c r="M39" s="38"/>
      <c r="N39" s="77"/>
      <c r="O39" s="77"/>
      <c r="P39" s="38"/>
      <c r="Q39" s="38" t="s">
        <v>23</v>
      </c>
      <c r="R39" s="77"/>
      <c r="S39" s="64"/>
      <c r="T39" s="77"/>
    </row>
    <row r="40" spans="2:20" ht="60" customHeight="1" x14ac:dyDescent="0.35">
      <c r="B40" s="36" t="s">
        <v>277</v>
      </c>
      <c r="C40" s="75"/>
      <c r="D40" s="76"/>
      <c r="E40" s="76" t="s">
        <v>23</v>
      </c>
      <c r="F40" s="76" t="str">
        <f>IF(E40&lt;&gt;"", IFERROR(VLOOKUP(E40, Dashboard!$B44:$F49, 5, FALSE), ""), "")</f>
        <v/>
      </c>
      <c r="G40" s="77"/>
      <c r="H40" s="64"/>
      <c r="I40" s="64"/>
      <c r="J40" s="77"/>
      <c r="K40" s="77"/>
      <c r="L40" s="38"/>
      <c r="M40" s="38"/>
      <c r="N40" s="77"/>
      <c r="O40" s="77"/>
      <c r="P40" s="38"/>
      <c r="Q40" s="38" t="s">
        <v>23</v>
      </c>
      <c r="R40" s="77"/>
      <c r="S40" s="64"/>
      <c r="T40" s="77"/>
    </row>
    <row r="41" spans="2:20" ht="60" customHeight="1" x14ac:dyDescent="0.35">
      <c r="B41" s="36" t="s">
        <v>278</v>
      </c>
      <c r="C41" s="75"/>
      <c r="D41" s="76"/>
      <c r="E41" s="76" t="s">
        <v>23</v>
      </c>
      <c r="F41" s="76" t="str">
        <f>IF(E41&lt;&gt;"", IFERROR(VLOOKUP(E41, Dashboard!$B44:$F49, 5, FALSE), ""), "")</f>
        <v/>
      </c>
      <c r="G41" s="77"/>
      <c r="H41" s="64"/>
      <c r="I41" s="64"/>
      <c r="J41" s="77"/>
      <c r="K41" s="77"/>
      <c r="L41" s="38"/>
      <c r="M41" s="38"/>
      <c r="N41" s="77"/>
      <c r="O41" s="77"/>
      <c r="P41" s="38"/>
      <c r="Q41" s="38" t="s">
        <v>23</v>
      </c>
      <c r="R41" s="77"/>
      <c r="S41" s="64"/>
      <c r="T41" s="77"/>
    </row>
    <row r="42" spans="2:20" ht="60" customHeight="1" x14ac:dyDescent="0.35">
      <c r="B42" s="36" t="s">
        <v>279</v>
      </c>
      <c r="C42" s="75"/>
      <c r="D42" s="76"/>
      <c r="E42" s="76" t="s">
        <v>23</v>
      </c>
      <c r="F42" s="76" t="str">
        <f>IF(E42&lt;&gt;"", IFERROR(VLOOKUP(E42, Dashboard!$B44:$F49, 5, FALSE), ""), "")</f>
        <v/>
      </c>
      <c r="G42" s="77"/>
      <c r="H42" s="64"/>
      <c r="I42" s="64"/>
      <c r="J42" s="77"/>
      <c r="K42" s="77"/>
      <c r="L42" s="38"/>
      <c r="M42" s="38"/>
      <c r="N42" s="77"/>
      <c r="O42" s="77"/>
      <c r="P42" s="38"/>
      <c r="Q42" s="38" t="s">
        <v>23</v>
      </c>
      <c r="R42" s="77"/>
      <c r="S42" s="64"/>
      <c r="T42" s="77"/>
    </row>
    <row r="43" spans="2:20" ht="60" customHeight="1" x14ac:dyDescent="0.35">
      <c r="B43" s="36" t="s">
        <v>280</v>
      </c>
      <c r="C43" s="75"/>
      <c r="D43" s="76"/>
      <c r="E43" s="76" t="s">
        <v>23</v>
      </c>
      <c r="F43" s="76" t="str">
        <f>IF(E43&lt;&gt;"", IFERROR(VLOOKUP(E43, Dashboard!$B44:$F49, 5, FALSE), ""), "")</f>
        <v/>
      </c>
      <c r="G43" s="77"/>
      <c r="H43" s="64"/>
      <c r="I43" s="64"/>
      <c r="J43" s="77"/>
      <c r="K43" s="77"/>
      <c r="L43" s="38"/>
      <c r="M43" s="38"/>
      <c r="N43" s="77"/>
      <c r="O43" s="77"/>
      <c r="P43" s="38"/>
      <c r="Q43" s="38" t="s">
        <v>23</v>
      </c>
      <c r="R43" s="77"/>
      <c r="S43" s="64"/>
      <c r="T43" s="77"/>
    </row>
    <row r="44" spans="2:20" ht="60" customHeight="1" x14ac:dyDescent="0.35">
      <c r="B44" s="36" t="s">
        <v>281</v>
      </c>
      <c r="C44" s="75"/>
      <c r="D44" s="76"/>
      <c r="E44" s="76" t="s">
        <v>23</v>
      </c>
      <c r="F44" s="76" t="str">
        <f>IF(E44&lt;&gt;"", IFERROR(VLOOKUP(E44, Dashboard!$B44:$F49, 5, FALSE), ""), "")</f>
        <v/>
      </c>
      <c r="G44" s="77"/>
      <c r="H44" s="64"/>
      <c r="I44" s="64"/>
      <c r="J44" s="77"/>
      <c r="K44" s="77"/>
      <c r="L44" s="38"/>
      <c r="M44" s="38"/>
      <c r="N44" s="77"/>
      <c r="O44" s="77"/>
      <c r="P44" s="38"/>
      <c r="Q44" s="38" t="s">
        <v>23</v>
      </c>
      <c r="R44" s="77"/>
      <c r="S44" s="64"/>
      <c r="T44" s="77"/>
    </row>
    <row r="45" spans="2:20" ht="60" customHeight="1" x14ac:dyDescent="0.35">
      <c r="B45" s="36" t="s">
        <v>282</v>
      </c>
      <c r="C45" s="75"/>
      <c r="D45" s="76"/>
      <c r="E45" s="76" t="s">
        <v>23</v>
      </c>
      <c r="F45" s="76" t="str">
        <f>IF(E45&lt;&gt;"", IFERROR(VLOOKUP(E45, Dashboard!$B44:$F49, 5, FALSE), ""), "")</f>
        <v/>
      </c>
      <c r="G45" s="77"/>
      <c r="H45" s="64"/>
      <c r="I45" s="64"/>
      <c r="J45" s="77"/>
      <c r="K45" s="77"/>
      <c r="L45" s="38"/>
      <c r="M45" s="38"/>
      <c r="N45" s="77"/>
      <c r="O45" s="77"/>
      <c r="P45" s="38"/>
      <c r="Q45" s="38" t="s">
        <v>23</v>
      </c>
      <c r="R45" s="77"/>
      <c r="S45" s="64"/>
      <c r="T45" s="77"/>
    </row>
    <row r="46" spans="2:20" ht="60" customHeight="1" x14ac:dyDescent="0.35">
      <c r="B46" s="36" t="s">
        <v>283</v>
      </c>
      <c r="C46" s="75"/>
      <c r="D46" s="76"/>
      <c r="E46" s="76" t="s">
        <v>23</v>
      </c>
      <c r="F46" s="76" t="str">
        <f>IF(E46&lt;&gt;"", IFERROR(VLOOKUP(E46, Dashboard!$B44:$F49, 5, FALSE), ""), "")</f>
        <v/>
      </c>
      <c r="G46" s="77"/>
      <c r="H46" s="64"/>
      <c r="I46" s="64"/>
      <c r="J46" s="77"/>
      <c r="K46" s="77"/>
      <c r="L46" s="38"/>
      <c r="M46" s="38"/>
      <c r="N46" s="77"/>
      <c r="O46" s="77"/>
      <c r="P46" s="38"/>
      <c r="Q46" s="38" t="s">
        <v>23</v>
      </c>
      <c r="R46" s="77"/>
      <c r="S46" s="64"/>
      <c r="T46" s="77"/>
    </row>
    <row r="47" spans="2:20" ht="60" customHeight="1" x14ac:dyDescent="0.35">
      <c r="B47" s="36" t="s">
        <v>284</v>
      </c>
      <c r="C47" s="75"/>
      <c r="D47" s="76"/>
      <c r="E47" s="76" t="s">
        <v>23</v>
      </c>
      <c r="F47" s="76" t="str">
        <f>IF(E47&lt;&gt;"", IFERROR(VLOOKUP(E47, Dashboard!$B44:$F49, 5, FALSE), ""), "")</f>
        <v/>
      </c>
      <c r="G47" s="77"/>
      <c r="H47" s="64"/>
      <c r="I47" s="64"/>
      <c r="J47" s="77"/>
      <c r="K47" s="77"/>
      <c r="L47" s="38"/>
      <c r="M47" s="38"/>
      <c r="N47" s="77"/>
      <c r="O47" s="77"/>
      <c r="P47" s="38"/>
      <c r="Q47" s="38" t="s">
        <v>23</v>
      </c>
      <c r="R47" s="77"/>
      <c r="S47" s="64"/>
      <c r="T47" s="77"/>
    </row>
    <row r="48" spans="2:20" ht="60" customHeight="1" x14ac:dyDescent="0.35">
      <c r="B48" s="36" t="s">
        <v>285</v>
      </c>
      <c r="C48" s="75"/>
      <c r="D48" s="76"/>
      <c r="E48" s="76" t="s">
        <v>23</v>
      </c>
      <c r="F48" s="76" t="str">
        <f>IF(E48&lt;&gt;"", IFERROR(VLOOKUP(E48, Dashboard!$B44:$F49, 5, FALSE), ""), "")</f>
        <v/>
      </c>
      <c r="G48" s="77"/>
      <c r="H48" s="64"/>
      <c r="I48" s="64"/>
      <c r="J48" s="77"/>
      <c r="K48" s="77"/>
      <c r="L48" s="38"/>
      <c r="M48" s="38"/>
      <c r="N48" s="77"/>
      <c r="O48" s="77"/>
      <c r="P48" s="38"/>
      <c r="Q48" s="38" t="s">
        <v>23</v>
      </c>
      <c r="R48" s="77"/>
      <c r="S48" s="64"/>
      <c r="T48" s="77"/>
    </row>
    <row r="49" spans="2:20" ht="60" customHeight="1" x14ac:dyDescent="0.35">
      <c r="B49" s="36" t="s">
        <v>286</v>
      </c>
      <c r="C49" s="75"/>
      <c r="D49" s="76"/>
      <c r="E49" s="76" t="s">
        <v>23</v>
      </c>
      <c r="F49" s="76" t="str">
        <f>IF(E49&lt;&gt;"", IFERROR(VLOOKUP(E49, Dashboard!$B44:$F49, 5, FALSE), ""), "")</f>
        <v/>
      </c>
      <c r="G49" s="77"/>
      <c r="H49" s="64"/>
      <c r="I49" s="64"/>
      <c r="J49" s="77"/>
      <c r="K49" s="77"/>
      <c r="L49" s="38"/>
      <c r="M49" s="38"/>
      <c r="N49" s="77"/>
      <c r="O49" s="77"/>
      <c r="P49" s="38"/>
      <c r="Q49" s="38" t="s">
        <v>23</v>
      </c>
      <c r="R49" s="77"/>
      <c r="S49" s="64"/>
      <c r="T49" s="77"/>
    </row>
    <row r="50" spans="2:20" ht="60" customHeight="1" x14ac:dyDescent="0.35">
      <c r="B50" s="36" t="s">
        <v>287</v>
      </c>
      <c r="C50" s="75"/>
      <c r="D50" s="76"/>
      <c r="E50" s="76" t="s">
        <v>23</v>
      </c>
      <c r="F50" s="76" t="str">
        <f>IF(E50&lt;&gt;"", IFERROR(VLOOKUP(E50, Dashboard!$B44:$F49, 5, FALSE), ""), "")</f>
        <v/>
      </c>
      <c r="G50" s="77"/>
      <c r="H50" s="64"/>
      <c r="I50" s="64"/>
      <c r="J50" s="77"/>
      <c r="K50" s="77"/>
      <c r="L50" s="38"/>
      <c r="M50" s="38"/>
      <c r="N50" s="77"/>
      <c r="O50" s="77"/>
      <c r="P50" s="38"/>
      <c r="Q50" s="38" t="s">
        <v>23</v>
      </c>
      <c r="R50" s="77"/>
      <c r="S50" s="64"/>
      <c r="T50" s="77"/>
    </row>
    <row r="51" spans="2:20" ht="60" customHeight="1" x14ac:dyDescent="0.35">
      <c r="B51" s="36" t="s">
        <v>288</v>
      </c>
      <c r="C51" s="75"/>
      <c r="D51" s="76"/>
      <c r="E51" s="76" t="s">
        <v>23</v>
      </c>
      <c r="F51" s="76" t="str">
        <f>IF(E51&lt;&gt;"", IFERROR(VLOOKUP(E51, Dashboard!$B44:$F49, 5, FALSE), ""), "")</f>
        <v/>
      </c>
      <c r="G51" s="77"/>
      <c r="H51" s="64"/>
      <c r="I51" s="64"/>
      <c r="J51" s="77"/>
      <c r="K51" s="77"/>
      <c r="L51" s="38"/>
      <c r="M51" s="38"/>
      <c r="N51" s="77"/>
      <c r="O51" s="77"/>
      <c r="P51" s="38"/>
      <c r="Q51" s="38" t="s">
        <v>23</v>
      </c>
      <c r="R51" s="77"/>
      <c r="S51" s="64"/>
      <c r="T51" s="77"/>
    </row>
    <row r="52" spans="2:20" ht="60" customHeight="1" x14ac:dyDescent="0.35">
      <c r="B52" s="36" t="s">
        <v>289</v>
      </c>
      <c r="C52" s="75"/>
      <c r="D52" s="76"/>
      <c r="E52" s="76" t="s">
        <v>23</v>
      </c>
      <c r="F52" s="76" t="str">
        <f>IF(E52&lt;&gt;"", IFERROR(VLOOKUP(E52, Dashboard!$B44:$F49, 5, FALSE), ""), "")</f>
        <v/>
      </c>
      <c r="G52" s="77"/>
      <c r="H52" s="64"/>
      <c r="I52" s="64"/>
      <c r="J52" s="77"/>
      <c r="K52" s="77"/>
      <c r="L52" s="38"/>
      <c r="M52" s="38"/>
      <c r="N52" s="77"/>
      <c r="O52" s="77"/>
      <c r="P52" s="38"/>
      <c r="Q52" s="38" t="s">
        <v>23</v>
      </c>
      <c r="R52" s="77"/>
      <c r="S52" s="64"/>
      <c r="T52" s="77"/>
    </row>
    <row r="53" spans="2:20" ht="60" customHeight="1" x14ac:dyDescent="0.35">
      <c r="B53" s="36" t="s">
        <v>290</v>
      </c>
      <c r="C53" s="75"/>
      <c r="D53" s="76"/>
      <c r="E53" s="76" t="s">
        <v>23</v>
      </c>
      <c r="F53" s="76" t="str">
        <f>IF(E53&lt;&gt;"", IFERROR(VLOOKUP(E53, Dashboard!$B44:$F49, 5, FALSE), ""), "")</f>
        <v/>
      </c>
      <c r="G53" s="77"/>
      <c r="H53" s="64"/>
      <c r="I53" s="64"/>
      <c r="J53" s="77"/>
      <c r="K53" s="77"/>
      <c r="L53" s="38"/>
      <c r="M53" s="38"/>
      <c r="N53" s="77"/>
      <c r="O53" s="77"/>
      <c r="P53" s="38"/>
      <c r="Q53" s="38" t="s">
        <v>23</v>
      </c>
      <c r="R53" s="77"/>
      <c r="S53" s="64"/>
      <c r="T53" s="77"/>
    </row>
    <row r="54" spans="2:20" ht="60" customHeight="1" x14ac:dyDescent="0.35">
      <c r="B54" s="36" t="s">
        <v>291</v>
      </c>
      <c r="C54" s="75"/>
      <c r="D54" s="76"/>
      <c r="E54" s="76" t="s">
        <v>23</v>
      </c>
      <c r="F54" s="76" t="str">
        <f>IF(E54&lt;&gt;"", IFERROR(VLOOKUP(E54, Dashboard!$B44:$F49,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M365 Secure Configuration Baseline for Power Platform - SHGIR</dc:title>
  <dc:subject>Generated on: 2026-06-09 11:38:53</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2026-06-09T10:39:02Z</dcterms:modified>
  <cp:category>CISA-SCuBA</cp:category>
  <cp:contentStatus>Draft</cp:contentStatus>
</cp:coreProperties>
</file>