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44" documentId="11_4285AF152C0945227DA8A8EEFF6F60E48CDBC545" xr6:coauthVersionLast="47" xr6:coauthVersionMax="47" xr10:uidLastSave="{72A0F97D-3BB5-4474-9AA1-AED7A622CFB2}"/>
  <bookViews>
    <workbookView xWindow="115080" yWindow="9690" windowWidth="29040" windowHeight="15720" activeTab="2"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18" i="1"/>
  <c r="O17" i="1"/>
  <c r="O16" i="1"/>
  <c r="O15" i="1"/>
  <c r="O14" i="1"/>
  <c r="O13" i="1"/>
  <c r="O12" i="1"/>
  <c r="O11" i="1"/>
  <c r="O10" i="1"/>
  <c r="O9" i="1"/>
  <c r="O8" i="1"/>
  <c r="O7" i="1"/>
  <c r="O6" i="1"/>
  <c r="O5" i="1"/>
  <c r="O4" i="1"/>
  <c r="O3" i="1"/>
  <c r="O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W123" i="3" s="1"/>
  <c r="E70" i="3"/>
  <c r="D70" i="3"/>
  <c r="C70" i="3"/>
  <c r="U123" i="3" s="1"/>
  <c r="F69" i="3"/>
  <c r="T152" i="3" s="1"/>
  <c r="E69" i="3"/>
  <c r="D69" i="3"/>
  <c r="C69" i="3"/>
  <c r="S123" i="3" s="1"/>
  <c r="E51" i="3"/>
  <c r="D51" i="3"/>
  <c r="C51" i="3"/>
  <c r="F51" i="3" s="1"/>
  <c r="E50" i="3"/>
  <c r="D50" i="3"/>
  <c r="C50" i="3"/>
  <c r="F50" i="3" s="1"/>
  <c r="E49" i="3"/>
  <c r="D49" i="3"/>
  <c r="C49" i="3"/>
  <c r="F49" i="3" s="1"/>
  <c r="E48" i="3"/>
  <c r="D48" i="3"/>
  <c r="C48" i="3"/>
  <c r="F48" i="3" s="1"/>
  <c r="E47" i="3"/>
  <c r="D47" i="3"/>
  <c r="C47" i="3"/>
  <c r="F47" i="3" s="1"/>
  <c r="E46" i="3"/>
  <c r="D46" i="3"/>
  <c r="C46" i="3"/>
  <c r="F46" i="3" s="1"/>
  <c r="E31" i="3"/>
  <c r="D31" i="3"/>
  <c r="F31" i="3" s="1"/>
  <c r="C31" i="3"/>
  <c r="E30" i="3"/>
  <c r="D30" i="3"/>
  <c r="F30" i="3" s="1"/>
  <c r="C30" i="3"/>
  <c r="E29" i="3"/>
  <c r="D29" i="3"/>
  <c r="C29" i="3"/>
  <c r="F29" i="3" s="1"/>
  <c r="E16" i="3"/>
  <c r="D16" i="3"/>
  <c r="C16" i="3"/>
  <c r="F16" i="3" s="1"/>
  <c r="C9" i="3"/>
  <c r="D9" i="3" s="1"/>
  <c r="C8" i="3"/>
  <c r="C7" i="3" s="1"/>
  <c r="D7" i="3" s="1"/>
  <c r="E37" i="3" l="1"/>
  <c r="D37" i="3"/>
  <c r="C37" i="3"/>
  <c r="E35" i="3"/>
  <c r="D35" i="3"/>
  <c r="C35" i="3"/>
  <c r="E98" i="3"/>
  <c r="D98" i="3"/>
  <c r="C98" i="3"/>
  <c r="D57" i="3"/>
  <c r="E57" i="3"/>
  <c r="C57" i="3"/>
  <c r="D55" i="3"/>
  <c r="E55" i="3"/>
  <c r="C55" i="3"/>
  <c r="C56" i="3"/>
  <c r="E56" i="3"/>
  <c r="D56" i="3"/>
  <c r="E59" i="3"/>
  <c r="D59" i="3"/>
  <c r="C59" i="3"/>
  <c r="E99" i="3"/>
  <c r="D99" i="3"/>
  <c r="C99"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36" i="3"/>
  <c r="D36" i="3"/>
  <c r="C36" i="3"/>
  <c r="E60" i="3"/>
  <c r="D60" i="3"/>
  <c r="C60" i="3"/>
  <c r="E100" i="3"/>
  <c r="D100" i="3"/>
  <c r="C100" i="3"/>
  <c r="E58" i="3"/>
  <c r="D58" i="3"/>
  <c r="C58" i="3"/>
  <c r="E97" i="3"/>
  <c r="D97" i="3"/>
  <c r="C97" i="3"/>
  <c r="T128" i="3"/>
  <c r="T133" i="3"/>
  <c r="T138" i="3"/>
  <c r="T143" i="3"/>
  <c r="T148" i="3"/>
  <c r="T153" i="3"/>
  <c r="C80" i="3"/>
  <c r="D8" i="3"/>
  <c r="D80" i="3"/>
  <c r="Q123" i="3"/>
  <c r="F70" i="3"/>
  <c r="F71" i="3"/>
  <c r="C81" i="3"/>
  <c r="T129" i="3"/>
  <c r="T134" i="3"/>
  <c r="T139" i="3"/>
  <c r="T144" i="3"/>
  <c r="T149" i="3"/>
  <c r="T154" i="3"/>
  <c r="D81" i="3"/>
  <c r="T125" i="3"/>
  <c r="T130" i="3"/>
  <c r="T135" i="3"/>
  <c r="T140" i="3"/>
  <c r="T145" i="3"/>
  <c r="T150" i="3"/>
  <c r="T155" i="3"/>
  <c r="C77" i="3"/>
  <c r="T126" i="3"/>
  <c r="T131" i="3"/>
  <c r="T136" i="3"/>
  <c r="T141" i="3"/>
  <c r="T146" i="3"/>
  <c r="T151" i="3"/>
  <c r="D77" i="3"/>
  <c r="E77" i="3"/>
  <c r="T127" i="3"/>
  <c r="T132" i="3"/>
  <c r="T137" i="3"/>
  <c r="T142" i="3"/>
  <c r="T147" i="3"/>
  <c r="X151" i="3" l="1"/>
  <c r="X146" i="3"/>
  <c r="X141" i="3"/>
  <c r="X136" i="3"/>
  <c r="X131" i="3"/>
  <c r="X126" i="3"/>
  <c r="X155" i="3"/>
  <c r="X150" i="3"/>
  <c r="X145" i="3"/>
  <c r="X140" i="3"/>
  <c r="X135" i="3"/>
  <c r="X130" i="3"/>
  <c r="X125" i="3"/>
  <c r="X154" i="3"/>
  <c r="X149" i="3"/>
  <c r="X144" i="3"/>
  <c r="X139" i="3"/>
  <c r="X134" i="3"/>
  <c r="X129" i="3"/>
  <c r="E79" i="3"/>
  <c r="D79" i="3"/>
  <c r="X153" i="3"/>
  <c r="X148" i="3"/>
  <c r="X143" i="3"/>
  <c r="X138" i="3"/>
  <c r="X133" i="3"/>
  <c r="X128" i="3"/>
  <c r="X152" i="3"/>
  <c r="X147" i="3"/>
  <c r="X142" i="3"/>
  <c r="X137" i="3"/>
  <c r="X132" i="3"/>
  <c r="X127" i="3"/>
  <c r="C79"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alcChain>
</file>

<file path=xl/sharedStrings.xml><?xml version="1.0" encoding="utf-8"?>
<sst xmlns="http://schemas.openxmlformats.org/spreadsheetml/2006/main" count="749" uniqueCount="323">
  <si>
    <t>Category</t>
  </si>
  <si>
    <t>Id</t>
  </si>
  <si>
    <t>Title</t>
  </si>
  <si>
    <t>Criticality</t>
  </si>
  <si>
    <t>MoSCoW</t>
  </si>
  <si>
    <t>OpsImpact</t>
  </si>
  <si>
    <t>Phase</t>
  </si>
  <si>
    <t>ImplStatus</t>
  </si>
  <si>
    <t>Notes</t>
  </si>
  <si>
    <t>Remediation</t>
  </si>
  <si>
    <t>Rationale</t>
  </si>
  <si>
    <t>Description</t>
  </si>
  <si>
    <t>Prereqs</t>
  </si>
  <si>
    <t>Resources</t>
  </si>
  <si>
    <t>Status</t>
  </si>
  <si>
    <t>LogID</t>
  </si>
  <si>
    <t>Sharing Outside the Organization</t>
  </si>
  <si>
    <t>GWS.DRIVEDOCS.1.1v0.6</t>
  </si>
  <si>
    <r>
      <rPr>
        <sz val="11"/>
        <color rgb="FF000000"/>
        <rFont val="Calibri"/>
      </rPr>
      <t>External sharing SHALL be restricted to allowlisted domains.</t>
    </r>
  </si>
  <si>
    <t>SHALL</t>
  </si>
  <si>
    <t>Unassigned</t>
  </si>
  <si>
    <t>Unassessed</t>
  </si>
  <si>
    <t>Pending</t>
  </si>
  <si>
    <t/>
  </si>
  <si>
    <r>
      <rPr>
        <sz val="11"/>
        <color rgb="FF000000"/>
        <rFont val="Calibri"/>
      </rPr>
      <t>Documents may contain PII or sensitive information. Disabling external sharing reduces the risk of inadvertent data leakage.</t>
    </r>
  </si>
  <si>
    <r>
      <rPr>
        <sz val="11"/>
        <color rgb="FF000000"/>
        <rFont val="Calibri"/>
      </rPr>
      <t>This section covers whether users can share files outside of the organization, whether Google checks a shared file to ensure that recipients have access, and which users have permission to distribute content outside of the organization to include uploading or moving content to shared drives owned by another organization. These files include Google Docs, Sheets, Slides, My Maps, folders, and anything else stored in Drive.</t>
    </r>
  </si>
  <si>
    <r>
      <rPr>
        <sz val="11"/>
        <color rgb="FF000000"/>
        <rFont val="Calibri"/>
      </rPr>
      <t>None</t>
    </r>
  </si>
  <si>
    <r>
      <rPr>
        <b/>
        <sz val="11"/>
        <color rgb="FF000000"/>
        <rFont val="Calibri"/>
      </rPr>
      <t>Google Workspace Admin Help: Set Drive users' sharing permissions</t>
    </r>
    <r>
      <rPr>
        <sz val="11"/>
        <color rgb="FF000000"/>
        <rFont val="Calibri"/>
      </rPr>
      <t xml:space="preserve">
</t>
    </r>
    <r>
      <rPr>
        <sz val="11"/>
        <color rgb="FF0000FF"/>
        <rFont val="Calibri"/>
      </rPr>
      <t>https://support.google.com/a/answer/60781?hl=en</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r>
      <rPr>
        <sz val="11"/>
        <color rgb="FF000000"/>
        <rFont val="Calibri"/>
      </rPr>
      <t xml:space="preserve">
</t>
    </r>
    <r>
      <rPr>
        <b/>
        <sz val="11"/>
        <color rgb="FF000000"/>
        <rFont val="Calibri"/>
      </rPr>
      <t>Manage external sharing for your organization</t>
    </r>
    <r>
      <rPr>
        <sz val="11"/>
        <color rgb="FF000000"/>
        <rFont val="Calibri"/>
      </rPr>
      <t xml:space="preserve">
</t>
    </r>
    <r>
      <rPr>
        <sz val="11"/>
        <color rgb="FF0000FF"/>
        <rFont val="Calibri"/>
      </rPr>
      <t>https://support.google.com/a/answer/60781</t>
    </r>
  </si>
  <si>
    <t>GWS.DRIVEDOCS.1.2v0.6</t>
  </si>
  <si>
    <r>
      <rPr>
        <sz val="11"/>
        <color rgb="FF000000"/>
        <rFont val="Calibri"/>
      </rPr>
      <t>Receiving files from outside of allowlisted domains SHOULD be disabled.</t>
    </r>
  </si>
  <si>
    <t>SHOULD</t>
  </si>
  <si>
    <r>
      <rPr>
        <sz val="11"/>
        <color rgb="FF000000"/>
        <rFont val="Calibri"/>
      </rPr>
      <t>Users given access to external files may inadvertently input PII or sensitive information. Additionally, files created externally may contain malicious content. Disallowing external files from being shared to users may reduce the risk of data loss or falling victim to external threats.</t>
    </r>
  </si>
  <si>
    <t>GWS.DRIVEDOCS.1.3v0.6</t>
  </si>
  <si>
    <r>
      <rPr>
        <sz val="11"/>
        <color rgb="FF000000"/>
        <rFont val="Calibri"/>
      </rPr>
      <t>Warnings SHALL be enabled when a user is attempting to share with someone not in allowlisted domains.</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</si>
  <si>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Warn when files owned by users or shared drives in your organization are shared with users in allowlisted domains</t>
    </r>
    <r>
      <rPr>
        <sz val="11"/>
        <color rgb="FF000000"/>
        <rFont val="Calibri"/>
      </rPr>
      <t>.</t>
    </r>
  </si>
  <si>
    <r>
      <rPr>
        <sz val="11"/>
        <color rgb="FF000000"/>
        <rFont val="Calibri"/>
      </rPr>
      <t>Users may not always be aware a given user is external to their organization. Warning them before sharing increases user awareness and accountability.</t>
    </r>
  </si>
  <si>
    <t>GWS.DRIVEDOCS.1.4v0.6</t>
  </si>
  <si>
    <r>
      <rPr>
        <sz val="11"/>
        <color rgb="FF000000"/>
        <rFont val="Calibri"/>
      </rPr>
      <t>If sharing outside of the organization, then agencies SHOULD disable sharing of files with individuals who are not using a Google account.</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</si>
  <si>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2. Deselect </t>
    </r>
    <r>
      <rPr>
        <b/>
        <sz val="11"/>
        <color rgb="FF000000"/>
        <rFont val="Calibri"/>
      </rPr>
      <t>Allow users or shared drives in your organization to share items with people outside of your organization who aren't using a Google account.</t>
    </r>
  </si>
  <si>
    <r>
      <rPr>
        <sz val="11"/>
        <color rgb="FF000000"/>
        <rFont val="Calibri"/>
      </rPr>
      <t>Allowing users not signed in to a Google account to view shared files diminishes oversight and accountability and increases the chance of potential data breach. This policy reduces that risk by requiring all users to be signed in when viewing shared Doc/Drive materials.</t>
    </r>
  </si>
  <si>
    <t>GWS.DRIVEDOCS.1.5v0.6</t>
  </si>
  <si>
    <r>
      <rPr>
        <sz val="11"/>
        <color rgb="FF000000"/>
        <rFont val="Calibri"/>
      </rPr>
      <t>Any OUs that do allow external sharing SHOULD disable making content available to anyone with the link.</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</si>
  <si>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2. Deselect </t>
    </r>
    <r>
      <rPr>
        <b/>
        <sz val="11"/>
        <color rgb="FF000000"/>
        <rFont val="Calibri"/>
      </rPr>
      <t>When sharing outside of your organization is allowed, users in your organization can make files and published web content visible to anyone with the link.</t>
    </r>
  </si>
  <si>
    <r>
      <rPr>
        <sz val="11"/>
        <color rgb="FF000000"/>
        <rFont val="Calibri"/>
      </rPr>
      <t>Allowing users not signed in to a Google account to view shared files diminishes oversight and accountability and increases the chance of a potential data breach. This policy reduces that risk by requiring all people to be signed in when viewing shared Doc/Drive materials.</t>
    </r>
  </si>
  <si>
    <t>GWS.DRIVEDOCS.1.6v0.6</t>
  </si>
  <si>
    <r>
      <rPr>
        <sz val="11"/>
        <color rgb="FF000000"/>
        <rFont val="Calibri"/>
      </rPr>
      <t>Agencies SHALL set access checking to "recipients only."</t>
    </r>
  </si>
  <si>
    <r>
      <rPr>
        <sz val="11"/>
        <color rgb="FF000000"/>
        <rFont val="Calibri"/>
      </rPr>
      <t>The Access Checker feature can be configured to allow users to grant open access if a recipient is missing access, creating the potential for data leakage. This control mitigates this by only allowing access to be granted to recipients.</t>
    </r>
  </si>
  <si>
    <t>GWS.DRIVEDOCS.1.7v0.6</t>
  </si>
  <si>
    <r>
      <rPr>
        <sz val="11"/>
        <color rgb="FF000000"/>
        <rFont val="Calibri"/>
      </rPr>
      <t>Users SHOULD NOT be allowed to upload or move content to shared drives owned by another organization.</t>
    </r>
  </si>
  <si>
    <t>SHOULD NOT</t>
  </si>
  <si>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Distributing content outside of your domain</t>
    </r>
    <r>
      <rPr>
        <sz val="11"/>
        <color rgb="FF000000"/>
        <rFont val="Calibri"/>
      </rPr>
      <t xml:space="preserve"> -&gt; </t>
    </r>
    <r>
      <rPr>
        <b/>
        <sz val="11"/>
        <color rgb="FF000000"/>
        <rFont val="Calibri"/>
      </rPr>
      <t>No one</t>
    </r>
  </si>
  <si>
    <r>
      <rPr>
        <sz val="11"/>
        <color rgb="FF000000"/>
        <rFont val="Calibri"/>
      </rPr>
      <t>Once a document is moved outside the organization's drives, the organization no longer has control over the dissemination of the document. By not allowing users to distribute content to external shared drives, the organization maintains more control over the document.</t>
    </r>
  </si>
  <si>
    <t>GWS.DRIVEDOCS.1.8v0.6</t>
  </si>
  <si>
    <r>
      <rPr>
        <sz val="11"/>
        <color rgb="FF000000"/>
        <rFont val="Calibri"/>
      </rPr>
      <t>"Private to owner" SHALL be the default access level for newly created items.</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</si>
  <si>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 -&gt; General access default.</t>
    </r>
    <r>
      <rPr>
        <sz val="11"/>
        <color rgb="FF000000"/>
        <rFont val="Calibri"/>
      </rPr>
      <t xml:space="preserve">
</t>
    </r>
    <r>
      <rPr>
        <sz val="11"/>
        <color rgb="FF000000"/>
        <rFont val="Calibri"/>
      </rPr>
      <t xml:space="preserve">2. Select </t>
    </r>
    <r>
      <rPr>
        <b/>
        <sz val="11"/>
        <color rgb="FF000000"/>
        <rFont val="Calibri"/>
      </rPr>
      <t>When users in your organization create items, the default access will be -&gt; Private to the owner.</t>
    </r>
  </si>
  <si>
    <r>
      <rPr>
        <sz val="11"/>
        <color rgb="FF000000"/>
        <rFont val="Calibri"/>
      </rPr>
      <t>By implementing least privilege and setting the default to be private, the organization is able to prevent overly broad accidental sharing of information.</t>
    </r>
  </si>
  <si>
    <t>GWS.DRIVEDOCS.1.9v0.6</t>
  </si>
  <si>
    <r>
      <rPr>
        <sz val="11"/>
        <color rgb="FF000000"/>
        <rFont val="Calibri"/>
      </rPr>
      <t>Out-of-Domain file-level warnings SHALL be enabled.</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</si>
  <si>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 -&gt; Sharing options</t>
    </r>
    <r>
      <rPr>
        <sz val="11"/>
        <color rgb="FF000000"/>
        <rFont val="Calibri"/>
      </rPr>
      <t xml:space="preserve">
</t>
    </r>
    <r>
      <rPr>
        <sz val="11"/>
        <color rgb="FF000000"/>
        <rFont val="Calibri"/>
      </rPr>
      <t xml:space="preserve">2. Select </t>
    </r>
    <r>
      <rPr>
        <b/>
        <sz val="11"/>
        <color rgb="FF000000"/>
        <rFont val="Calibri"/>
      </rPr>
      <t>Highlight external files</t>
    </r>
    <r>
      <rPr>
        <sz val="11"/>
        <color rgb="FF000000"/>
        <rFont val="Calibri"/>
      </rPr>
      <t xml:space="preserve">
</t>
    </r>
    <r>
      <rPr>
        <sz val="11"/>
        <color rgb="FF000000"/>
        <rFont val="Calibri"/>
      </rPr>
      <t xml:space="preserve">3. Check the </t>
    </r>
    <r>
      <rPr>
        <b/>
        <sz val="11"/>
        <color rgb="FF000000"/>
        <rFont val="Calibri"/>
      </rPr>
      <t>Highlight external Files</t>
    </r>
    <r>
      <rPr>
        <sz val="11"/>
        <color rgb="FF000000"/>
        <rFont val="Calibri"/>
      </rPr>
      <t xml:space="preserve"> box to turn on the indicator.</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t>
    </r>
  </si>
  <si>
    <r>
      <rPr>
        <sz val="11"/>
        <color rgb="FF000000"/>
        <rFont val="Calibri"/>
      </rPr>
      <t>Implementing Out-of-Domain file-level warnings, can help users identify potentially risky files and avoid phishing scams when working with files shared from external entities.</t>
    </r>
  </si>
  <si>
    <t>GWS.DRIVEDOCS.1.10v0.6</t>
  </si>
  <si>
    <r>
      <rPr>
        <sz val="11"/>
        <color rgb="FF000000"/>
        <rFont val="Calibri"/>
      </rPr>
      <t>If external sharing is not allowed, then forms owned by users within the organization SHOULD NOT be able to accept responses from anyone with the link outside the organization.</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</si>
  <si>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 -&gt; Sharing options</t>
    </r>
    <r>
      <rPr>
        <sz val="11"/>
        <color rgb="FF000000"/>
        <rFont val="Calibri"/>
      </rPr>
      <t xml:space="preserve">
</t>
    </r>
    <r>
      <rPr>
        <sz val="11"/>
        <color rgb="FF000000"/>
        <rFont val="Calibri"/>
      </rPr>
      <t xml:space="preserve">2. Select </t>
    </r>
    <r>
      <rPr>
        <b/>
        <sz val="11"/>
        <color rgb="FF000000"/>
        <rFont val="Calibri"/>
      </rPr>
      <t>Form responses</t>
    </r>
    <r>
      <rPr>
        <sz val="11"/>
        <color rgb="FF000000"/>
        <rFont val="Calibri"/>
      </rPr>
      <t xml:space="preserve">
</t>
    </r>
    <r>
      <rPr>
        <sz val="11"/>
        <color rgb="FF000000"/>
        <rFont val="Calibri"/>
      </rPr>
      <t xml:space="preserve">3. Check the </t>
    </r>
    <r>
      <rPr>
        <b/>
        <sz val="11"/>
        <color rgb="FF000000"/>
        <rFont val="Calibri"/>
      </rPr>
      <t>Allow forms owned by users in XXXX to accept responses from anyone with the link outside XXXX, even if external sharing isn't allowed. If this option isn’t selected, settings for sharing outside XXXX apply to forms</t>
    </r>
    <r>
      <rPr>
        <sz val="11"/>
        <color rgb="FF000000"/>
        <rFont val="Calibri"/>
      </rPr>
      <t xml:space="preserve"> box</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t>
    </r>
  </si>
  <si>
    <r>
      <rPr>
        <sz val="11"/>
        <color rgb="FF000000"/>
        <rFont val="Calibri"/>
      </rPr>
      <t>If external sharing is not allowed, enabling this setting bypasses the external sharing restrictions in place. Users external to the organization can use forms to maliciously collect and share data without oversight. Implementing this policy reduces these risks.</t>
    </r>
  </si>
  <si>
    <t>GWS.DRIVEDOCS.1.11v0.6</t>
  </si>
  <si>
    <r>
      <rPr>
        <sz val="11"/>
        <color rgb="FF000000"/>
        <rFont val="Calibri"/>
      </rPr>
      <t>If receiving external files is not allowed, then users in the organization SHOULD NOT be able to submit responses to forms from users or shared drives outside of the organization.</t>
    </r>
  </si>
  <si>
    <r>
      <rPr>
        <sz val="11"/>
        <color rgb="FF000000"/>
        <rFont val="Calibri"/>
      </rPr>
      <t>To configure the settings for Sharing options: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3. Follow implementation for each individual policy</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Select </t>
    </r>
    <r>
      <rPr>
        <b/>
        <sz val="11"/>
        <color rgb="FF000000"/>
        <rFont val="Calibri"/>
      </rPr>
      <t>Sharing settings -&gt; Sharing options</t>
    </r>
    <r>
      <rPr>
        <sz val="11"/>
        <color rgb="FF000000"/>
        <rFont val="Calibri"/>
      </rPr>
      <t xml:space="preserve">
</t>
    </r>
    <r>
      <rPr>
        <sz val="11"/>
        <color rgb="FF000000"/>
        <rFont val="Calibri"/>
      </rPr>
      <t xml:space="preserve">2. Select </t>
    </r>
    <r>
      <rPr>
        <b/>
        <sz val="11"/>
        <color rgb="FF000000"/>
        <rFont val="Calibri"/>
      </rPr>
      <t>Form responses</t>
    </r>
    <r>
      <rPr>
        <sz val="11"/>
        <color rgb="FF000000"/>
        <rFont val="Calibri"/>
      </rPr>
      <t xml:space="preserve">
</t>
    </r>
    <r>
      <rPr>
        <sz val="11"/>
        <color rgb="FF000000"/>
        <rFont val="Calibri"/>
      </rPr>
      <t xml:space="preserve">3. Check the </t>
    </r>
    <r>
      <rPr>
        <b/>
        <sz val="11"/>
        <color rgb="FF000000"/>
        <rFont val="Calibri"/>
      </rPr>
      <t>Allow users in XXXX to submit responses to forms from users or shared drives outside of XXXX, even if receiving external files isn’t allowed. If this option isn’t selected, settings for receiving files external to XXXX apply to forms</t>
    </r>
    <r>
      <rPr>
        <sz val="11"/>
        <color rgb="FF000000"/>
        <rFont val="Calibri"/>
      </rPr>
      <t xml:space="preserve"> box</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t>
    </r>
  </si>
  <si>
    <r>
      <rPr>
        <sz val="11"/>
        <color rgb="FF000000"/>
        <rFont val="Calibri"/>
      </rPr>
      <t>If receiving external files is not allowed, enabling this setting bypasses the external sharing restrictions in place. Users external to the organization can use forms to maliciously collect and share data without oversight. Implementing this policy reduces these risks.</t>
    </r>
  </si>
  <si>
    <t>Shared Drive Creation</t>
  </si>
  <si>
    <t>GWS.DRIVEDOCS.2.1v0.6</t>
  </si>
  <si>
    <r>
      <rPr>
        <sz val="11"/>
        <color rgb="FF000000"/>
        <rFont val="Calibri"/>
      </rPr>
      <t>Agencies SHOULD NOT allow members with manager access to override shared Google Drive creation settings.</t>
    </r>
  </si>
  <si>
    <r>
      <rPr>
        <sz val="11"/>
        <color rgb="FF000000"/>
        <rFont val="Calibri"/>
      </rPr>
      <t>To configure the settings for Shared drive creation: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 -&gt; Shared drive creation</t>
    </r>
    <r>
      <rPr>
        <sz val="11"/>
        <color rgb="FF000000"/>
        <rFont val="Calibri"/>
      </rPr>
      <t>.</t>
    </r>
    <r>
      <rPr>
        <sz val="11"/>
        <color rgb="FF000000"/>
        <rFont val="Calibri"/>
      </rPr>
      <t xml:space="preserve">
</t>
    </r>
    <r>
      <rPr>
        <sz val="11"/>
        <color rgb="FF000000"/>
        <rFont val="Calibri"/>
      </rPr>
      <t>4. Follow the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Uncheck the </t>
    </r>
    <r>
      <rPr>
        <b/>
        <sz val="11"/>
        <color rgb="FF000000"/>
        <rFont val="Calibri"/>
      </rPr>
      <t>Allow members with manager access to override the settings below</t>
    </r>
    <r>
      <rPr>
        <sz val="11"/>
        <color rgb="FF000000"/>
        <rFont val="Calibri"/>
      </rPr>
      <t xml:space="preserve"> checkbox.</t>
    </r>
  </si>
  <si>
    <r>
      <rPr>
        <sz val="11"/>
        <color rgb="FF000000"/>
        <rFont val="Calibri"/>
      </rPr>
      <t>Allowing users who are not the Google Drive owner to override settings violates the principle of least privilege. This policy reduces the risk of Google Drive settings being modified by unauthorized individuals.</t>
    </r>
  </si>
  <si>
    <r>
      <rPr>
        <sz val="11"/>
        <color rgb="FF000000"/>
        <rFont val="Calibri"/>
      </rPr>
      <t>This section covers whether users can create new shared drives to share with other users, including those external to their organization. Even if users cannot create new shared drives, they can still be added to shared drives owned by other users. This control also determines which users, both internal and external to the organization, can access files in shared drives.</t>
    </r>
  </si>
  <si>
    <r>
      <rPr>
        <b/>
        <sz val="11"/>
        <color rgb="FF000000"/>
        <rFont val="Calibri"/>
      </rPr>
      <t>Google Workspace Admin Help: Set Drive users' sharing permissions</t>
    </r>
    <r>
      <rPr>
        <sz val="11"/>
        <color rgb="FF000000"/>
        <rFont val="Calibri"/>
      </rPr>
      <t xml:space="preserve">
</t>
    </r>
    <r>
      <rPr>
        <sz val="11"/>
        <color rgb="FF0000FF"/>
        <rFont val="Calibri"/>
      </rPr>
      <t>https://support.google.com/a/answer/60781?hl=en</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</si>
  <si>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GWS.DRIVEDOCS.2.2v0.6</t>
  </si>
  <si>
    <r>
      <rPr>
        <sz val="11"/>
        <color rgb="FF000000"/>
        <rFont val="Calibri"/>
      </rPr>
      <t>Agencies SHALL allow users who are not shared Google Drive members to be added to files.</t>
    </r>
  </si>
  <si>
    <r>
      <rPr>
        <sz val="11"/>
        <color rgb="FF000000"/>
        <rFont val="Calibri"/>
      </rPr>
      <t>To configure the settings for Shared drive creation: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Sharing settings -&gt; Shared drive creation</t>
    </r>
    <r>
      <rPr>
        <sz val="11"/>
        <color rgb="FF000000"/>
        <rFont val="Calibri"/>
      </rPr>
      <t>.</t>
    </r>
    <r>
      <rPr>
        <sz val="11"/>
        <color rgb="FF000000"/>
        <rFont val="Calibri"/>
      </rPr>
      <t xml:space="preserve">
</t>
    </r>
    <r>
      <rPr>
        <sz val="11"/>
        <color rgb="FF000000"/>
        <rFont val="Calibri"/>
      </rPr>
      <t>4. Follow the implementation for each individual policy.</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Check the </t>
    </r>
    <r>
      <rPr>
        <b/>
        <sz val="11"/>
        <color rgb="FF000000"/>
        <rFont val="Calibri"/>
      </rPr>
      <t>Allow people who aren't shared drive members to be added to files</t>
    </r>
    <r>
      <rPr>
        <sz val="11"/>
        <color rgb="FF000000"/>
        <rFont val="Calibri"/>
      </rPr>
      <t xml:space="preserve"> checkbox.</t>
    </r>
  </si>
  <si>
    <r>
      <rPr>
        <sz val="11"/>
        <color rgb="FF000000"/>
        <rFont val="Calibri"/>
      </rPr>
      <t>Prohibiting non-members from being added to a file necessitates their addition as Google Drive members, potentially exposing all Google Drive files and increasing the risk of sensitive content exposure. Disallowing the sharing of these individual files reduces the risk of internal documents from being distributed outside the organization without explicit consent and approval.</t>
    </r>
  </si>
  <si>
    <t>Security Updates for Files</t>
  </si>
  <si>
    <t>GWS.DRIVEDOCS.3.1v0.6</t>
  </si>
  <si>
    <r>
      <rPr>
        <sz val="11"/>
        <color rgb="FF000000"/>
        <rFont val="Calibri"/>
      </rPr>
      <t>Agencies SHALL enable the security update for Google Drive files.</t>
    </r>
  </si>
  <si>
    <r>
      <rPr>
        <sz val="11"/>
        <color rgb="FF000000"/>
        <rFont val="Calibri"/>
      </rPr>
      <t>To configure the settings for Security update for files: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Drive and Docs.</t>
    </r>
    <r>
      <rPr>
        <sz val="11"/>
        <color rgb="FF000000"/>
        <rFont val="Calibri"/>
      </rPr>
      <t xml:space="preserve">
</t>
    </r>
    <r>
      <rPr>
        <sz val="11"/>
        <color rgb="FF000000"/>
        <rFont val="Calibri"/>
      </rPr>
      <t xml:space="preserve">3. Select </t>
    </r>
    <r>
      <rPr>
        <b/>
        <sz val="11"/>
        <color rgb="FF000000"/>
        <rFont val="Calibri"/>
      </rPr>
      <t>Sharing settings -&gt; Security update for files.</t>
    </r>
    <r>
      <rPr>
        <sz val="11"/>
        <color rgb="FF000000"/>
        <rFont val="Calibri"/>
      </rPr>
      <t xml:space="preserve">
</t>
    </r>
    <r>
      <rPr>
        <sz val="11"/>
        <color rgb="FF000000"/>
        <rFont val="Calibri"/>
      </rPr>
      <t xml:space="preserve">4. Select </t>
    </r>
    <r>
      <rPr>
        <b/>
        <sz val="11"/>
        <color rgb="FF000000"/>
        <rFont val="Calibri"/>
      </rPr>
      <t>Apply security update to all impacted files.</t>
    </r>
    <r>
      <rPr>
        <sz val="11"/>
        <color rgb="FF000000"/>
        <rFont val="Calibri"/>
      </rPr>
      <t xml:space="preserve">
</t>
    </r>
    <r>
      <rPr>
        <sz val="11"/>
        <color rgb="FF000000"/>
        <rFont val="Calibri"/>
      </rPr>
      <t xml:space="preserve">5. Uncheck the </t>
    </r>
    <r>
      <rPr>
        <b/>
        <sz val="11"/>
        <color rgb="FF000000"/>
        <rFont val="Calibri"/>
      </rPr>
      <t>Allow users to remove/apply the security update for files they own or manage</t>
    </r>
    <r>
      <rPr>
        <sz val="11"/>
        <color rgb="FF000000"/>
        <rFont val="Calibri"/>
      </rPr>
      <t xml:space="preserve"> checkbox.</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</si>
  <si>
    <r>
      <rPr>
        <sz val="11"/>
        <color rgb="FF000000"/>
        <rFont val="Calibri"/>
      </rPr>
      <t>Failure to enable the resource key security update may result in unauthorized access to files. Enabling this update reduces the risk of unauthorized access and potential data spillage by enhancing control for files in Google Drive.</t>
    </r>
  </si>
  <si>
    <r>
      <rPr>
        <sz val="11"/>
        <color rgb="FF000000"/>
        <rFont val="Calibri"/>
      </rPr>
      <t>This section covers whether a security update issued by Google will be applied to make file links more secure. When sharing files using a link, users must not remove the resource key parameter, as doing so may result in unexpected file access requests.</t>
    </r>
  </si>
  <si>
    <r>
      <rPr>
        <b/>
        <sz val="11"/>
        <color rgb="FF000000"/>
        <rFont val="Calibri"/>
      </rPr>
      <t>Google Workspace Admin Help: Manage the link-sharing security update for files</t>
    </r>
    <r>
      <rPr>
        <sz val="11"/>
        <color rgb="FF000000"/>
        <rFont val="Calibri"/>
      </rPr>
      <t xml:space="preserve">
</t>
    </r>
    <r>
      <rPr>
        <sz val="11"/>
        <color rgb="FF0000FF"/>
        <rFont val="Calibri"/>
      </rPr>
      <t>https://support.google.com/a/answer/10685032?hl=en-EN&amp;fl=1&amp;sjid=14749870194899350730-NA</t>
    </r>
  </si>
  <si>
    <t>Drive SDK</t>
  </si>
  <si>
    <t>GWS.DRIVEDOCS.4.1v0.6</t>
  </si>
  <si>
    <r>
      <rPr>
        <sz val="11"/>
        <color rgb="FF000000"/>
        <rFont val="Calibri"/>
      </rPr>
      <t>Agencies SHOULD disable Google Drive SDK access.</t>
    </r>
  </si>
  <si>
    <r>
      <rPr>
        <sz val="11"/>
        <color rgb="FF000000"/>
        <rFont val="Calibri"/>
      </rPr>
      <t>To configure the settings for Drive SDK:</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Drive and Docs.</t>
    </r>
    <r>
      <rPr>
        <sz val="11"/>
        <color rgb="FF000000"/>
        <rFont val="Calibri"/>
      </rPr>
      <t xml:space="preserve">
</t>
    </r>
    <r>
      <rPr>
        <sz val="11"/>
        <color rgb="FF000000"/>
        <rFont val="Calibri"/>
      </rPr>
      <t xml:space="preserve">3. Select </t>
    </r>
    <r>
      <rPr>
        <b/>
        <sz val="11"/>
        <color rgb="FF000000"/>
        <rFont val="Calibri"/>
      </rPr>
      <t>Features and Applications -&gt; Drive SDK.</t>
    </r>
    <r>
      <rPr>
        <sz val="11"/>
        <color rgb="FF000000"/>
        <rFont val="Calibri"/>
      </rPr>
      <t xml:space="preserve">
</t>
    </r>
    <r>
      <rPr>
        <sz val="11"/>
        <color rgb="FF000000"/>
        <rFont val="Calibri"/>
      </rPr>
      <t xml:space="preserve">4. Uncheck the </t>
    </r>
    <r>
      <rPr>
        <b/>
        <sz val="11"/>
        <color rgb="FF000000"/>
        <rFont val="Calibri"/>
      </rPr>
      <t>Allow users to access Google Drive with the Drive SDK API</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</si>
  <si>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The Google Drive SDK allows third-party applications to access Google Drive data, potentially leading to unintentional information sharing and data leakage. By disabling the Google Drive SDK agencies can decrease the risk of internal documents from being distributed externally without explicit consent and approval.</t>
    </r>
  </si>
  <si>
    <r>
      <rPr>
        <sz val="11"/>
        <color rgb="FF000000"/>
        <rFont val="Calibri"/>
      </rPr>
      <t>This section covers whether users have access to Google Drive with the Drive SDK API, which allows third party applications to work on the files that are stored in Google Drive. The Drive SDK API is used by developers to access Google Drive through third party applications that they have created.</t>
    </r>
  </si>
  <si>
    <r>
      <rPr>
        <b/>
        <sz val="11"/>
        <color rgb="FF000000"/>
        <rFont val="Calibri"/>
      </rPr>
      <t>Google Drive for Developers</t>
    </r>
    <r>
      <rPr>
        <sz val="11"/>
        <color rgb="FF000000"/>
        <rFont val="Calibri"/>
      </rPr>
      <t xml:space="preserve">
</t>
    </r>
    <r>
      <rPr>
        <sz val="11"/>
        <color rgb="FF0000FF"/>
        <rFont val="Calibri"/>
      </rPr>
      <t>https://developers.google.com/drive/</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</si>
  <si>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User Installation of Drive and Docs Add-Ons</t>
  </si>
  <si>
    <t>GWS.DRIVEDOCS.5.1v0.6</t>
  </si>
  <si>
    <r>
      <rPr>
        <sz val="11"/>
        <color rgb="FF000000"/>
        <rFont val="Calibri"/>
      </rPr>
      <t>Agencies SHALL disable Google Drive Add-Ons.</t>
    </r>
  </si>
  <si>
    <r>
      <rPr>
        <sz val="11"/>
        <color rgb="FF000000"/>
        <rFont val="Calibri"/>
      </rPr>
      <t>To configure the settings for add-ons: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 -&gt; Google Workspace -&gt; Drive and Docs.</t>
    </r>
    <r>
      <rPr>
        <sz val="11"/>
        <color rgb="FF000000"/>
        <rFont val="Calibri"/>
      </rPr>
      <t xml:space="preserve">
</t>
    </r>
    <r>
      <rPr>
        <sz val="11"/>
        <color rgb="FF000000"/>
        <rFont val="Calibri"/>
      </rPr>
      <t xml:space="preserve">3. Select </t>
    </r>
    <r>
      <rPr>
        <b/>
        <sz val="11"/>
        <color rgb="FF000000"/>
        <rFont val="Calibri"/>
      </rPr>
      <t>Features and Applications -&gt; Add-Ons.</t>
    </r>
    <r>
      <rPr>
        <sz val="11"/>
        <color rgb="FF000000"/>
        <rFont val="Calibri"/>
      </rPr>
      <t xml:space="preserve">
</t>
    </r>
    <r>
      <rPr>
        <sz val="11"/>
        <color rgb="FF000000"/>
        <rFont val="Calibri"/>
      </rPr>
      <t xml:space="preserve">4. Uncheck the </t>
    </r>
    <r>
      <rPr>
        <b/>
        <sz val="11"/>
        <color rgb="FF000000"/>
        <rFont val="Calibri"/>
      </rPr>
      <t>Allow users to install Google Docs add-ons from add-ons stor</t>
    </r>
    <r>
      <rPr>
        <sz val="11"/>
        <color rgb="FF000000"/>
        <rFont val="Calibri"/>
      </rPr>
      <t>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</si>
  <si>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Google Docs Add-Ons based on their granted permissions, may pose security risks, such as the potential exposure of sensitive content. Disabling unapproved add-ons and restricting their sharing can reduce the risk of data leakage.</t>
    </r>
  </si>
  <si>
    <r>
      <rPr>
        <sz val="11"/>
        <color rgb="FF000000"/>
        <rFont val="Calibri"/>
      </rPr>
      <t>This section covers whether users can use add-ons in file editors within Google Drive, such as Docs, Sheets, Slides, and Forms. These add-ons include those available through Google Workspace Marketplace that have been built by other developers.</t>
    </r>
  </si>
  <si>
    <r>
      <rPr>
        <b/>
        <sz val="11"/>
        <color rgb="FF000000"/>
        <rFont val="Calibri"/>
      </rPr>
      <t>Google Workspace Admin Help: Allow or restrict add-ons in Docs editors</t>
    </r>
    <r>
      <rPr>
        <sz val="11"/>
        <color rgb="FF000000"/>
        <rFont val="Calibri"/>
      </rPr>
      <t xml:space="preserve">
</t>
    </r>
    <r>
      <rPr>
        <sz val="11"/>
        <color rgb="FF0000FF"/>
        <rFont val="Calibri"/>
      </rPr>
      <t>https://support.google.com/a/answer/4530135?product_name=UnuFlow&amp;visit_id=637843582622955886-2417503403&amp;rd=1&amp;src=supportwidget0</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</si>
  <si>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t>Drive for Desktop</t>
  </si>
  <si>
    <t>GWS.DRIVEDOCS.6.1v0.6</t>
  </si>
  <si>
    <r>
      <rPr>
        <sz val="11"/>
        <color rgb="FF000000"/>
        <rFont val="Calibri"/>
      </rPr>
      <t>Google Drive for Desktop SHALL be enabled only for authorized devices.</t>
    </r>
  </si>
  <si>
    <r>
      <rPr>
        <sz val="11"/>
        <color rgb="FF000000"/>
        <rFont val="Calibri"/>
      </rPr>
      <t>Some users may attempt to use Google Drive for Desktop to connect unapproved devices (e.g., a personal computer), to the agency's Google Drive. Even if unintentional, this poses a security risk as the agency lacks the ability to audit or secure these computers. Implementing this policy helps reduce these risks.</t>
    </r>
  </si>
  <si>
    <r>
      <rPr>
        <sz val="11"/>
        <color rgb="FF000000"/>
        <rFont val="Calibri"/>
      </rPr>
      <t>This section addresses Drive for Desktop, a feature that enables users to interact with their Drive files directly through their desktop's file explorer or finder, rather than through the browser.</t>
    </r>
  </si>
  <si>
    <r>
      <rPr>
        <b/>
        <sz val="11"/>
        <color rgb="FF000000"/>
        <rFont val="Calibri"/>
      </rPr>
      <t>Use Google Drive for desktop - Google Drive Help</t>
    </r>
    <r>
      <rPr>
        <sz val="11"/>
        <color rgb="FF000000"/>
        <rFont val="Calibri"/>
      </rPr>
      <t xml:space="preserve">
</t>
    </r>
    <r>
      <rPr>
        <sz val="11"/>
        <color rgb="FF0000FF"/>
        <rFont val="Calibri"/>
      </rPr>
      <t>https://support.google.com/drive/answer/10838124?sjid=7721208110884477761-NA&amp;visit_id=638192503824884459-786860809&amp;rd=1</t>
    </r>
    <r>
      <rPr>
        <sz val="11"/>
        <color rgb="FF000000"/>
        <rFont val="Calibri"/>
      </rPr>
      <t xml:space="preserve">
</t>
    </r>
    <r>
      <rPr>
        <b/>
        <sz val="11"/>
        <color rgb="FF000000"/>
        <rFont val="Calibri"/>
      </rPr>
      <t>CIS Google Workspace Foundations Benchmark</t>
    </r>
    <r>
      <rPr>
        <sz val="11"/>
        <color rgb="FF000000"/>
        <rFont val="Calibri"/>
      </rPr>
      <t xml:space="preserve">
</t>
    </r>
    <r>
      <rPr>
        <sz val="11"/>
        <color rgb="FF0000FF"/>
        <rFont val="Calibri"/>
      </rPr>
      <t>https://www.cisecurity.org/benchmark/google_workspace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</si>
  <si>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</si>
  <si>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</si>
  <si>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</si>
  <si>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</si>
  <si>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</si>
  <si>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</si>
  <si>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</si>
  <si>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</si>
  <si>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</si>
  <si>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</si>
  <si>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</si>
  <si>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</si>
  <si>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</si>
  <si>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</si>
  <si>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</si>
  <si>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</si>
  <si>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</si>
  <si>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</si>
  <si>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</si>
  <si>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</si>
  <si>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</si>
  <si>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</si>
  <si>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</si>
  <si>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</si>
  <si>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</si>
  <si>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</si>
  <si>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</si>
  <si>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</si>
  <si>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</si>
  <si>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Google Drive and Docs</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</si>
  <si>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</si>
  <si>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</si>
  <si>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</si>
  <si>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17</t>
    </r>
  </si>
  <si>
    <t>Development Url:</t>
  </si>
  <si>
    <t>https://github.com/cisagov/ScubaGoggles/blob/v0.6.0/scubagoggles/baselines/drive.md</t>
  </si>
  <si>
    <t>Guide Overview:</t>
  </si>
  <si>
    <t>Assumptions</t>
  </si>
  <si>
    <r>
      <rPr>
        <sz val="11"/>
        <color rgb="FF000000"/>
        <rFont val="Calibri"/>
      </rPr>
      <t>This document assumes the organization is using GWS Enterprise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</si>
  <si>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</si>
  <si>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</si>
  <si>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</si>
  <si>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</si>
  <si>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</si>
  <si>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</si>
  <si>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</si>
  <si>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</si>
  <si>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</si>
  <si>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</si>
  <si>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</si>
  <si>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</si>
  <si>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</si>
  <si>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</si>
  <si>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</si>
  <si>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</si>
  <si>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</si>
  <si>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</si>
  <si>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</si>
  <si>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Google Drive and Docs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</si>
  <si>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</si>
  <si>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</si>
  <si>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</si>
  <si>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</si>
  <si>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</si>
  <si>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</si>
  <si>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</si>
  <si>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</si>
  <si>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</si>
  <si>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</si>
  <si>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</si>
  <si>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</si>
  <si>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</si>
  <si>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</si>
  <si>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</si>
  <si>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</si>
  <si>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</si>
  <si>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</si>
  <si>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</si>
  <si>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</si>
  <si>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</si>
  <si>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</si>
  <si>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</si>
  <si>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</si>
  <si>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</si>
  <si>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</si>
  <si>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</si>
  <si>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</si>
  <si>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</si>
  <si>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</si>
  <si>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</si>
  <si>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</si>
  <si>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</si>
  <si>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</si>
  <si>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</si>
  <si>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</si>
  <si>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</si>
  <si>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</si>
  <si>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</si>
  <si>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</si>
  <si>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</si>
  <si>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</si>
  <si>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</si>
  <si>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</si>
  <si>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</si>
  <si>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</si>
  <si>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</si>
  <si>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</si>
  <si>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</si>
  <si>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</si>
  <si>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</si>
  <si>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</si>
  <si>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</si>
  <si>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</si>
  <si>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</si>
  <si>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</si>
  <si>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</si>
  <si>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</si>
  <si>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</si>
  <si>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</si>
  <si>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</si>
  <si>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</si>
  <si>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</si>
  <si>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</si>
  <si>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</si>
  <si>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</si>
  <si>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</si>
  <si>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</si>
  <si>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</si>
  <si>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</si>
  <si>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</si>
  <si>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</si>
  <si>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</si>
  <si>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</si>
  <si>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</si>
  <si>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</si>
  <si>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</si>
  <si>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</si>
  <si>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</si>
  <si>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</si>
  <si>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</si>
  <si>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</si>
  <si>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</si>
  <si>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</si>
  <si>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</si>
  <si>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</si>
  <si>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</si>
  <si>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</si>
  <si>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</si>
  <si>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</si>
  <si>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</si>
  <si>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</si>
  <si>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</si>
  <si>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</si>
  <si>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</si>
  <si>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</si>
  <si>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</si>
  <si>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</si>
  <si>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</si>
  <si>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</si>
  <si>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</si>
  <si>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</si>
  <si>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</si>
  <si>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</si>
  <si>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</si>
  <si>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</si>
  <si>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</si>
  <si>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</si>
  <si>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</si>
  <si>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</si>
  <si>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</si>
  <si>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</si>
  <si>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</si>
  <si>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</si>
  <si>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</si>
  <si>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</si>
  <si>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</si>
  <si>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</si>
  <si>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</si>
  <si>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</si>
  <si>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</si>
  <si>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</si>
  <si>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</si>
  <si>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</si>
  <si>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</si>
  <si>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</si>
  <si>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</si>
  <si>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</si>
  <si>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</si>
  <si>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</si>
  <si>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</si>
  <si>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</si>
  <si>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</si>
  <si>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</si>
  <si>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</si>
  <si>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</si>
  <si>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</si>
  <si>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</si>
  <si>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</si>
  <si>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</si>
  <si>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</si>
  <si>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</si>
  <si>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</si>
  <si>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</si>
  <si>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</si>
  <si>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</si>
  <si>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</si>
  <si>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</si>
  <si>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</si>
  <si>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</si>
  <si>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</si>
  <si>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</si>
  <si>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</si>
  <si>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r>
      <rPr>
        <sz val="11"/>
        <color rgb="FF000000"/>
        <rFont val="Calibri"/>
      </rPr>
      <t xml:space="preserve">Google Drive and Docs are collaboration tools in Google Workspace that support document management and storage, access, and sharing of files. Drive and Docs allow administrators to control and manage their files and documents. This Secure Configuration Baseline (SCB) provides specific policies to strengthen Drive and Docs security.
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
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
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
This baseline is based on Google documentation available at Google Workspace Admin Help: Overview: Manage Drive for an organization </t>
    </r>
    <r>
      <rPr>
        <sz val="11"/>
        <color rgb="FF0000FF"/>
        <rFont val="Calibri"/>
      </rPr>
      <t>(https://support.google.com/a/answer/2490026?hl=en)</t>
    </r>
    <r>
      <rPr>
        <sz val="11"/>
        <color rgb="FF000000"/>
        <rFont val="Calibri"/>
      </rPr>
      <t xml:space="preserve"> and addresses the following:
- Sharing Outside the Organization </t>
    </r>
    <r>
      <rPr>
        <sz val="11"/>
        <color rgb="FF0000FF"/>
        <rFont val="Calibri"/>
      </rPr>
      <t>(#1-sharing-outside-the-organization)</t>
    </r>
    <r>
      <rPr>
        <sz val="11"/>
        <color rgb="FF000000"/>
        <rFont val="Calibri"/>
      </rPr>
      <t xml:space="preserve">
- Shared Drive Creation </t>
    </r>
    <r>
      <rPr>
        <sz val="11"/>
        <color rgb="FF0000FF"/>
        <rFont val="Calibri"/>
      </rPr>
      <t>(#2-shared-drive-creation)</t>
    </r>
    <r>
      <rPr>
        <sz val="11"/>
        <color rgb="FF000000"/>
        <rFont val="Calibri"/>
      </rPr>
      <t xml:space="preserve">
- Security Updates for Files </t>
    </r>
    <r>
      <rPr>
        <sz val="11"/>
        <color rgb="FF0000FF"/>
        <rFont val="Calibri"/>
      </rPr>
      <t>(#3-security-updates-for-files)</t>
    </r>
    <r>
      <rPr>
        <sz val="11"/>
        <color rgb="FF000000"/>
        <rFont val="Calibri"/>
      </rPr>
      <t xml:space="preserve">
- Drive SDK </t>
    </r>
    <r>
      <rPr>
        <sz val="11"/>
        <color rgb="FF0000FF"/>
        <rFont val="Calibri"/>
      </rPr>
      <t>(#4-drive-sdk)</t>
    </r>
    <r>
      <rPr>
        <sz val="11"/>
        <color rgb="FF000000"/>
        <rFont val="Calibri"/>
      </rPr>
      <t xml:space="preserve">
- User Installation of Drive and Docs Add-Ons </t>
    </r>
    <r>
      <rPr>
        <sz val="11"/>
        <color rgb="FF0000FF"/>
        <rFont val="Calibri"/>
      </rPr>
      <t>(#5-user-installation-of-drive-and-docs-add-ons)</t>
    </r>
    <r>
      <rPr>
        <sz val="11"/>
        <color rgb="FF000000"/>
        <rFont val="Calibri"/>
      </rPr>
      <t xml:space="preserve">
- Drive for Desktop </t>
    </r>
    <r>
      <rPr>
        <sz val="11"/>
        <color rgb="FF0000FF"/>
        <rFont val="Calibri"/>
      </rPr>
      <t>(#6-drive-for-desktop)</t>
    </r>
    <r>
      <rPr>
        <sz val="11"/>
        <color rgb="FF000000"/>
        <rFont val="Calibri"/>
      </rPr>
      <t xml:space="preserve">
Settings can be assigned to certain users within Google Workspace through organizational units, configuration groups, or individually. Before changing a setting, the user can select the organizational unit, configuration group, or individual users to which they want to apply changes.</t>
    </r>
  </si>
  <si>
    <r>
      <rPr>
        <sz val="11"/>
        <color rgb="FF000000"/>
        <rFont val="Calibri"/>
      </rPr>
      <t xml:space="preserve">To configure the settings for Sharing options:
---
1. Sign in to the Google Admin Console </t>
    </r>
    <r>
      <rPr>
        <sz val="11"/>
        <color rgb="FF0000FF"/>
        <rFont val="Calibri"/>
      </rPr>
      <t>(https://admin.google.com)</t>
    </r>
    <r>
      <rPr>
        <sz val="11"/>
        <color rgb="FF000000"/>
        <rFont val="Calibri"/>
      </rPr>
      <t xml:space="preserve">.
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 xml:space="preserve">.
3. Follow implementation for each individual policy
4. Select </t>
    </r>
    <r>
      <rPr>
        <b/>
        <sz val="11"/>
        <color rgb="FF000000"/>
        <rFont val="Calibri"/>
      </rPr>
      <t>Save</t>
    </r>
    <r>
      <rPr>
        <sz val="11"/>
        <color rgb="FF000000"/>
        <rFont val="Calibri"/>
      </rPr>
      <t xml:space="preserve">
---
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 xml:space="preserve">.
2. Deselect </t>
    </r>
    <r>
      <rPr>
        <b/>
        <sz val="11"/>
        <color rgb="FF000000"/>
        <rFont val="Calibri"/>
      </rPr>
      <t>Allow users to receive files from users or shared drives outside of allowlisted domains</t>
    </r>
    <r>
      <rPr>
        <sz val="11"/>
        <color rgb="FF000000"/>
        <rFont val="Calibri"/>
      </rPr>
      <t>.</t>
    </r>
  </si>
  <si>
    <r>
      <rPr>
        <sz val="11"/>
        <color rgb="FF000000"/>
        <rFont val="Calibri"/>
      </rPr>
      <t xml:space="preserve">To configure the settings for Sharing options:
---
1. Sign in to the Google Admin Console </t>
    </r>
    <r>
      <rPr>
        <sz val="11"/>
        <color rgb="FF0000FF"/>
        <rFont val="Calibri"/>
      </rPr>
      <t>(https://admin.google.com)</t>
    </r>
    <r>
      <rPr>
        <sz val="11"/>
        <color rgb="FF000000"/>
        <rFont val="Calibri"/>
      </rPr>
      <t xml:space="preserve">.
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 xml:space="preserve">.
3. Follow implementation for each individual policy
4. Select </t>
    </r>
    <r>
      <rPr>
        <b/>
        <sz val="11"/>
        <color rgb="FF000000"/>
        <rFont val="Calibri"/>
      </rPr>
      <t>Save</t>
    </r>
    <r>
      <rPr>
        <sz val="11"/>
        <color rgb="FF000000"/>
        <rFont val="Calibri"/>
      </rPr>
      <t xml:space="preserve">
---
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 xml:space="preserve">.
2. Select </t>
    </r>
    <r>
      <rPr>
        <b/>
        <sz val="11"/>
        <color rgb="FF000000"/>
        <rFont val="Calibri"/>
      </rPr>
      <t>Access Checker</t>
    </r>
    <r>
      <rPr>
        <sz val="11"/>
        <color rgb="FF000000"/>
        <rFont val="Calibri"/>
      </rPr>
      <t xml:space="preserve"> -&gt; </t>
    </r>
    <r>
      <rPr>
        <b/>
        <sz val="11"/>
        <color rgb="FF000000"/>
        <rFont val="Calibri"/>
      </rPr>
      <t>Recipients only.</t>
    </r>
  </si>
  <si>
    <r>
      <rPr>
        <sz val="11"/>
        <color rgb="FF000000"/>
        <rFont val="Calibri"/>
      </rPr>
      <t xml:space="preserve">To configure the settings for Sharing options:
---
1. Sign in to the Google Admin Console </t>
    </r>
    <r>
      <rPr>
        <sz val="11"/>
        <color rgb="FF0000FF"/>
        <rFont val="Calibri"/>
      </rPr>
      <t>(https://admin.google.com)</t>
    </r>
    <r>
      <rPr>
        <sz val="11"/>
        <color rgb="FF000000"/>
        <rFont val="Calibri"/>
      </rPr>
      <t xml:space="preserve">.
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Drive and Docs</t>
    </r>
    <r>
      <rPr>
        <sz val="11"/>
        <color rgb="FF000000"/>
        <rFont val="Calibri"/>
      </rPr>
      <t xml:space="preserve">.
3. Follow implementation for each individual policy
4. Select </t>
    </r>
    <r>
      <rPr>
        <b/>
        <sz val="11"/>
        <color rgb="FF000000"/>
        <rFont val="Calibri"/>
      </rPr>
      <t>Save</t>
    </r>
    <r>
      <rPr>
        <sz val="11"/>
        <color rgb="FF000000"/>
        <rFont val="Calibri"/>
      </rPr>
      <t xml:space="preserve">
---
1. Select </t>
    </r>
    <r>
      <rPr>
        <b/>
        <sz val="11"/>
        <color rgb="FF000000"/>
        <rFont val="Calibri"/>
      </rPr>
      <t>Sharing settings</t>
    </r>
    <r>
      <rPr>
        <sz val="11"/>
        <color rgb="FF000000"/>
        <rFont val="Calibri"/>
      </rPr>
      <t xml:space="preserve"> -&gt; </t>
    </r>
    <r>
      <rPr>
        <b/>
        <sz val="11"/>
        <color rgb="FF000000"/>
        <rFont val="Calibri"/>
      </rPr>
      <t>Sharing options</t>
    </r>
    <r>
      <rPr>
        <sz val="11"/>
        <color rgb="FF000000"/>
        <rFont val="Calibri"/>
      </rPr>
      <t xml:space="preserve">.
2. Select </t>
    </r>
    <r>
      <rPr>
        <b/>
        <sz val="11"/>
        <color rgb="FF000000"/>
        <rFont val="Calibri"/>
      </rPr>
      <t>Sharing outside of your domain</t>
    </r>
    <r>
      <rPr>
        <sz val="11"/>
        <color rgb="FF000000"/>
        <rFont val="Calibri"/>
      </rPr>
      <t xml:space="preserve"> -&gt; </t>
    </r>
    <r>
      <rPr>
        <b/>
        <sz val="11"/>
        <color rgb="FF000000"/>
        <rFont val="Calibri"/>
      </rPr>
      <t>OFF – Files owned by users in your domain cannot be shared outside of your domain</t>
    </r>
  </si>
  <si>
    <r>
      <rPr>
        <sz val="11"/>
        <color rgb="FF000000"/>
        <rFont val="Calibri"/>
      </rPr>
      <t xml:space="preserve">To Disable Google Drive for Desktop:
1. Sign in to the Google Admin console </t>
    </r>
    <r>
      <rPr>
        <sz val="11"/>
        <color rgb="FF0000FF"/>
        <rFont val="Calibri"/>
      </rPr>
      <t>(https://admin.google.com)</t>
    </r>
    <r>
      <rPr>
        <sz val="11"/>
        <color rgb="FF000000"/>
        <rFont val="Calibri"/>
      </rPr>
      <t xml:space="preserve">.
2. Select </t>
    </r>
    <r>
      <rPr>
        <b/>
        <sz val="11"/>
        <color rgb="FF000000"/>
        <rFont val="Calibri"/>
      </rPr>
      <t>Menu-&gt;Apps-&gt;Google Workspace-&gt;Drive and Docs</t>
    </r>
    <r>
      <rPr>
        <sz val="11"/>
        <color rgb="FF000000"/>
        <rFont val="Calibri"/>
      </rPr>
      <t xml:space="preserve">.
3. Select </t>
    </r>
    <r>
      <rPr>
        <b/>
        <sz val="11"/>
        <color rgb="FF000000"/>
        <rFont val="Calibri"/>
      </rPr>
      <t>Google Drive for Desktop</t>
    </r>
    <r>
      <rPr>
        <sz val="11"/>
        <color rgb="FF000000"/>
        <rFont val="Calibri"/>
      </rPr>
      <t xml:space="preserve">.
4. Select </t>
    </r>
    <r>
      <rPr>
        <b/>
        <sz val="11"/>
        <color rgb="FF000000"/>
        <rFont val="Calibri"/>
      </rPr>
      <t>Enable Drive for Desktop</t>
    </r>
    <r>
      <rPr>
        <sz val="11"/>
        <color rgb="FF000000"/>
        <rFont val="Calibri"/>
      </rPr>
      <t xml:space="preserve">.
5. Uncheck the </t>
    </r>
    <r>
      <rPr>
        <b/>
        <sz val="11"/>
        <color rgb="FF000000"/>
        <rFont val="Calibri"/>
      </rPr>
      <t>Allow Google Drive for desktop in your organization</t>
    </r>
    <r>
      <rPr>
        <sz val="11"/>
        <color rgb="FF000000"/>
        <rFont val="Calibri"/>
      </rPr>
      <t xml:space="preserve"> checkbox.
6. Select </t>
    </r>
    <r>
      <rPr>
        <b/>
        <sz val="11"/>
        <color rgb="FF000000"/>
        <rFont val="Calibri"/>
      </rPr>
      <t>Save</t>
    </r>
    <r>
      <rPr>
        <sz val="11"/>
        <color rgb="FF000000"/>
        <rFont val="Calibri"/>
      </rPr>
      <t xml:space="preserve">.
To limit Google Drive for Desktop to authorized devices:
1. Sign in to the Google Admin console </t>
    </r>
    <r>
      <rPr>
        <sz val="11"/>
        <color rgb="FF0000FF"/>
        <rFont val="Calibri"/>
      </rPr>
      <t>(https://admin.google.com)</t>
    </r>
    <r>
      <rPr>
        <sz val="11"/>
        <color rgb="FF000000"/>
        <rFont val="Calibri"/>
      </rPr>
      <t xml:space="preserve">.
2. Select </t>
    </r>
    <r>
      <rPr>
        <b/>
        <sz val="11"/>
        <color rgb="FF000000"/>
        <rFont val="Calibri"/>
      </rPr>
      <t>Menu-&gt;Apps-&gt;Google Workspace-&gt;Drive and Docs</t>
    </r>
    <r>
      <rPr>
        <sz val="11"/>
        <color rgb="FF000000"/>
        <rFont val="Calibri"/>
      </rPr>
      <t xml:space="preserve">.
3. Select </t>
    </r>
    <r>
      <rPr>
        <b/>
        <sz val="11"/>
        <color rgb="FF000000"/>
        <rFont val="Calibri"/>
      </rPr>
      <t>Google Drive for Desktop</t>
    </r>
    <r>
      <rPr>
        <sz val="11"/>
        <color rgb="FF000000"/>
        <rFont val="Calibri"/>
      </rPr>
      <t xml:space="preserve">.
4. Select </t>
    </r>
    <r>
      <rPr>
        <b/>
        <sz val="11"/>
        <color rgb="FF000000"/>
        <rFont val="Calibri"/>
      </rPr>
      <t>Enable Drive for Desktop</t>
    </r>
    <r>
      <rPr>
        <sz val="11"/>
        <color rgb="FF000000"/>
        <rFont val="Calibri"/>
      </rPr>
      <t xml:space="preserve">.
5. Check the </t>
    </r>
    <r>
      <rPr>
        <b/>
        <sz val="11"/>
        <color rgb="FF000000"/>
        <rFont val="Calibri"/>
      </rPr>
      <t>Allow Google Drive for desktop in your organization</t>
    </r>
    <r>
      <rPr>
        <sz val="11"/>
        <color rgb="FF000000"/>
        <rFont val="Calibri"/>
      </rPr>
      <t xml:space="preserve"> checkbox.
6. Check the </t>
    </r>
    <r>
      <rPr>
        <b/>
        <sz val="11"/>
        <color rgb="FF000000"/>
        <rFont val="Calibri"/>
      </rPr>
      <t>Only allow Google Drive for desktop on authorized devices checkbox</t>
    </r>
    <r>
      <rPr>
        <sz val="11"/>
        <color rgb="FF000000"/>
        <rFont val="Calibri"/>
      </rPr>
      <t xml:space="preserve">.
7. Ensure authorized devices are added to company-owned inventory </t>
    </r>
    <r>
      <rPr>
        <sz val="11"/>
        <color rgb="FF0000FF"/>
        <rFont val="Calibri"/>
      </rPr>
      <t>(https://support.google.com/a/answer/7129612?hl=en)</t>
    </r>
    <r>
      <rPr>
        <sz val="11"/>
        <color rgb="FF000000"/>
        <rFont val="Calibri"/>
      </rPr>
      <t xml:space="preserve">.
8. Select Save.
Alternatively, Context-Aware access policies </t>
    </r>
    <r>
      <rPr>
        <sz val="11"/>
        <color rgb="FF0000FF"/>
        <rFont val="Calibri"/>
      </rPr>
      <t>(https://support.google.com/a/answer/9275380?hl=en)</t>
    </r>
    <r>
      <rPr>
        <sz val="11"/>
        <color rgb="FF000000"/>
        <rFont val="Calibri"/>
      </rPr>
      <t xml:space="preserve"> can be configured for more granular controls around authorized devices. The access level applied to Google Drive must have the "Apply to Google desktop and mobile apps" enabled to meet this requirement. For additional guidance, see Context-Aware Access </t>
    </r>
    <r>
      <rPr>
        <sz val="11"/>
        <color rgb="FF0000FF"/>
        <rFont val="Calibri"/>
      </rPr>
      <t>(/scubagoggles/baselines/commoncontrols.md#2-context-aware-access)</t>
    </r>
    <r>
      <rPr>
        <sz val="11"/>
        <color rgb="FF00000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</si>
</sst>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2">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9" fillId="2" borderId="11" xfId="0" applyNumberFormat="1" applyFont="1" applyFill="1" applyBorder="1" applyAlignment="1" applyProtection="1">
      <alignment horizontal="center" vertical="center"/>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0" xfId="0" applyNumberFormat="1" applyFont="1" applyFill="1" applyProtection="1"/>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0" fontId="9" fillId="2"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3" fillId="3" borderId="0" xfId="0" applyNumberFormat="1" applyFont="1" applyFill="1" applyAlignment="1" applyProtection="1">
      <alignment horizontal="left" vertical="center"/>
    </xf>
    <xf numFmtId="0" fontId="1" fillId="4" borderId="11" xfId="0" applyNumberFormat="1" applyFont="1" applyFill="1" applyBorder="1" applyAlignment="1" applyProtection="1">
      <alignment horizontal="left" vertical="center"/>
    </xf>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xf numFmtId="0" fontId="21" fillId="4" borderId="12" xfId="0" applyNumberFormat="1" applyFont="1" applyFill="1" applyBorder="1" applyAlignment="1" applyProtection="1">
      <alignment vertical="center"/>
      <protection locked="0"/>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878-4ABF-9F7B-96F0A130A2F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878-4ABF-9F7B-96F0A130A2F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17</c:v>
                </c:pt>
              </c:numCache>
            </c:numRef>
          </c:val>
          <c:extLst>
            <c:ext xmlns:c16="http://schemas.microsoft.com/office/drawing/2014/chart" uri="{C3380CC4-5D6E-409C-BE32-E72D297353CC}">
              <c16:uniqueId val="{00000002-3878-4ABF-9F7B-96F0A130A2F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rPr lang="en-US"/>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SHOULD</c:v>
                </c:pt>
                <c:pt idx="2">
                  <c:v>SHOULD NOT</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B6AC-4226-A8E3-810E512229D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SHOULD</c:v>
                </c:pt>
                <c:pt idx="2">
                  <c:v>SHOULD NOT</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B6AC-4226-A8E3-810E512229D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SHOULD</c:v>
                </c:pt>
                <c:pt idx="2">
                  <c:v>SHOULD NOT</c:v>
                </c:pt>
              </c:strCache>
            </c:strRef>
          </c:cat>
          <c:val>
            <c:numRef>
              <c:f>Dashboard!$E$29:$E$31</c:f>
              <c:numCache>
                <c:formatCode>General</c:formatCode>
                <c:ptCount val="3"/>
                <c:pt idx="0">
                  <c:v>9</c:v>
                </c:pt>
                <c:pt idx="1">
                  <c:v>4</c:v>
                </c:pt>
                <c:pt idx="2">
                  <c:v>4</c:v>
                </c:pt>
              </c:numCache>
            </c:numRef>
          </c:val>
          <c:extLst>
            <c:ext xmlns:c16="http://schemas.microsoft.com/office/drawing/2014/chart" uri="{C3380CC4-5D6E-409C-BE32-E72D297353CC}">
              <c16:uniqueId val="{00000002-B6AC-4226-A8E3-810E512229D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rPr lang="en-US"/>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421-452B-996B-3450129E6E3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421-452B-996B-3450129E6E3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17</c:v>
                </c:pt>
              </c:numCache>
            </c:numRef>
          </c:val>
          <c:extLst>
            <c:ext xmlns:c16="http://schemas.microsoft.com/office/drawing/2014/chart" uri="{C3380CC4-5D6E-409C-BE32-E72D297353CC}">
              <c16:uniqueId val="{00000002-D421-452B-996B-3450129E6E3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C75-46DE-83D6-72DDDC80FB5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C75-46DE-83D6-72DDDC80FB5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17</c:v>
                </c:pt>
              </c:numCache>
            </c:numRef>
          </c:val>
          <c:extLst>
            <c:ext xmlns:c16="http://schemas.microsoft.com/office/drawing/2014/chart" uri="{C3380CC4-5D6E-409C-BE32-E72D297353CC}">
              <c16:uniqueId val="{00000002-5C75-46DE-83D6-72DDDC80FB5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rPr lang="en-US"/>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1B3-4E34-8473-188DB66E1CD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1B3-4E34-8473-188DB66E1CD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17</c:v>
                </c:pt>
              </c:numCache>
            </c:numRef>
          </c:val>
          <c:extLst>
            <c:ext xmlns:c16="http://schemas.microsoft.com/office/drawing/2014/chart" uri="{C3380CC4-5D6E-409C-BE32-E72D297353CC}">
              <c16:uniqueId val="{00000002-51B3-4E34-8473-188DB66E1CD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rPr lang="en-US"/>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E83-4272-9A73-EA4061CF200D}"/>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E83-4272-9A73-EA4061CF200D}"/>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E83-4272-9A73-EA4061CF200D}"/>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E83-4272-9A73-EA4061CF200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rPr lang="en-US"/>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BF6-4404-B64A-24F2B002F09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xuux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dhcwa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tmu5w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ya4ke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nx5yi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irai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pkqzs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18">
  <autoFilter ref="A1:P18"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drive.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workbookViewId="0">
      <pane ySplit="3" topLeftCell="A65" activePane="bottomLeft" state="frozen"/>
      <selection pane="bottomLeft" activeCell="C49" sqref="C49"/>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107</v>
      </c>
    </row>
    <row r="3" spans="2:3" ht="15" customHeight="1" x14ac:dyDescent="0.35"/>
    <row r="4" spans="2:3" ht="58" x14ac:dyDescent="0.35">
      <c r="B4" s="20" t="s">
        <v>108</v>
      </c>
      <c r="C4" s="21" t="s">
        <v>109</v>
      </c>
    </row>
    <row r="5" spans="2:3" x14ac:dyDescent="0.35">
      <c r="C5" s="21" t="s">
        <v>110</v>
      </c>
    </row>
    <row r="6" spans="2:3" x14ac:dyDescent="0.35">
      <c r="C6" s="18" t="s">
        <v>111</v>
      </c>
    </row>
    <row r="7" spans="2:3" ht="10" customHeight="1" x14ac:dyDescent="0.35"/>
    <row r="8" spans="2:3" ht="232" x14ac:dyDescent="0.35">
      <c r="B8" s="22" t="s">
        <v>112</v>
      </c>
      <c r="C8" s="21" t="s">
        <v>113</v>
      </c>
    </row>
    <row r="9" spans="2:3" ht="10" customHeight="1" x14ac:dyDescent="0.35"/>
    <row r="10" spans="2:3" ht="35" customHeight="1" x14ac:dyDescent="0.35">
      <c r="B10" s="22" t="s">
        <v>114</v>
      </c>
      <c r="C10" s="21" t="s">
        <v>115</v>
      </c>
    </row>
    <row r="11" spans="2:3" ht="75" customHeight="1" x14ac:dyDescent="0.35">
      <c r="B11" s="18" t="s">
        <v>23</v>
      </c>
      <c r="C11" s="21" t="s">
        <v>116</v>
      </c>
    </row>
    <row r="12" spans="2:3" ht="47" customHeight="1" x14ac:dyDescent="0.35">
      <c r="B12" s="18" t="s">
        <v>23</v>
      </c>
      <c r="C12" s="21" t="s">
        <v>117</v>
      </c>
    </row>
    <row r="13" spans="2:3" ht="35" customHeight="1" x14ac:dyDescent="0.35">
      <c r="B13" s="18" t="s">
        <v>23</v>
      </c>
      <c r="C13" s="21" t="s">
        <v>118</v>
      </c>
    </row>
    <row r="14" spans="2:3" ht="32" customHeight="1" x14ac:dyDescent="0.35">
      <c r="B14" s="18" t="s">
        <v>23</v>
      </c>
      <c r="C14" s="21" t="s">
        <v>119</v>
      </c>
    </row>
    <row r="15" spans="2:3" ht="30" customHeight="1" x14ac:dyDescent="0.35">
      <c r="B15" s="18" t="s">
        <v>23</v>
      </c>
      <c r="C15" s="21" t="s">
        <v>120</v>
      </c>
    </row>
    <row r="16" spans="2:3" ht="10" customHeight="1" x14ac:dyDescent="0.35"/>
    <row r="17" spans="1:3" ht="145" customHeight="1" x14ac:dyDescent="0.35">
      <c r="B17" s="22" t="s">
        <v>121</v>
      </c>
      <c r="C17" s="21" t="s">
        <v>122</v>
      </c>
    </row>
    <row r="18" spans="1:3" ht="10" customHeight="1" x14ac:dyDescent="0.35"/>
    <row r="19" spans="1:3" ht="3" customHeight="1" x14ac:dyDescent="0.35">
      <c r="B19" s="23"/>
      <c r="C19" s="23"/>
    </row>
    <row r="20" spans="1:3" ht="12" customHeight="1" x14ac:dyDescent="0.35"/>
    <row r="21" spans="1:3" ht="35" customHeight="1" x14ac:dyDescent="0.35">
      <c r="A21" s="25"/>
      <c r="B21" s="26" t="s">
        <v>123</v>
      </c>
      <c r="C21" s="101" t="s">
        <v>124</v>
      </c>
    </row>
    <row r="22" spans="1:3" ht="18" customHeight="1" x14ac:dyDescent="0.35">
      <c r="A22" s="25"/>
      <c r="B22" s="25" t="s">
        <v>23</v>
      </c>
      <c r="C22" s="27" t="s">
        <v>125</v>
      </c>
    </row>
    <row r="23" spans="1:3" ht="18" customHeight="1" x14ac:dyDescent="0.35">
      <c r="A23" s="25"/>
      <c r="B23" s="25" t="s">
        <v>23</v>
      </c>
      <c r="C23" s="27" t="s">
        <v>126</v>
      </c>
    </row>
    <row r="24" spans="1:3" ht="18" customHeight="1" x14ac:dyDescent="0.35">
      <c r="A24" s="25"/>
      <c r="B24" s="25" t="s">
        <v>23</v>
      </c>
      <c r="C24" s="27" t="s">
        <v>127</v>
      </c>
    </row>
    <row r="25" spans="1:3" ht="18" customHeight="1" x14ac:dyDescent="0.35">
      <c r="A25" s="25"/>
      <c r="B25" s="25" t="s">
        <v>23</v>
      </c>
      <c r="C25" s="27" t="s">
        <v>128</v>
      </c>
    </row>
    <row r="26" spans="1:3" ht="18" customHeight="1" x14ac:dyDescent="0.35">
      <c r="A26" s="25"/>
      <c r="B26" s="25" t="s">
        <v>23</v>
      </c>
      <c r="C26" s="27" t="s">
        <v>129</v>
      </c>
    </row>
    <row r="27" spans="1:3" ht="18" customHeight="1" x14ac:dyDescent="0.35">
      <c r="A27" s="25"/>
      <c r="B27" s="25" t="s">
        <v>23</v>
      </c>
      <c r="C27" s="27" t="s">
        <v>130</v>
      </c>
    </row>
    <row r="28" spans="1:3" ht="18" customHeight="1" x14ac:dyDescent="0.35">
      <c r="A28" s="25"/>
      <c r="B28" s="25" t="s">
        <v>23</v>
      </c>
      <c r="C28" s="27" t="s">
        <v>131</v>
      </c>
    </row>
    <row r="29" spans="1:3" ht="18" customHeight="1" x14ac:dyDescent="0.35">
      <c r="A29" s="25"/>
      <c r="B29" s="25" t="s">
        <v>23</v>
      </c>
      <c r="C29" s="27" t="s">
        <v>132</v>
      </c>
    </row>
    <row r="30" spans="1:3" ht="44" customHeight="1" x14ac:dyDescent="0.35">
      <c r="A30" s="25"/>
      <c r="B30" s="25" t="s">
        <v>23</v>
      </c>
      <c r="C30" s="28" t="s">
        <v>133</v>
      </c>
    </row>
    <row r="31" spans="1:3" ht="10" customHeight="1" x14ac:dyDescent="0.35"/>
    <row r="32" spans="1:3" ht="3" customHeight="1" x14ac:dyDescent="0.35">
      <c r="B32" s="23"/>
      <c r="C32" s="23"/>
    </row>
    <row r="33" spans="2:3" ht="12" customHeight="1" x14ac:dyDescent="0.35"/>
    <row r="34" spans="2:3" ht="24" customHeight="1" x14ac:dyDescent="0.35">
      <c r="B34" s="29" t="s">
        <v>134</v>
      </c>
      <c r="C34" s="30" t="s">
        <v>135</v>
      </c>
    </row>
    <row r="35" spans="2:3" ht="18.5" x14ac:dyDescent="0.35">
      <c r="B35" s="29" t="s">
        <v>136</v>
      </c>
      <c r="C35" s="31" t="s">
        <v>137</v>
      </c>
    </row>
    <row r="36" spans="2:3" ht="27" customHeight="1" x14ac:dyDescent="0.35">
      <c r="B36" s="32" t="s">
        <v>138</v>
      </c>
      <c r="C36" s="24" t="s">
        <v>139</v>
      </c>
    </row>
    <row r="37" spans="2:3" x14ac:dyDescent="0.35">
      <c r="B37" s="29" t="s">
        <v>140</v>
      </c>
      <c r="C37" s="33" t="s">
        <v>141</v>
      </c>
    </row>
    <row r="38" spans="2:3" ht="10" customHeight="1" x14ac:dyDescent="0.35"/>
    <row r="39" spans="2:3" ht="220" customHeight="1" x14ac:dyDescent="0.35">
      <c r="B39" s="29" t="s">
        <v>142</v>
      </c>
      <c r="C39" s="34" t="s">
        <v>318</v>
      </c>
    </row>
    <row r="40" spans="2:3" x14ac:dyDescent="0.35">
      <c r="C40" s="35" t="s">
        <v>143</v>
      </c>
    </row>
    <row r="41" spans="2:3" ht="101.5" x14ac:dyDescent="0.35">
      <c r="C41" s="34" t="s">
        <v>144</v>
      </c>
    </row>
    <row r="42" spans="2:3" ht="6" customHeight="1" x14ac:dyDescent="0.35"/>
    <row r="43" spans="2:3" x14ac:dyDescent="0.35">
      <c r="C43" s="35" t="s">
        <v>145</v>
      </c>
    </row>
    <row r="44" spans="2:3" ht="43.5" x14ac:dyDescent="0.35">
      <c r="C44" s="34" t="s">
        <v>146</v>
      </c>
    </row>
    <row r="46" spans="2:3" ht="10" customHeight="1" x14ac:dyDescent="0.35"/>
    <row r="47" spans="2:3" ht="3" customHeight="1" x14ac:dyDescent="0.35">
      <c r="B47" s="23"/>
      <c r="C47" s="23"/>
    </row>
    <row r="48" spans="2:3" ht="12" customHeight="1" x14ac:dyDescent="0.35"/>
    <row r="49" spans="2:3" ht="130.5" x14ac:dyDescent="0.35">
      <c r="B49" s="20" t="s">
        <v>147</v>
      </c>
      <c r="C49" s="21" t="s">
        <v>148</v>
      </c>
    </row>
    <row r="50" spans="2:3" ht="6" customHeight="1" x14ac:dyDescent="0.35"/>
    <row r="51" spans="2:3" ht="217.5" x14ac:dyDescent="0.35">
      <c r="C51" s="21" t="s">
        <v>149</v>
      </c>
    </row>
    <row r="52" spans="2:3" ht="6" customHeight="1" x14ac:dyDescent="0.35"/>
    <row r="53" spans="2:3" ht="43.5" x14ac:dyDescent="0.35">
      <c r="C53" s="21" t="s">
        <v>150</v>
      </c>
    </row>
    <row r="54" spans="2:3" ht="10" customHeight="1" x14ac:dyDescent="0.35"/>
    <row r="55" spans="2:3" ht="3" customHeight="1" x14ac:dyDescent="0.35">
      <c r="B55" s="23"/>
      <c r="C55" s="23"/>
    </row>
    <row r="56" spans="2:3" ht="12" customHeight="1" x14ac:dyDescent="0.35"/>
    <row r="57" spans="2:3" ht="145" x14ac:dyDescent="0.35">
      <c r="B57" s="20" t="s">
        <v>151</v>
      </c>
      <c r="C57" s="21" t="s">
        <v>152</v>
      </c>
    </row>
    <row r="58" spans="2:3" ht="6" customHeight="1" x14ac:dyDescent="0.35"/>
    <row r="59" spans="2:3" ht="203" x14ac:dyDescent="0.35">
      <c r="C59" s="21" t="s">
        <v>153</v>
      </c>
    </row>
    <row r="60" spans="2:3" ht="6" customHeight="1" x14ac:dyDescent="0.35"/>
    <row r="61" spans="2:3" ht="43.5" x14ac:dyDescent="0.35">
      <c r="C61" s="21" t="s">
        <v>154</v>
      </c>
    </row>
    <row r="62" spans="2:3" ht="10" customHeight="1" x14ac:dyDescent="0.35"/>
    <row r="63" spans="2:3" ht="3" customHeight="1" x14ac:dyDescent="0.35">
      <c r="B63" s="23"/>
      <c r="C63" s="23"/>
    </row>
    <row r="64" spans="2:3" ht="12" customHeight="1" x14ac:dyDescent="0.35"/>
    <row r="65" spans="2:3" ht="101.5" x14ac:dyDescent="0.35">
      <c r="B65" s="20" t="s">
        <v>155</v>
      </c>
      <c r="C65" s="21" t="s">
        <v>156</v>
      </c>
    </row>
    <row r="66" spans="2:3" ht="6" customHeight="1" x14ac:dyDescent="0.35"/>
    <row r="67" spans="2:3" ht="145" x14ac:dyDescent="0.35">
      <c r="C67" s="21" t="s">
        <v>157</v>
      </c>
    </row>
    <row r="68" spans="2:3" ht="6" customHeight="1" x14ac:dyDescent="0.35"/>
    <row r="69" spans="2:3" ht="43.5" x14ac:dyDescent="0.35">
      <c r="C69" s="21" t="s">
        <v>158</v>
      </c>
    </row>
    <row r="73" spans="2:3" ht="32" customHeight="1" x14ac:dyDescent="0.35">
      <c r="B73" s="78" t="s">
        <v>106</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87"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93" t="s">
        <v>159</v>
      </c>
      <c r="C2" s="87"/>
      <c r="D2" s="87"/>
      <c r="E2" s="87"/>
      <c r="F2" s="87"/>
      <c r="G2" s="87"/>
      <c r="H2" s="87"/>
      <c r="I2" s="87"/>
    </row>
    <row r="4" spans="2:15" ht="18.5" x14ac:dyDescent="0.45">
      <c r="B4" s="37" t="s">
        <v>160</v>
      </c>
    </row>
    <row r="5" spans="2:15" x14ac:dyDescent="0.35">
      <c r="B5" s="39" t="s">
        <v>23</v>
      </c>
      <c r="C5" s="39" t="s">
        <v>161</v>
      </c>
      <c r="D5" s="39" t="s">
        <v>162</v>
      </c>
      <c r="F5" s="91" t="s">
        <v>163</v>
      </c>
      <c r="G5" s="91"/>
      <c r="H5" s="91"/>
      <c r="I5" s="94" t="s">
        <v>164</v>
      </c>
      <c r="J5" s="94"/>
      <c r="K5" s="94"/>
      <c r="L5" s="94"/>
      <c r="M5" s="94"/>
      <c r="N5" s="94"/>
      <c r="O5" s="94"/>
    </row>
    <row r="6" spans="2:15" x14ac:dyDescent="0.35">
      <c r="B6" s="45" t="s">
        <v>165</v>
      </c>
      <c r="C6" s="46">
        <v>17</v>
      </c>
      <c r="D6" s="47" t="s">
        <v>23</v>
      </c>
      <c r="F6" s="91" t="s">
        <v>166</v>
      </c>
      <c r="G6" s="91"/>
      <c r="H6" s="91"/>
      <c r="I6" s="92" t="s">
        <v>167</v>
      </c>
      <c r="J6" s="92"/>
      <c r="K6" s="92"/>
      <c r="L6" s="92"/>
      <c r="M6" s="92"/>
      <c r="N6" s="92"/>
      <c r="O6" s="92"/>
    </row>
    <row r="7" spans="2:15" x14ac:dyDescent="0.35">
      <c r="B7" s="48" t="s">
        <v>168</v>
      </c>
      <c r="C7" s="49">
        <f>C6-C8-C9</f>
        <v>17</v>
      </c>
      <c r="D7" s="50">
        <f>IF(C6&gt;0,C7/C6,0)</f>
        <v>1</v>
      </c>
      <c r="F7" s="91" t="s">
        <v>169</v>
      </c>
      <c r="G7" s="91"/>
      <c r="H7" s="91"/>
      <c r="I7" s="92" t="s">
        <v>167</v>
      </c>
      <c r="J7" s="92"/>
      <c r="K7" s="92"/>
      <c r="L7" s="92"/>
      <c r="M7" s="92"/>
      <c r="N7" s="92"/>
      <c r="O7" s="92"/>
    </row>
    <row r="8" spans="2:15" x14ac:dyDescent="0.35">
      <c r="B8" s="41" t="s">
        <v>170</v>
      </c>
      <c r="C8" s="42">
        <f>COUNTIF('Recommendations'!H:H,"Risk Accepted")</f>
        <v>0</v>
      </c>
      <c r="D8" s="43">
        <f>IF(C6&gt;0,C8/C6,0)</f>
        <v>0</v>
      </c>
      <c r="F8" s="91" t="s">
        <v>171</v>
      </c>
      <c r="G8" s="91"/>
      <c r="H8" s="91"/>
      <c r="I8" s="92" t="s">
        <v>167</v>
      </c>
      <c r="J8" s="92"/>
      <c r="K8" s="92"/>
      <c r="L8" s="92"/>
      <c r="M8" s="92"/>
      <c r="N8" s="92"/>
      <c r="O8" s="92"/>
    </row>
    <row r="9" spans="2:15" x14ac:dyDescent="0.35">
      <c r="B9" s="41" t="s">
        <v>172</v>
      </c>
      <c r="C9" s="42">
        <f>COUNTIF('Recommendations'!H:H,"N/A")</f>
        <v>0</v>
      </c>
      <c r="D9" s="43">
        <f>IF(C6&gt;0,C9/C6,0)</f>
        <v>0</v>
      </c>
      <c r="F9" s="91" t="s">
        <v>173</v>
      </c>
      <c r="G9" s="91"/>
      <c r="H9" s="91"/>
      <c r="I9" s="92" t="s">
        <v>167</v>
      </c>
      <c r="J9" s="92"/>
      <c r="K9" s="92"/>
      <c r="L9" s="92"/>
      <c r="M9" s="92"/>
      <c r="N9" s="92"/>
      <c r="O9" s="92"/>
    </row>
    <row r="12" spans="2:15" ht="18.5" x14ac:dyDescent="0.45">
      <c r="B12" s="37" t="s">
        <v>174</v>
      </c>
    </row>
    <row r="14" spans="2:15" x14ac:dyDescent="0.35">
      <c r="B14" s="51" t="s">
        <v>175</v>
      </c>
    </row>
    <row r="15" spans="2:15" x14ac:dyDescent="0.35">
      <c r="B15" s="39" t="s">
        <v>23</v>
      </c>
      <c r="C15" s="39" t="s">
        <v>176</v>
      </c>
      <c r="D15" s="39" t="s">
        <v>177</v>
      </c>
      <c r="E15" s="39" t="s">
        <v>178</v>
      </c>
      <c r="F15" s="39" t="s">
        <v>179</v>
      </c>
    </row>
    <row r="16" spans="2:15" x14ac:dyDescent="0.35">
      <c r="B16" s="41" t="s">
        <v>180</v>
      </c>
      <c r="C16" s="42">
        <f>COUNTIF('Recommendations'!O:O,"Resolved")</f>
        <v>0</v>
      </c>
      <c r="D16" s="42">
        <f>COUNTIF('Recommendations'!O:O,"Testing")</f>
        <v>0</v>
      </c>
      <c r="E16" s="42">
        <f>COUNTIF('Recommendations'!O:O,"Outstanding")</f>
        <v>17</v>
      </c>
      <c r="F16" s="42">
        <f>SUM(C16:E16)</f>
        <v>17</v>
      </c>
    </row>
    <row r="18" spans="2:6" x14ac:dyDescent="0.35">
      <c r="B18" s="51" t="s">
        <v>181</v>
      </c>
    </row>
    <row r="19" spans="2:6" x14ac:dyDescent="0.35">
      <c r="B19" s="52" t="s">
        <v>23</v>
      </c>
      <c r="C19" s="52" t="s">
        <v>176</v>
      </c>
      <c r="D19" s="52" t="s">
        <v>177</v>
      </c>
      <c r="E19" s="52" t="s">
        <v>178</v>
      </c>
      <c r="F19" s="52" t="s">
        <v>23</v>
      </c>
    </row>
    <row r="20" spans="2:6" x14ac:dyDescent="0.35">
      <c r="B20" s="41" t="s">
        <v>180</v>
      </c>
      <c r="C20" s="43">
        <f>IF(F16&gt;0, C16/F16, 0)</f>
        <v>0</v>
      </c>
      <c r="D20" s="43">
        <f>IF(F16&gt;0, D16/F16, 0)</f>
        <v>0</v>
      </c>
      <c r="E20" s="43">
        <f>IF(F16&gt;0, E16/F16, 0)</f>
        <v>1</v>
      </c>
      <c r="F20" s="44" t="s">
        <v>23</v>
      </c>
    </row>
    <row r="25" spans="2:6" ht="18.5" x14ac:dyDescent="0.45">
      <c r="B25" s="37" t="s">
        <v>182</v>
      </c>
    </row>
    <row r="27" spans="2:6" x14ac:dyDescent="0.35">
      <c r="B27" s="51" t="s">
        <v>175</v>
      </c>
    </row>
    <row r="28" spans="2:6" x14ac:dyDescent="0.35">
      <c r="B28" s="39" t="s">
        <v>3</v>
      </c>
      <c r="C28" s="39" t="s">
        <v>176</v>
      </c>
      <c r="D28" s="39" t="s">
        <v>177</v>
      </c>
      <c r="E28" s="39" t="s">
        <v>178</v>
      </c>
      <c r="F28" s="39" t="s">
        <v>179</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9</v>
      </c>
      <c r="F29" s="42">
        <f>SUM(C29:E29)</f>
        <v>9</v>
      </c>
    </row>
    <row r="30" spans="2:6" x14ac:dyDescent="0.35">
      <c r="B30" s="41" t="s">
        <v>30</v>
      </c>
      <c r="C30" s="42">
        <f>COUNTIFS('Recommendations'!D:D,"SHOULD",'Recommendations'!O:O,"=Resolved")</f>
        <v>0</v>
      </c>
      <c r="D30" s="42">
        <f>COUNTIFS('Recommendations'!D:D,"=SHOULD",'Recommendations'!O:O,"=Testing")</f>
        <v>0</v>
      </c>
      <c r="E30" s="42">
        <f>COUNTIFS('Recommendations'!D:D,"=SHOULD",'Recommendations'!O:O,"=Outstanding")</f>
        <v>4</v>
      </c>
      <c r="F30" s="42">
        <f>SUM(C30:E30)</f>
        <v>4</v>
      </c>
    </row>
    <row r="31" spans="2:6" x14ac:dyDescent="0.35">
      <c r="B31" s="41" t="s">
        <v>49</v>
      </c>
      <c r="C31" s="42">
        <f>COUNTIFS('Recommendations'!D:D,"SHOULD NOT",'Recommendations'!O:O,"=Resolved")</f>
        <v>0</v>
      </c>
      <c r="D31" s="42">
        <f>COUNTIFS('Recommendations'!D:D,"=SHOULD NOT",'Recommendations'!O:O,"=Testing")</f>
        <v>0</v>
      </c>
      <c r="E31" s="42">
        <f>COUNTIFS('Recommendations'!D:D,"=SHOULD NOT",'Recommendations'!O:O,"=Outstanding")</f>
        <v>4</v>
      </c>
      <c r="F31" s="42">
        <f>SUM(C31:E31)</f>
        <v>4</v>
      </c>
    </row>
    <row r="33" spans="2:6" x14ac:dyDescent="0.35">
      <c r="B33" s="51" t="s">
        <v>181</v>
      </c>
    </row>
    <row r="34" spans="2:6" x14ac:dyDescent="0.35">
      <c r="B34" s="52" t="s">
        <v>3</v>
      </c>
      <c r="C34" s="52" t="s">
        <v>176</v>
      </c>
      <c r="D34" s="52" t="s">
        <v>177</v>
      </c>
      <c r="E34" s="52" t="s">
        <v>178</v>
      </c>
      <c r="F34" s="52" t="s">
        <v>23</v>
      </c>
    </row>
    <row r="35" spans="2:6" x14ac:dyDescent="0.35">
      <c r="B35" s="41" t="s">
        <v>19</v>
      </c>
      <c r="C35" s="43">
        <f>IF(F29&gt;0, C29/F29, 0)</f>
        <v>0</v>
      </c>
      <c r="D35" s="43">
        <f>IF(F29&gt;0, D29/F29, 0)</f>
        <v>0</v>
      </c>
      <c r="E35" s="43">
        <f>IF(F29&gt;0, E29/F29, 0)</f>
        <v>1</v>
      </c>
      <c r="F35" s="44" t="s">
        <v>23</v>
      </c>
    </row>
    <row r="36" spans="2:6" x14ac:dyDescent="0.35">
      <c r="B36" s="41" t="s">
        <v>30</v>
      </c>
      <c r="C36" s="43">
        <f>IF(F30&gt;0, C30/F30, 0)</f>
        <v>0</v>
      </c>
      <c r="D36" s="43">
        <f>IF(F30&gt;0, D30/F30, 0)</f>
        <v>0</v>
      </c>
      <c r="E36" s="43">
        <f>IF(F30&gt;0, E30/F30, 0)</f>
        <v>1</v>
      </c>
      <c r="F36" s="44" t="s">
        <v>23</v>
      </c>
    </row>
    <row r="37" spans="2:6" x14ac:dyDescent="0.35">
      <c r="B37" s="41" t="s">
        <v>49</v>
      </c>
      <c r="C37" s="43">
        <f>IF(F31&gt;0, C31/F31, 0)</f>
        <v>0</v>
      </c>
      <c r="D37" s="43">
        <f>IF(F31&gt;0, D31/F31, 0)</f>
        <v>0</v>
      </c>
      <c r="E37" s="43">
        <f>IF(F31&gt;0, E31/F31, 0)</f>
        <v>1</v>
      </c>
      <c r="F37" s="44" t="s">
        <v>23</v>
      </c>
    </row>
    <row r="42" spans="2:6" ht="18.5" x14ac:dyDescent="0.45">
      <c r="B42" s="37" t="s">
        <v>183</v>
      </c>
    </row>
    <row r="44" spans="2:6" x14ac:dyDescent="0.35">
      <c r="B44" s="51" t="s">
        <v>175</v>
      </c>
    </row>
    <row r="45" spans="2:6" x14ac:dyDescent="0.35">
      <c r="B45" s="39" t="s">
        <v>6</v>
      </c>
      <c r="C45" s="39" t="s">
        <v>176</v>
      </c>
      <c r="D45" s="39" t="s">
        <v>177</v>
      </c>
      <c r="E45" s="39" t="s">
        <v>178</v>
      </c>
      <c r="F45" s="39" t="s">
        <v>179</v>
      </c>
    </row>
    <row r="46" spans="2:6" x14ac:dyDescent="0.35">
      <c r="B46" s="41" t="s">
        <v>184</v>
      </c>
      <c r="C46" s="42">
        <f>COUNTIFS('Recommendations'!G:G,"Phase1",'Recommendations'!O:O,"=Resolved")</f>
        <v>0</v>
      </c>
      <c r="D46" s="42">
        <f>COUNTIFS('Recommendations'!G:G,"=Phase1",'Recommendations'!O:O,"=Testing")</f>
        <v>0</v>
      </c>
      <c r="E46" s="42">
        <f>COUNTIFS('Recommendations'!G:G,"=Phase1",'Recommendations'!O:O,"=Outstanding")</f>
        <v>0</v>
      </c>
      <c r="F46" s="42">
        <f t="shared" ref="F46:F51" si="0">SUM(C46:E46)</f>
        <v>0</v>
      </c>
    </row>
    <row r="47" spans="2:6" x14ac:dyDescent="0.35">
      <c r="B47" s="41" t="s">
        <v>185</v>
      </c>
      <c r="C47" s="42">
        <f>COUNTIFS('Recommendations'!G:G,"Phase2",'Recommendations'!O:O,"=Resolved")</f>
        <v>0</v>
      </c>
      <c r="D47" s="42">
        <f>COUNTIFS('Recommendations'!G:G,"=Phase2",'Recommendations'!O:O,"=Testing")</f>
        <v>0</v>
      </c>
      <c r="E47" s="42">
        <f>COUNTIFS('Recommendations'!G:G,"=Phase2",'Recommendations'!O:O,"=Outstanding")</f>
        <v>0</v>
      </c>
      <c r="F47" s="42">
        <f t="shared" si="0"/>
        <v>0</v>
      </c>
    </row>
    <row r="48" spans="2:6" x14ac:dyDescent="0.35">
      <c r="B48" s="41" t="s">
        <v>186</v>
      </c>
      <c r="C48" s="42">
        <f>COUNTIFS('Recommendations'!G:G,"Phase3",'Recommendations'!O:O,"=Resolved")</f>
        <v>0</v>
      </c>
      <c r="D48" s="42">
        <f>COUNTIFS('Recommendations'!G:G,"=Phase3",'Recommendations'!O:O,"=Testing")</f>
        <v>0</v>
      </c>
      <c r="E48" s="42">
        <f>COUNTIFS('Recommendations'!G:G,"=Phase3",'Recommendations'!O:O,"=Outstanding")</f>
        <v>0</v>
      </c>
      <c r="F48" s="42">
        <f t="shared" si="0"/>
        <v>0</v>
      </c>
    </row>
    <row r="49" spans="2:6" x14ac:dyDescent="0.35">
      <c r="B49" s="41" t="s">
        <v>187</v>
      </c>
      <c r="C49" s="42">
        <f>COUNTIFS('Recommendations'!G:G,"Phase4",'Recommendations'!O:O,"=Resolved")</f>
        <v>0</v>
      </c>
      <c r="D49" s="42">
        <f>COUNTIFS('Recommendations'!G:G,"=Phase4",'Recommendations'!O:O,"=Testing")</f>
        <v>0</v>
      </c>
      <c r="E49" s="42">
        <f>COUNTIFS('Recommendations'!G:G,"=Phase4",'Recommendations'!O:O,"=Outstanding")</f>
        <v>0</v>
      </c>
      <c r="F49" s="42">
        <f t="shared" si="0"/>
        <v>0</v>
      </c>
    </row>
    <row r="50" spans="2:6" x14ac:dyDescent="0.35">
      <c r="B50" s="41" t="s">
        <v>188</v>
      </c>
      <c r="C50" s="42">
        <f>COUNTIFS('Recommendations'!G:G,"Phase5",'Recommendations'!O:O,"=Resolved")</f>
        <v>0</v>
      </c>
      <c r="D50" s="42">
        <f>COUNTIFS('Recommendations'!G:G,"=Phase5",'Recommendations'!O:O,"=Testing")</f>
        <v>0</v>
      </c>
      <c r="E50" s="42">
        <f>COUNTIFS('Recommendations'!G:G,"=Phase5",'Recommendations'!O:O,"=Outstanding")</f>
        <v>0</v>
      </c>
      <c r="F50" s="42">
        <f t="shared" si="0"/>
        <v>0</v>
      </c>
    </row>
    <row r="51" spans="2:6" x14ac:dyDescent="0.35">
      <c r="B51" s="41" t="s">
        <v>22</v>
      </c>
      <c r="C51" s="42">
        <f>COUNTIFS('Recommendations'!G:G,"Pending",'Recommendations'!O:O,"=Resolved")</f>
        <v>0</v>
      </c>
      <c r="D51" s="42">
        <f>COUNTIFS('Recommendations'!G:G,"=Pending",'Recommendations'!O:O,"=Testing")</f>
        <v>0</v>
      </c>
      <c r="E51" s="42">
        <f>COUNTIFS('Recommendations'!G:G,"=Pending",'Recommendations'!O:O,"=Outstanding")</f>
        <v>17</v>
      </c>
      <c r="F51" s="42">
        <f t="shared" si="0"/>
        <v>17</v>
      </c>
    </row>
    <row r="53" spans="2:6" x14ac:dyDescent="0.35">
      <c r="B53" s="51" t="s">
        <v>181</v>
      </c>
    </row>
    <row r="54" spans="2:6" x14ac:dyDescent="0.35">
      <c r="B54" s="52" t="s">
        <v>6</v>
      </c>
      <c r="C54" s="52" t="s">
        <v>176</v>
      </c>
      <c r="D54" s="52" t="s">
        <v>177</v>
      </c>
      <c r="E54" s="52" t="s">
        <v>178</v>
      </c>
      <c r="F54" s="52" t="s">
        <v>23</v>
      </c>
    </row>
    <row r="55" spans="2:6" x14ac:dyDescent="0.35">
      <c r="B55" s="41" t="s">
        <v>184</v>
      </c>
      <c r="C55" s="43">
        <f t="shared" ref="C55:C60" si="1">IF(F46&gt;0, C46/F46, 0)</f>
        <v>0</v>
      </c>
      <c r="D55" s="43">
        <f t="shared" ref="D55:D60" si="2">IF(F46&gt;0, D46/F46, 0)</f>
        <v>0</v>
      </c>
      <c r="E55" s="43">
        <f t="shared" ref="E55:E60" si="3">IF(F46&gt;0, E46/F46, 0)</f>
        <v>0</v>
      </c>
      <c r="F55" s="44" t="s">
        <v>23</v>
      </c>
    </row>
    <row r="56" spans="2:6" x14ac:dyDescent="0.35">
      <c r="B56" s="41" t="s">
        <v>185</v>
      </c>
      <c r="C56" s="43">
        <f t="shared" si="1"/>
        <v>0</v>
      </c>
      <c r="D56" s="43">
        <f t="shared" si="2"/>
        <v>0</v>
      </c>
      <c r="E56" s="43">
        <f t="shared" si="3"/>
        <v>0</v>
      </c>
      <c r="F56" s="44" t="s">
        <v>23</v>
      </c>
    </row>
    <row r="57" spans="2:6" x14ac:dyDescent="0.35">
      <c r="B57" s="41" t="s">
        <v>186</v>
      </c>
      <c r="C57" s="43">
        <f t="shared" si="1"/>
        <v>0</v>
      </c>
      <c r="D57" s="43">
        <f t="shared" si="2"/>
        <v>0</v>
      </c>
      <c r="E57" s="43">
        <f t="shared" si="3"/>
        <v>0</v>
      </c>
      <c r="F57" s="44" t="s">
        <v>23</v>
      </c>
    </row>
    <row r="58" spans="2:6" x14ac:dyDescent="0.35">
      <c r="B58" s="41" t="s">
        <v>187</v>
      </c>
      <c r="C58" s="43">
        <f t="shared" si="1"/>
        <v>0</v>
      </c>
      <c r="D58" s="43">
        <f t="shared" si="2"/>
        <v>0</v>
      </c>
      <c r="E58" s="43">
        <f t="shared" si="3"/>
        <v>0</v>
      </c>
      <c r="F58" s="44" t="s">
        <v>23</v>
      </c>
    </row>
    <row r="59" spans="2:6" x14ac:dyDescent="0.35">
      <c r="B59" s="41" t="s">
        <v>188</v>
      </c>
      <c r="C59" s="43">
        <f t="shared" si="1"/>
        <v>0</v>
      </c>
      <c r="D59" s="43">
        <f t="shared" si="2"/>
        <v>0</v>
      </c>
      <c r="E59" s="43">
        <f t="shared" si="3"/>
        <v>0</v>
      </c>
      <c r="F59" s="44" t="s">
        <v>23</v>
      </c>
    </row>
    <row r="60" spans="2:6" x14ac:dyDescent="0.35">
      <c r="B60" s="41" t="s">
        <v>22</v>
      </c>
      <c r="C60" s="43">
        <f t="shared" si="1"/>
        <v>0</v>
      </c>
      <c r="D60" s="43">
        <f t="shared" si="2"/>
        <v>0</v>
      </c>
      <c r="E60" s="43">
        <f t="shared" si="3"/>
        <v>1</v>
      </c>
      <c r="F60" s="44" t="s">
        <v>23</v>
      </c>
    </row>
    <row r="65" spans="2:6" ht="18.5" x14ac:dyDescent="0.45">
      <c r="B65" s="37" t="s">
        <v>189</v>
      </c>
    </row>
    <row r="67" spans="2:6" x14ac:dyDescent="0.35">
      <c r="B67" s="51" t="s">
        <v>175</v>
      </c>
    </row>
    <row r="68" spans="2:6" x14ac:dyDescent="0.35">
      <c r="B68" s="39" t="s">
        <v>4</v>
      </c>
      <c r="C68" s="39" t="s">
        <v>176</v>
      </c>
      <c r="D68" s="39" t="s">
        <v>177</v>
      </c>
      <c r="E68" s="39" t="s">
        <v>178</v>
      </c>
      <c r="F68" s="39" t="s">
        <v>179</v>
      </c>
    </row>
    <row r="69" spans="2:6" x14ac:dyDescent="0.35">
      <c r="B69" s="41" t="s">
        <v>190</v>
      </c>
      <c r="C69" s="42">
        <f>COUNTIFS('Recommendations'!E:E,"Must",'Recommendations'!O:O,"=Resolved")</f>
        <v>0</v>
      </c>
      <c r="D69" s="42">
        <f>COUNTIFS('Recommendations'!E:E,"=Must",'Recommendations'!O:O,"=Testing")</f>
        <v>0</v>
      </c>
      <c r="E69" s="42">
        <f>COUNTIFS('Recommendations'!E:E,"=Must",'Recommendations'!O:O,"=Outstanding")</f>
        <v>0</v>
      </c>
      <c r="F69" s="42">
        <f>SUM(C69:E69)</f>
        <v>0</v>
      </c>
    </row>
    <row r="70" spans="2:6" x14ac:dyDescent="0.35">
      <c r="B70" s="41" t="s">
        <v>191</v>
      </c>
      <c r="C70" s="42">
        <f>COUNTIFS('Recommendations'!E:E,"Should",'Recommendations'!O:O,"=Resolved")</f>
        <v>0</v>
      </c>
      <c r="D70" s="42">
        <f>COUNTIFS('Recommendations'!E:E,"=Should",'Recommendations'!O:O,"=Testing")</f>
        <v>0</v>
      </c>
      <c r="E70" s="42">
        <f>COUNTIFS('Recommendations'!E:E,"=Should",'Recommendations'!O:O,"=Outstanding")</f>
        <v>0</v>
      </c>
      <c r="F70" s="42">
        <f>SUM(C70:E70)</f>
        <v>0</v>
      </c>
    </row>
    <row r="71" spans="2:6" x14ac:dyDescent="0.35">
      <c r="B71" s="41" t="s">
        <v>192</v>
      </c>
      <c r="C71" s="42">
        <f>COUNTIFS('Recommendations'!E:E,"Could",'Recommendations'!O:O,"=Resolved")</f>
        <v>0</v>
      </c>
      <c r="D71" s="42">
        <f>COUNTIFS('Recommendations'!E:E,"=Could",'Recommendations'!O:O,"=Testing")</f>
        <v>0</v>
      </c>
      <c r="E71" s="42">
        <f>COUNTIFS('Recommendations'!E:E,"=Could",'Recommendations'!O:O,"=Outstanding")</f>
        <v>0</v>
      </c>
      <c r="F71" s="42">
        <f>SUM(C71:E71)</f>
        <v>0</v>
      </c>
    </row>
    <row r="72" spans="2:6" x14ac:dyDescent="0.35">
      <c r="B72" s="41" t="s">
        <v>193</v>
      </c>
      <c r="C72" s="42">
        <f>COUNTIFS('Recommendations'!E:E,"Won't",'Recommendations'!O:O,"=Resolved")</f>
        <v>0</v>
      </c>
      <c r="D72" s="42">
        <f>COUNTIFS('Recommendations'!E:E,"=Won't",'Recommendations'!O:O,"=Testing")</f>
        <v>0</v>
      </c>
      <c r="E72" s="42">
        <f>COUNTIFS('Recommendations'!E:E,"=Won't",'Recommendations'!O:O,"=Outstanding")</f>
        <v>0</v>
      </c>
      <c r="F72" s="42">
        <f>SUM(C72:E72)</f>
        <v>0</v>
      </c>
    </row>
    <row r="73" spans="2:6" x14ac:dyDescent="0.35">
      <c r="B73" s="41" t="s">
        <v>20</v>
      </c>
      <c r="C73" s="42">
        <f>COUNTIFS('Recommendations'!E:E,"Unassigned",'Recommendations'!O:O,"=Resolved")</f>
        <v>0</v>
      </c>
      <c r="D73" s="42">
        <f>COUNTIFS('Recommendations'!E:E,"=Unassigned",'Recommendations'!O:O,"=Testing")</f>
        <v>0</v>
      </c>
      <c r="E73" s="42">
        <f>COUNTIFS('Recommendations'!E:E,"=Unassigned",'Recommendations'!O:O,"=Outstanding")</f>
        <v>17</v>
      </c>
      <c r="F73" s="42">
        <f>SUM(C73:E73)</f>
        <v>17</v>
      </c>
    </row>
    <row r="75" spans="2:6" x14ac:dyDescent="0.35">
      <c r="B75" s="51" t="s">
        <v>181</v>
      </c>
    </row>
    <row r="76" spans="2:6" x14ac:dyDescent="0.35">
      <c r="B76" s="52" t="s">
        <v>4</v>
      </c>
      <c r="C76" s="52" t="s">
        <v>176</v>
      </c>
      <c r="D76" s="52" t="s">
        <v>177</v>
      </c>
      <c r="E76" s="52" t="s">
        <v>178</v>
      </c>
      <c r="F76" s="52" t="s">
        <v>23</v>
      </c>
    </row>
    <row r="77" spans="2:6" x14ac:dyDescent="0.35">
      <c r="B77" s="41" t="s">
        <v>190</v>
      </c>
      <c r="C77" s="43">
        <f>IF(F69&gt;0, C69/F69, 0)</f>
        <v>0</v>
      </c>
      <c r="D77" s="43">
        <f>IF(F69&gt;0, D69/F69, 0)</f>
        <v>0</v>
      </c>
      <c r="E77" s="43">
        <f>IF(F69&gt;0, E69/F69, 0)</f>
        <v>0</v>
      </c>
      <c r="F77" s="44" t="s">
        <v>23</v>
      </c>
    </row>
    <row r="78" spans="2:6" x14ac:dyDescent="0.35">
      <c r="B78" s="41" t="s">
        <v>191</v>
      </c>
      <c r="C78" s="43">
        <f>IF(F70&gt;0, C70/F70, 0)</f>
        <v>0</v>
      </c>
      <c r="D78" s="43">
        <f>IF(F70&gt;0, D70/F70, 0)</f>
        <v>0</v>
      </c>
      <c r="E78" s="43">
        <f>IF(F70&gt;0, E70/F70, 0)</f>
        <v>0</v>
      </c>
      <c r="F78" s="44" t="s">
        <v>23</v>
      </c>
    </row>
    <row r="79" spans="2:6" x14ac:dyDescent="0.35">
      <c r="B79" s="41" t="s">
        <v>192</v>
      </c>
      <c r="C79" s="43">
        <f>IF(F71&gt;0, C71/F71, 0)</f>
        <v>0</v>
      </c>
      <c r="D79" s="43">
        <f>IF(F71&gt;0, D71/F71, 0)</f>
        <v>0</v>
      </c>
      <c r="E79" s="43">
        <f>IF(F71&gt;0, E71/F71, 0)</f>
        <v>0</v>
      </c>
      <c r="F79" s="44" t="s">
        <v>23</v>
      </c>
    </row>
    <row r="80" spans="2:6" x14ac:dyDescent="0.35">
      <c r="B80" s="41" t="s">
        <v>193</v>
      </c>
      <c r="C80" s="43">
        <f>IF(F72&gt;0, C72/F72, 0)</f>
        <v>0</v>
      </c>
      <c r="D80" s="43">
        <f>IF(F72&gt;0, D72/F72, 0)</f>
        <v>0</v>
      </c>
      <c r="E80" s="43">
        <f>IF(F72&gt;0, E72/F72, 0)</f>
        <v>0</v>
      </c>
      <c r="F80" s="44" t="s">
        <v>23</v>
      </c>
    </row>
    <row r="81" spans="2:6" x14ac:dyDescent="0.35">
      <c r="B81" s="41" t="s">
        <v>20</v>
      </c>
      <c r="C81" s="43">
        <f>IF(F73&gt;0, C73/F73, 0)</f>
        <v>0</v>
      </c>
      <c r="D81" s="43">
        <f>IF(F73&gt;0, D73/F73, 0)</f>
        <v>0</v>
      </c>
      <c r="E81" s="43">
        <f>IF(F73&gt;0, E73/F73, 0)</f>
        <v>1</v>
      </c>
      <c r="F81" s="44" t="s">
        <v>23</v>
      </c>
    </row>
    <row r="86" spans="2:6" ht="18.5" x14ac:dyDescent="0.45">
      <c r="B86" s="37" t="s">
        <v>194</v>
      </c>
    </row>
    <row r="88" spans="2:6" x14ac:dyDescent="0.35">
      <c r="B88" s="51" t="s">
        <v>175</v>
      </c>
    </row>
    <row r="89" spans="2:6" x14ac:dyDescent="0.35">
      <c r="B89" s="39" t="s">
        <v>195</v>
      </c>
      <c r="C89" s="39" t="s">
        <v>176</v>
      </c>
      <c r="D89" s="39" t="s">
        <v>177</v>
      </c>
      <c r="E89" s="39" t="s">
        <v>178</v>
      </c>
      <c r="F89" s="39" t="s">
        <v>179</v>
      </c>
    </row>
    <row r="90" spans="2:6" x14ac:dyDescent="0.35">
      <c r="B90" s="41" t="s">
        <v>196</v>
      </c>
      <c r="C90" s="42">
        <f>COUNTIFS('Recommendations'!F:F,"Low",'Recommendations'!O:O,"=Resolved")</f>
        <v>0</v>
      </c>
      <c r="D90" s="42">
        <f>COUNTIFS('Recommendations'!F:F,"=Low",'Recommendations'!O:O,"=Testing")</f>
        <v>0</v>
      </c>
      <c r="E90" s="42">
        <f>COUNTIFS('Recommendations'!F:F,"=Low",'Recommendations'!O:O,"=Outstanding")</f>
        <v>0</v>
      </c>
      <c r="F90" s="42">
        <f>SUM(C90:E90)</f>
        <v>0</v>
      </c>
    </row>
    <row r="91" spans="2:6" x14ac:dyDescent="0.35">
      <c r="B91" s="41" t="s">
        <v>197</v>
      </c>
      <c r="C91" s="42">
        <f>COUNTIFS('Recommendations'!F:F,"Medium",'Recommendations'!O:O,"=Resolved")</f>
        <v>0</v>
      </c>
      <c r="D91" s="42">
        <f>COUNTIFS('Recommendations'!F:F,"=Medium",'Recommendations'!O:O,"=Testing")</f>
        <v>0</v>
      </c>
      <c r="E91" s="42">
        <f>COUNTIFS('Recommendations'!F:F,"=Medium",'Recommendations'!O:O,"=Outstanding")</f>
        <v>0</v>
      </c>
      <c r="F91" s="42">
        <f>SUM(C91:E91)</f>
        <v>0</v>
      </c>
    </row>
    <row r="92" spans="2:6" x14ac:dyDescent="0.35">
      <c r="B92" s="41" t="s">
        <v>198</v>
      </c>
      <c r="C92" s="42">
        <f>COUNTIFS('Recommendations'!F:F,"High",'Recommendations'!O:O,"=Resolved")</f>
        <v>0</v>
      </c>
      <c r="D92" s="42">
        <f>COUNTIFS('Recommendations'!F:F,"=High",'Recommendations'!O:O,"=Testing")</f>
        <v>0</v>
      </c>
      <c r="E92" s="42">
        <f>COUNTIFS('Recommendations'!F:F,"=High",'Recommendations'!O:O,"=Outstanding")</f>
        <v>0</v>
      </c>
      <c r="F92" s="42">
        <f>SUM(C92:E92)</f>
        <v>0</v>
      </c>
    </row>
    <row r="93" spans="2:6" x14ac:dyDescent="0.35">
      <c r="B93" s="41" t="s">
        <v>21</v>
      </c>
      <c r="C93" s="42">
        <f>COUNTIFS('Recommendations'!F:F,"Unassessed",'Recommendations'!O:O,"=Resolved")</f>
        <v>0</v>
      </c>
      <c r="D93" s="42">
        <f>COUNTIFS('Recommendations'!F:F,"=Unassessed",'Recommendations'!O:O,"=Testing")</f>
        <v>0</v>
      </c>
      <c r="E93" s="42">
        <f>COUNTIFS('Recommendations'!F:F,"=Unassessed",'Recommendations'!O:O,"=Outstanding")</f>
        <v>17</v>
      </c>
      <c r="F93" s="42">
        <f>SUM(C93:E93)</f>
        <v>17</v>
      </c>
    </row>
    <row r="95" spans="2:6" x14ac:dyDescent="0.35">
      <c r="B95" s="51" t="s">
        <v>181</v>
      </c>
    </row>
    <row r="96" spans="2:6" x14ac:dyDescent="0.35">
      <c r="B96" s="52" t="s">
        <v>195</v>
      </c>
      <c r="C96" s="52" t="s">
        <v>176</v>
      </c>
      <c r="D96" s="52" t="s">
        <v>177</v>
      </c>
      <c r="E96" s="52" t="s">
        <v>178</v>
      </c>
      <c r="F96" s="52" t="s">
        <v>23</v>
      </c>
    </row>
    <row r="97" spans="2:15" x14ac:dyDescent="0.35">
      <c r="B97" s="41" t="s">
        <v>196</v>
      </c>
      <c r="C97" s="43">
        <f>IF(F90&gt;0, C90/F90, 0)</f>
        <v>0</v>
      </c>
      <c r="D97" s="43">
        <f>IF(F90&gt;0, D90/F90, 0)</f>
        <v>0</v>
      </c>
      <c r="E97" s="43">
        <f>IF(F90&gt;0, E90/F90, 0)</f>
        <v>0</v>
      </c>
      <c r="F97" s="44" t="s">
        <v>23</v>
      </c>
    </row>
    <row r="98" spans="2:15" x14ac:dyDescent="0.35">
      <c r="B98" s="41" t="s">
        <v>197</v>
      </c>
      <c r="C98" s="43">
        <f>IF(F91&gt;0, C91/F91, 0)</f>
        <v>0</v>
      </c>
      <c r="D98" s="43">
        <f>IF(F91&gt;0, D91/F91, 0)</f>
        <v>0</v>
      </c>
      <c r="E98" s="43">
        <f>IF(F91&gt;0, E91/F91, 0)</f>
        <v>0</v>
      </c>
      <c r="F98" s="44" t="s">
        <v>23</v>
      </c>
    </row>
    <row r="99" spans="2:15" x14ac:dyDescent="0.35">
      <c r="B99" s="41" t="s">
        <v>198</v>
      </c>
      <c r="C99" s="43">
        <f>IF(F92&gt;0, C92/F92, 0)</f>
        <v>0</v>
      </c>
      <c r="D99" s="43">
        <f>IF(F92&gt;0, D92/F92, 0)</f>
        <v>0</v>
      </c>
      <c r="E99" s="43">
        <f>IF(F92&gt;0, E92/F92, 0)</f>
        <v>0</v>
      </c>
      <c r="F99" s="44" t="s">
        <v>23</v>
      </c>
    </row>
    <row r="100" spans="2:15" x14ac:dyDescent="0.35">
      <c r="B100" s="41" t="s">
        <v>21</v>
      </c>
      <c r="C100" s="43">
        <f>IF(F93&gt;0, C93/F93, 0)</f>
        <v>0</v>
      </c>
      <c r="D100" s="43">
        <f>IF(F93&gt;0, D93/F93, 0)</f>
        <v>0</v>
      </c>
      <c r="E100" s="43">
        <f>IF(F93&gt;0, E93/F93, 0)</f>
        <v>1</v>
      </c>
      <c r="F100" s="44" t="s">
        <v>23</v>
      </c>
    </row>
    <row r="105" spans="2:15" ht="18.5" x14ac:dyDescent="0.45">
      <c r="B105" s="37" t="s">
        <v>199</v>
      </c>
      <c r="J105" s="37" t="s">
        <v>200</v>
      </c>
    </row>
    <row r="106" spans="2:15" x14ac:dyDescent="0.35">
      <c r="B106" s="39" t="s">
        <v>6</v>
      </c>
      <c r="C106" s="81" t="s">
        <v>201</v>
      </c>
      <c r="D106" s="81"/>
      <c r="E106" s="39" t="s">
        <v>168</v>
      </c>
      <c r="F106" s="39" t="s">
        <v>176</v>
      </c>
      <c r="G106" s="81" t="s">
        <v>202</v>
      </c>
      <c r="H106" s="81"/>
      <c r="J106" s="39" t="s">
        <v>6</v>
      </c>
      <c r="K106" s="39" t="s">
        <v>190</v>
      </c>
      <c r="L106" s="39" t="s">
        <v>191</v>
      </c>
      <c r="M106" s="39" t="s">
        <v>192</v>
      </c>
      <c r="N106" s="39" t="s">
        <v>193</v>
      </c>
      <c r="O106" s="39" t="s">
        <v>20</v>
      </c>
    </row>
    <row r="107" spans="2:15" x14ac:dyDescent="0.35">
      <c r="B107" s="45" t="s">
        <v>184</v>
      </c>
      <c r="C107" s="88" t="s">
        <v>23</v>
      </c>
      <c r="D107" s="88"/>
      <c r="E107" s="42">
        <f>COUNTIF('Recommendations'!G:G,"Phase1")-COUNTIFS('Recommendations'!G:G,"Phase1",'Recommendations'!H:H,"Risk Accepted")-COUNTIFS('Recommendations'!G:G,"Phase1",'Recommendations'!H:H,"N/A")</f>
        <v>0</v>
      </c>
      <c r="F107" s="42">
        <f>COUNTIFS('Recommendations'!G:G,"Phase1",'Recommendations'!O:O,"Resolved")</f>
        <v>0</v>
      </c>
      <c r="G107" s="89">
        <f t="shared" ref="G107:G112" si="4">IF(E107&gt;0,F107/E107,0)</f>
        <v>0</v>
      </c>
      <c r="H107" s="89"/>
      <c r="J107" s="45" t="s">
        <v>184</v>
      </c>
      <c r="K107" s="42">
        <f>COUNTIFS('Recommendations'!G:G,"Phase1",'Recommendations'!E:E,"Must")</f>
        <v>0</v>
      </c>
      <c r="L107" s="42">
        <f>COUNTIFS('Recommendations'!G:G,"Phase1",'Recommendations'!E:E,"Should")</f>
        <v>0</v>
      </c>
      <c r="M107" s="42">
        <f>COUNTIFS('Recommendations'!G:G,"Phase1",'Recommendations'!E:E,"Could")</f>
        <v>0</v>
      </c>
      <c r="N107" s="42">
        <f>COUNTIFS('Recommendations'!G:G,"Phase1",'Recommendations'!E:E,"Won't")</f>
        <v>0</v>
      </c>
      <c r="O107" s="42">
        <f>COUNTIFS('Recommendations'!G:G,"Phase1",'Recommendations'!E:E,"Unassigned")</f>
        <v>0</v>
      </c>
    </row>
    <row r="108" spans="2:15" x14ac:dyDescent="0.35">
      <c r="B108" s="45" t="s">
        <v>185</v>
      </c>
      <c r="C108" s="88" t="s">
        <v>23</v>
      </c>
      <c r="D108" s="88"/>
      <c r="E108" s="42">
        <f>COUNTIF('Recommendations'!G:G,"Phase2")-COUNTIFS('Recommendations'!G:G,"Phase2",'Recommendations'!H:H,"Risk Accepted")-COUNTIFS('Recommendations'!G:G,"Phase2",'Recommendations'!H:H,"N/A")</f>
        <v>0</v>
      </c>
      <c r="F108" s="42">
        <f>COUNTIFS('Recommendations'!G:G,"Phase2",'Recommendations'!O:O,"Resolved")</f>
        <v>0</v>
      </c>
      <c r="G108" s="89">
        <f t="shared" si="4"/>
        <v>0</v>
      </c>
      <c r="H108" s="89"/>
      <c r="J108" s="45" t="s">
        <v>185</v>
      </c>
      <c r="K108" s="42">
        <f>COUNTIFS('Recommendations'!G:G,"Phase2",'Recommendations'!E:E,"Must")</f>
        <v>0</v>
      </c>
      <c r="L108" s="42">
        <f>COUNTIFS('Recommendations'!G:G,"Phase2",'Recommendations'!E:E,"Should")</f>
        <v>0</v>
      </c>
      <c r="M108" s="42">
        <f>COUNTIFS('Recommendations'!G:G,"Phase2",'Recommendations'!E:E,"Could")</f>
        <v>0</v>
      </c>
      <c r="N108" s="42">
        <f>COUNTIFS('Recommendations'!G:G,"Phase2",'Recommendations'!E:E,"Won't")</f>
        <v>0</v>
      </c>
      <c r="O108" s="42">
        <f>COUNTIFS('Recommendations'!G:G,"Phase2",'Recommendations'!E:E,"Unassigned")</f>
        <v>0</v>
      </c>
    </row>
    <row r="109" spans="2:15" x14ac:dyDescent="0.35">
      <c r="B109" s="45" t="s">
        <v>186</v>
      </c>
      <c r="C109" s="88" t="s">
        <v>23</v>
      </c>
      <c r="D109" s="88"/>
      <c r="E109" s="42">
        <f>COUNTIF('Recommendations'!G:G,"Phase3")-COUNTIFS('Recommendations'!G:G,"Phase3",'Recommendations'!H:H,"Risk Accepted")-COUNTIFS('Recommendations'!G:G,"Phase3",'Recommendations'!H:H,"N/A")</f>
        <v>0</v>
      </c>
      <c r="F109" s="42">
        <f>COUNTIFS('Recommendations'!G:G,"Phase3",'Recommendations'!O:O,"Resolved")</f>
        <v>0</v>
      </c>
      <c r="G109" s="89">
        <f t="shared" si="4"/>
        <v>0</v>
      </c>
      <c r="H109" s="89"/>
      <c r="J109" s="45" t="s">
        <v>186</v>
      </c>
      <c r="K109" s="42">
        <f>COUNTIFS('Recommendations'!G:G,"Phase3",'Recommendations'!E:E,"Must")</f>
        <v>0</v>
      </c>
      <c r="L109" s="42">
        <f>COUNTIFS('Recommendations'!G:G,"Phase3",'Recommendations'!E:E,"Should")</f>
        <v>0</v>
      </c>
      <c r="M109" s="42">
        <f>COUNTIFS('Recommendations'!G:G,"Phase3",'Recommendations'!E:E,"Could")</f>
        <v>0</v>
      </c>
      <c r="N109" s="42">
        <f>COUNTIFS('Recommendations'!G:G,"Phase3",'Recommendations'!E:E,"Won't")</f>
        <v>0</v>
      </c>
      <c r="O109" s="42">
        <f>COUNTIFS('Recommendations'!G:G,"Phase3",'Recommendations'!E:E,"Unassigned")</f>
        <v>0</v>
      </c>
    </row>
    <row r="110" spans="2:15" x14ac:dyDescent="0.35">
      <c r="B110" s="45" t="s">
        <v>187</v>
      </c>
      <c r="C110" s="88" t="s">
        <v>23</v>
      </c>
      <c r="D110" s="88"/>
      <c r="E110" s="42">
        <f>COUNTIF('Recommendations'!G:G,"Phase4")-COUNTIFS('Recommendations'!G:G,"Phase4",'Recommendations'!H:H,"Risk Accepted")-COUNTIFS('Recommendations'!G:G,"Phase4",'Recommendations'!H:H,"N/A")</f>
        <v>0</v>
      </c>
      <c r="F110" s="42">
        <f>COUNTIFS('Recommendations'!G:G,"Phase4",'Recommendations'!O:O,"Resolved")</f>
        <v>0</v>
      </c>
      <c r="G110" s="89">
        <f t="shared" si="4"/>
        <v>0</v>
      </c>
      <c r="H110" s="89"/>
      <c r="J110" s="45" t="s">
        <v>187</v>
      </c>
      <c r="K110" s="42">
        <f>COUNTIFS('Recommendations'!G:G,"Phase4",'Recommendations'!E:E,"Must")</f>
        <v>0</v>
      </c>
      <c r="L110" s="42">
        <f>COUNTIFS('Recommendations'!G:G,"Phase4",'Recommendations'!E:E,"Should")</f>
        <v>0</v>
      </c>
      <c r="M110" s="42">
        <f>COUNTIFS('Recommendations'!G:G,"Phase4",'Recommendations'!E:E,"Could")</f>
        <v>0</v>
      </c>
      <c r="N110" s="42">
        <f>COUNTIFS('Recommendations'!G:G,"Phase4",'Recommendations'!E:E,"Won't")</f>
        <v>0</v>
      </c>
      <c r="O110" s="42">
        <f>COUNTIFS('Recommendations'!G:G,"Phase4",'Recommendations'!E:E,"Unassigned")</f>
        <v>0</v>
      </c>
    </row>
    <row r="111" spans="2:15" x14ac:dyDescent="0.35">
      <c r="B111" s="45" t="s">
        <v>188</v>
      </c>
      <c r="C111" s="88" t="s">
        <v>23</v>
      </c>
      <c r="D111" s="88"/>
      <c r="E111" s="42">
        <f>COUNTIF('Recommendations'!G:G,"Phase5")-COUNTIFS('Recommendations'!G:G,"Phase5",'Recommendations'!H:H,"Risk Accepted")-COUNTIFS('Recommendations'!G:G,"Phase5",'Recommendations'!H:H,"N/A")</f>
        <v>0</v>
      </c>
      <c r="F111" s="42">
        <f>COUNTIFS('Recommendations'!G:G,"Phase5",'Recommendations'!O:O,"Resolved")</f>
        <v>0</v>
      </c>
      <c r="G111" s="89">
        <f t="shared" si="4"/>
        <v>0</v>
      </c>
      <c r="H111" s="89"/>
      <c r="J111" s="45" t="s">
        <v>188</v>
      </c>
      <c r="K111" s="42">
        <f>COUNTIFS('Recommendations'!G:G,"Phase5",'Recommendations'!E:E,"Must")</f>
        <v>0</v>
      </c>
      <c r="L111" s="42">
        <f>COUNTIFS('Recommendations'!G:G,"Phase5",'Recommendations'!E:E,"Should")</f>
        <v>0</v>
      </c>
      <c r="M111" s="42">
        <f>COUNTIFS('Recommendations'!G:G,"Phase5",'Recommendations'!E:E,"Could")</f>
        <v>0</v>
      </c>
      <c r="N111" s="42">
        <f>COUNTIFS('Recommendations'!G:G,"Phase5",'Recommendations'!E:E,"Won't")</f>
        <v>0</v>
      </c>
      <c r="O111" s="42">
        <f>COUNTIFS('Recommendations'!G:G,"Phase5",'Recommendations'!E:E,"Unassigned")</f>
        <v>0</v>
      </c>
    </row>
    <row r="112" spans="2:15" x14ac:dyDescent="0.35">
      <c r="B112" s="45" t="s">
        <v>22</v>
      </c>
      <c r="C112" s="88" t="s">
        <v>23</v>
      </c>
      <c r="D112" s="88"/>
      <c r="E112" s="42">
        <f>COUNTIF('Recommendations'!G:G,"Pending")-COUNTIFS('Recommendations'!G:G,"Pending",'Recommendations'!H:H,"Risk Accepted")-COUNTIFS('Recommendations'!G:G,"Pending",'Recommendations'!H:H,"N/A")</f>
        <v>17</v>
      </c>
      <c r="F112" s="42">
        <f>COUNTIFS('Recommendations'!G:G,"Pending",'Recommendations'!O:O,"Resolved")</f>
        <v>0</v>
      </c>
      <c r="G112" s="89">
        <f t="shared" si="4"/>
        <v>0</v>
      </c>
      <c r="H112" s="89"/>
      <c r="J112" s="45" t="s">
        <v>22</v>
      </c>
      <c r="K112" s="42">
        <f>COUNTIFS('Recommendations'!G:G,"Pending",'Recommendations'!E:E,"Must")</f>
        <v>0</v>
      </c>
      <c r="L112" s="42">
        <f>COUNTIFS('Recommendations'!G:G,"Pending",'Recommendations'!E:E,"Should")</f>
        <v>0</v>
      </c>
      <c r="M112" s="42">
        <f>COUNTIFS('Recommendations'!G:G,"Pending",'Recommendations'!E:E,"Could")</f>
        <v>0</v>
      </c>
      <c r="N112" s="42">
        <f>COUNTIFS('Recommendations'!G:G,"Pending",'Recommendations'!E:E,"Won't")</f>
        <v>0</v>
      </c>
      <c r="O112" s="42">
        <f>COUNTIFS('Recommendations'!G:G,"Pending",'Recommendations'!E:E,"Unassigned")</f>
        <v>17</v>
      </c>
    </row>
    <row r="119" spans="2:24" ht="21" x14ac:dyDescent="0.5">
      <c r="B119" s="37" t="s">
        <v>203</v>
      </c>
      <c r="P119" s="54" t="s">
        <v>204</v>
      </c>
    </row>
    <row r="121" spans="2:24" ht="60" customHeight="1" x14ac:dyDescent="0.35">
      <c r="B121" s="90" t="s">
        <v>205</v>
      </c>
      <c r="C121" s="87"/>
      <c r="D121" s="87"/>
      <c r="E121" s="87"/>
      <c r="F121" s="87"/>
      <c r="P121" s="90" t="s">
        <v>206</v>
      </c>
      <c r="Q121" s="87"/>
      <c r="R121" s="87"/>
      <c r="S121" s="87"/>
      <c r="T121" s="87"/>
      <c r="U121" s="87"/>
      <c r="V121" s="87"/>
      <c r="W121" s="87"/>
    </row>
    <row r="123" spans="2:24" ht="30" customHeight="1" x14ac:dyDescent="0.35">
      <c r="P123" s="55" t="s">
        <v>207</v>
      </c>
      <c r="Q123" s="56">
        <f>C16</f>
        <v>0</v>
      </c>
      <c r="R123" s="57"/>
      <c r="S123" s="56">
        <f>C69</f>
        <v>0</v>
      </c>
      <c r="T123" s="57"/>
      <c r="U123" s="56">
        <f>C70</f>
        <v>0</v>
      </c>
      <c r="V123" s="57"/>
      <c r="W123" s="56">
        <f>C71</f>
        <v>0</v>
      </c>
      <c r="X123" s="57"/>
    </row>
    <row r="124" spans="2:24" ht="35" customHeight="1" x14ac:dyDescent="0.35">
      <c r="P124" s="58" t="s">
        <v>208</v>
      </c>
      <c r="Q124" s="58" t="s">
        <v>209</v>
      </c>
      <c r="R124" s="58" t="s">
        <v>210</v>
      </c>
      <c r="S124" s="58" t="s">
        <v>211</v>
      </c>
      <c r="T124" s="58" t="s">
        <v>212</v>
      </c>
      <c r="U124" s="58" t="s">
        <v>213</v>
      </c>
      <c r="V124" s="58" t="s">
        <v>214</v>
      </c>
      <c r="W124" s="58" t="s">
        <v>215</v>
      </c>
      <c r="X124" s="58" t="s">
        <v>216</v>
      </c>
    </row>
    <row r="125" spans="2:24" x14ac:dyDescent="0.35">
      <c r="O125" s="59" t="s">
        <v>217</v>
      </c>
      <c r="P125" s="60" t="s">
        <v>218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219</v>
      </c>
      <c r="P160" s="54" t="s">
        <v>220</v>
      </c>
    </row>
    <row r="162" spans="2:22" ht="45" customHeight="1" x14ac:dyDescent="0.35">
      <c r="B162" s="90" t="s">
        <v>221</v>
      </c>
      <c r="C162" s="87"/>
      <c r="D162" s="87"/>
      <c r="E162" s="87"/>
      <c r="F162" s="87"/>
      <c r="P162" s="90" t="s">
        <v>222</v>
      </c>
      <c r="Q162" s="87"/>
      <c r="R162" s="87"/>
      <c r="S162" s="87"/>
      <c r="T162" s="87"/>
      <c r="U162" s="87"/>
    </row>
    <row r="163" spans="2:22" ht="35" customHeight="1" x14ac:dyDescent="0.35">
      <c r="P163" s="81" t="s">
        <v>223</v>
      </c>
      <c r="Q163" s="81"/>
      <c r="R163" s="81" t="s">
        <v>224</v>
      </c>
      <c r="S163" s="81"/>
      <c r="T163" s="81"/>
    </row>
    <row r="164" spans="2:22" ht="30" customHeight="1" x14ac:dyDescent="0.35">
      <c r="P164" s="82">
        <v>0</v>
      </c>
      <c r="Q164" s="83"/>
      <c r="R164" s="84" t="s">
        <v>225</v>
      </c>
      <c r="S164" s="85"/>
      <c r="T164" s="85"/>
    </row>
    <row r="167" spans="2:22" ht="25" customHeight="1" x14ac:dyDescent="0.35">
      <c r="P167" s="63" t="s">
        <v>208</v>
      </c>
      <c r="Q167" s="63" t="s">
        <v>226</v>
      </c>
      <c r="R167" s="63" t="s">
        <v>227</v>
      </c>
      <c r="S167" s="86" t="s">
        <v>8</v>
      </c>
      <c r="T167" s="86"/>
      <c r="U167" s="86"/>
      <c r="V167" s="87"/>
    </row>
    <row r="168" spans="2:22" ht="20" customHeight="1" x14ac:dyDescent="0.35">
      <c r="P168" s="65"/>
      <c r="Q168" s="66"/>
      <c r="R168" s="67" t="str">
        <f>IF(AND(NOT(ISBLANK(Q168)), Dashboard!$P164&gt;0), Q168/Dashboard!$P164, "")</f>
        <v/>
      </c>
      <c r="S168" s="79"/>
      <c r="T168" s="80"/>
      <c r="U168" s="80"/>
      <c r="V168" s="80"/>
    </row>
    <row r="169" spans="2:22" ht="20" customHeight="1" x14ac:dyDescent="0.35">
      <c r="P169" s="65"/>
      <c r="Q169" s="66"/>
      <c r="R169" s="67" t="str">
        <f>IF(AND(NOT(ISBLANK(Q169)), Dashboard!$P164&gt;0), Q169/Dashboard!$P164, "")</f>
        <v/>
      </c>
      <c r="S169" s="79"/>
      <c r="T169" s="80"/>
      <c r="U169" s="80"/>
      <c r="V169" s="80"/>
    </row>
    <row r="170" spans="2:22" ht="20" customHeight="1" x14ac:dyDescent="0.35">
      <c r="P170" s="65"/>
      <c r="Q170" s="66"/>
      <c r="R170" s="67" t="str">
        <f>IF(AND(NOT(ISBLANK(Q170)), Dashboard!$P164&gt;0), Q170/Dashboard!$P164, "")</f>
        <v/>
      </c>
      <c r="S170" s="79"/>
      <c r="T170" s="80"/>
      <c r="U170" s="80"/>
      <c r="V170" s="80"/>
    </row>
    <row r="171" spans="2:22" ht="20" customHeight="1" x14ac:dyDescent="0.35">
      <c r="P171" s="65"/>
      <c r="Q171" s="66"/>
      <c r="R171" s="67" t="str">
        <f>IF(AND(NOT(ISBLANK(Q171)), Dashboard!$P164&gt;0), Q171/Dashboard!$P164, "")</f>
        <v/>
      </c>
      <c r="S171" s="79"/>
      <c r="T171" s="80"/>
      <c r="U171" s="80"/>
      <c r="V171" s="80"/>
    </row>
    <row r="172" spans="2:22" ht="20" customHeight="1" x14ac:dyDescent="0.35">
      <c r="P172" s="65"/>
      <c r="Q172" s="66"/>
      <c r="R172" s="67" t="str">
        <f>IF(AND(NOT(ISBLANK(Q172)), Dashboard!$P164&gt;0), Q172/Dashboard!$P164, "")</f>
        <v/>
      </c>
      <c r="S172" s="79"/>
      <c r="T172" s="80"/>
      <c r="U172" s="80"/>
      <c r="V172" s="80"/>
    </row>
    <row r="173" spans="2:22" ht="20" customHeight="1" x14ac:dyDescent="0.35">
      <c r="P173" s="65"/>
      <c r="Q173" s="66"/>
      <c r="R173" s="67" t="str">
        <f>IF(AND(NOT(ISBLANK(Q173)), Dashboard!$P164&gt;0), Q173/Dashboard!$P164, "")</f>
        <v/>
      </c>
      <c r="S173" s="79"/>
      <c r="T173" s="80"/>
      <c r="U173" s="80"/>
      <c r="V173" s="80"/>
    </row>
    <row r="174" spans="2:22" ht="20" customHeight="1" x14ac:dyDescent="0.35">
      <c r="P174" s="65"/>
      <c r="Q174" s="66"/>
      <c r="R174" s="67" t="str">
        <f>IF(AND(NOT(ISBLANK(Q174)), Dashboard!$P164&gt;0), Q174/Dashboard!$P164, "")</f>
        <v/>
      </c>
      <c r="S174" s="79"/>
      <c r="T174" s="80"/>
      <c r="U174" s="80"/>
      <c r="V174" s="80"/>
    </row>
    <row r="175" spans="2:22" ht="20" customHeight="1" x14ac:dyDescent="0.35">
      <c r="P175" s="65"/>
      <c r="Q175" s="66"/>
      <c r="R175" s="67" t="str">
        <f>IF(AND(NOT(ISBLANK(Q175)), Dashboard!$P164&gt;0), Q175/Dashboard!$P164, "")</f>
        <v/>
      </c>
      <c r="S175" s="79"/>
      <c r="T175" s="80"/>
      <c r="U175" s="80"/>
      <c r="V175" s="80"/>
    </row>
    <row r="176" spans="2:22" ht="20" customHeight="1" x14ac:dyDescent="0.35">
      <c r="P176" s="65"/>
      <c r="Q176" s="66"/>
      <c r="R176" s="67" t="str">
        <f>IF(AND(NOT(ISBLANK(Q176)), Dashboard!$P164&gt;0), Q176/Dashboard!$P164, "")</f>
        <v/>
      </c>
      <c r="S176" s="79"/>
      <c r="T176" s="80"/>
      <c r="U176" s="80"/>
      <c r="V176" s="80"/>
    </row>
    <row r="177" spans="2:22" ht="20" customHeight="1" x14ac:dyDescent="0.35">
      <c r="P177" s="65"/>
      <c r="Q177" s="66"/>
      <c r="R177" s="67" t="str">
        <f>IF(AND(NOT(ISBLANK(Q177)), Dashboard!$P164&gt;0), Q177/Dashboard!$P164, "")</f>
        <v/>
      </c>
      <c r="S177" s="79"/>
      <c r="T177" s="80"/>
      <c r="U177" s="80"/>
      <c r="V177" s="80"/>
    </row>
    <row r="178" spans="2:22" ht="20" customHeight="1" x14ac:dyDescent="0.35">
      <c r="P178" s="65"/>
      <c r="Q178" s="66"/>
      <c r="R178" s="67" t="str">
        <f>IF(AND(NOT(ISBLANK(Q178)), Dashboard!$P164&gt;0), Q178/Dashboard!$P164, "")</f>
        <v/>
      </c>
      <c r="S178" s="79"/>
      <c r="T178" s="80"/>
      <c r="U178" s="80"/>
      <c r="V178" s="80"/>
    </row>
    <row r="179" spans="2:22" ht="20" customHeight="1" x14ac:dyDescent="0.35">
      <c r="P179" s="65"/>
      <c r="Q179" s="66"/>
      <c r="R179" s="67" t="str">
        <f>IF(AND(NOT(ISBLANK(Q179)), Dashboard!$P164&gt;0), Q179/Dashboard!$P164, "")</f>
        <v/>
      </c>
      <c r="S179" s="79"/>
      <c r="T179" s="80"/>
      <c r="U179" s="80"/>
      <c r="V179" s="80"/>
    </row>
    <row r="180" spans="2:22" ht="20" customHeight="1" x14ac:dyDescent="0.35">
      <c r="P180" s="65"/>
      <c r="Q180" s="66"/>
      <c r="R180" s="67" t="str">
        <f>IF(AND(NOT(ISBLANK(Q180)), Dashboard!$P164&gt;0), Q180/Dashboard!$P164, "")</f>
        <v/>
      </c>
      <c r="S180" s="79"/>
      <c r="T180" s="80"/>
      <c r="U180" s="80"/>
      <c r="V180" s="80"/>
    </row>
    <row r="181" spans="2:22" ht="20" customHeight="1" x14ac:dyDescent="0.35">
      <c r="P181" s="65"/>
      <c r="Q181" s="66"/>
      <c r="R181" s="67" t="str">
        <f>IF(AND(NOT(ISBLANK(Q181)), Dashboard!$P164&gt;0), Q181/Dashboard!$P164, "")</f>
        <v/>
      </c>
      <c r="S181" s="79"/>
      <c r="T181" s="80"/>
      <c r="U181" s="80"/>
      <c r="V181" s="80"/>
    </row>
    <row r="182" spans="2:22" ht="20" customHeight="1" x14ac:dyDescent="0.35">
      <c r="P182" s="65"/>
      <c r="Q182" s="66"/>
      <c r="R182" s="67" t="str">
        <f>IF(AND(NOT(ISBLANK(Q182)), Dashboard!$P164&gt;0), Q182/Dashboard!$P164, "")</f>
        <v/>
      </c>
      <c r="S182" s="79"/>
      <c r="T182" s="80"/>
      <c r="U182" s="80"/>
      <c r="V182" s="80"/>
    </row>
    <row r="183" spans="2:22" ht="20" customHeight="1" x14ac:dyDescent="0.35">
      <c r="P183" s="65"/>
      <c r="Q183" s="66"/>
      <c r="R183" s="67" t="str">
        <f>IF(AND(NOT(ISBLANK(Q183)), Dashboard!$P164&gt;0), Q183/Dashboard!$P164, "")</f>
        <v/>
      </c>
      <c r="S183" s="79"/>
      <c r="T183" s="80"/>
      <c r="U183" s="80"/>
      <c r="V183" s="80"/>
    </row>
    <row r="184" spans="2:22" ht="20" customHeight="1" x14ac:dyDescent="0.35">
      <c r="P184" s="65"/>
      <c r="Q184" s="66"/>
      <c r="R184" s="67" t="str">
        <f>IF(AND(NOT(ISBLANK(Q184)), Dashboard!$P164&gt;0), Q184/Dashboard!$P164, "")</f>
        <v/>
      </c>
      <c r="S184" s="79"/>
      <c r="T184" s="80"/>
      <c r="U184" s="80"/>
      <c r="V184" s="80"/>
    </row>
    <row r="185" spans="2:22" ht="20" customHeight="1" x14ac:dyDescent="0.35">
      <c r="P185" s="65"/>
      <c r="Q185" s="66"/>
      <c r="R185" s="67" t="str">
        <f>IF(AND(NOT(ISBLANK(Q185)), Dashboard!$P164&gt;0), Q185/Dashboard!$P164, "")</f>
        <v/>
      </c>
      <c r="S185" s="79"/>
      <c r="T185" s="80"/>
      <c r="U185" s="80"/>
      <c r="V185" s="80"/>
    </row>
    <row r="186" spans="2:22" ht="20" customHeight="1" x14ac:dyDescent="0.35">
      <c r="P186" s="65"/>
      <c r="Q186" s="66"/>
      <c r="R186" s="67" t="str">
        <f>IF(AND(NOT(ISBLANK(Q186)), Dashboard!$P164&gt;0), Q186/Dashboard!$P164, "")</f>
        <v/>
      </c>
      <c r="S186" s="79"/>
      <c r="T186" s="80"/>
      <c r="U186" s="80"/>
      <c r="V186" s="80"/>
    </row>
    <row r="187" spans="2:22" ht="20" customHeight="1" x14ac:dyDescent="0.35">
      <c r="P187" s="65"/>
      <c r="Q187" s="66"/>
      <c r="R187" s="67" t="str">
        <f>IF(AND(NOT(ISBLANK(Q187)), Dashboard!$P164&gt;0), Q187/Dashboard!$P164, "")</f>
        <v/>
      </c>
      <c r="S187" s="79"/>
      <c r="T187" s="80"/>
      <c r="U187" s="80"/>
      <c r="V187" s="80"/>
    </row>
    <row r="191" spans="2:22" ht="32" customHeight="1" x14ac:dyDescent="0.35">
      <c r="B191" s="78" t="s">
        <v>106</v>
      </c>
      <c r="C191" s="78"/>
      <c r="D191" s="78"/>
      <c r="E191" s="78"/>
      <c r="F191" s="78"/>
      <c r="G191" s="78"/>
      <c r="H191" s="78"/>
      <c r="I191" s="78"/>
    </row>
  </sheetData>
  <mergeCells count="55">
    <mergeCell ref="B2:I2"/>
    <mergeCell ref="F5:H5"/>
    <mergeCell ref="I5:O5"/>
    <mergeCell ref="F6:H6"/>
    <mergeCell ref="I6:O6"/>
    <mergeCell ref="F7:H7"/>
    <mergeCell ref="I7:O7"/>
    <mergeCell ref="F8:H8"/>
    <mergeCell ref="I8:O8"/>
    <mergeCell ref="F9:H9"/>
    <mergeCell ref="I9:O9"/>
    <mergeCell ref="C106:D106"/>
    <mergeCell ref="G106:H106"/>
    <mergeCell ref="C107:D107"/>
    <mergeCell ref="G107:H107"/>
    <mergeCell ref="C108:D108"/>
    <mergeCell ref="G108:H108"/>
    <mergeCell ref="C109:D109"/>
    <mergeCell ref="G109:H109"/>
    <mergeCell ref="C110:D110"/>
    <mergeCell ref="G110:H110"/>
    <mergeCell ref="C111:D111"/>
    <mergeCell ref="G111:H111"/>
    <mergeCell ref="C112:D112"/>
    <mergeCell ref="G112:H112"/>
    <mergeCell ref="B121:F121"/>
    <mergeCell ref="P121:W121"/>
    <mergeCell ref="B162:F162"/>
    <mergeCell ref="P162:U162"/>
    <mergeCell ref="P163:Q163"/>
    <mergeCell ref="R163:T163"/>
    <mergeCell ref="P164:Q164"/>
    <mergeCell ref="R164:T164"/>
    <mergeCell ref="S167:V167"/>
    <mergeCell ref="S168:V168"/>
    <mergeCell ref="S169:V169"/>
    <mergeCell ref="S170:V170"/>
    <mergeCell ref="S171:V171"/>
    <mergeCell ref="S172:V172"/>
    <mergeCell ref="S173:V173"/>
    <mergeCell ref="S174:V174"/>
    <mergeCell ref="S175:V175"/>
    <mergeCell ref="S176:V176"/>
    <mergeCell ref="S177:V177"/>
    <mergeCell ref="S178:V178"/>
    <mergeCell ref="S179:V179"/>
    <mergeCell ref="S180:V180"/>
    <mergeCell ref="S181:V181"/>
    <mergeCell ref="S182:V182"/>
    <mergeCell ref="B191:I191"/>
    <mergeCell ref="S183:V183"/>
    <mergeCell ref="S184:V184"/>
    <mergeCell ref="S185:V185"/>
    <mergeCell ref="S186:V186"/>
    <mergeCell ref="S187:V187"/>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7:H112">
    <cfRule type="expression" dxfId="29" priority="4">
      <formula>$G107&gt;=0.8</formula>
    </cfRule>
    <cfRule type="expression" dxfId="28" priority="5">
      <formula>AND($G107&gt;=0.5,$G107&lt;0.8)</formula>
    </cfRule>
    <cfRule type="expression" dxfId="27" priority="6">
      <formula>$G107&lt;0.5</formula>
    </cfRule>
  </conditionalFormatting>
  <conditionalFormatting sqref="K107:K112">
    <cfRule type="cellIs" dxfId="26" priority="7" operator="greaterThan">
      <formula>0</formula>
    </cfRule>
  </conditionalFormatting>
  <conditionalFormatting sqref="L107:L112">
    <cfRule type="cellIs" dxfId="25" priority="8" operator="greaterThan">
      <formula>0</formula>
    </cfRule>
  </conditionalFormatting>
  <conditionalFormatting sqref="M107:M112">
    <cfRule type="cellIs" dxfId="24" priority="9" operator="greaterThan">
      <formula>0</formula>
    </cfRule>
  </conditionalFormatting>
  <conditionalFormatting sqref="N107:N112">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
  <sheetViews>
    <sheetView tabSelected="1" workbookViewId="0">
      <pane xSplit="8" ySplit="1" topLeftCell="I2" activePane="bottomRight" state="frozen"/>
      <selection pane="topRight" activeCell="I1" sqref="I1"/>
      <selection pane="bottomLeft" activeCell="A2" sqref="A2"/>
      <selection pane="bottomRight" activeCell="H26" sqref="H26"/>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lapsed="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321</v>
      </c>
      <c r="K2" s="3" t="s">
        <v>24</v>
      </c>
      <c r="L2" s="3" t="s">
        <v>25</v>
      </c>
      <c r="M2" s="3" t="s">
        <v>26</v>
      </c>
      <c r="N2" s="3" t="s">
        <v>27</v>
      </c>
      <c r="O2" s="5" t="str">
        <f t="shared" ref="O2:O18" si="0">IF(OR(H2="Implemented",H2="Compensated"),"Resolved",IF(OR(H2="Risk Accepted",H2="N/A"),"Excluded",IF(H2="Testing","Testing","Outstanding")))</f>
        <v>Outstanding</v>
      </c>
      <c r="P2" s="13" t="s">
        <v>23</v>
      </c>
    </row>
    <row r="3" spans="1:16" ht="60" customHeight="1" x14ac:dyDescent="0.35">
      <c r="A3" s="11" t="s">
        <v>16</v>
      </c>
      <c r="B3" s="2" t="s">
        <v>28</v>
      </c>
      <c r="C3" s="3" t="s">
        <v>29</v>
      </c>
      <c r="D3" s="4" t="s">
        <v>30</v>
      </c>
      <c r="E3" s="4" t="s">
        <v>20</v>
      </c>
      <c r="F3" s="4" t="s">
        <v>21</v>
      </c>
      <c r="G3" s="4" t="s">
        <v>22</v>
      </c>
      <c r="H3" s="4" t="s">
        <v>23</v>
      </c>
      <c r="I3" s="1" t="s">
        <v>23</v>
      </c>
      <c r="J3" s="3" t="s">
        <v>319</v>
      </c>
      <c r="K3" s="3" t="s">
        <v>31</v>
      </c>
      <c r="L3" s="3" t="s">
        <v>25</v>
      </c>
      <c r="M3" s="3" t="s">
        <v>26</v>
      </c>
      <c r="N3" s="3" t="s">
        <v>27</v>
      </c>
      <c r="O3" s="5" t="str">
        <f t="shared" si="0"/>
        <v>Outstanding</v>
      </c>
      <c r="P3" s="13" t="s">
        <v>23</v>
      </c>
    </row>
    <row r="4" spans="1:16" ht="60" customHeight="1" x14ac:dyDescent="0.35">
      <c r="A4" s="11" t="s">
        <v>16</v>
      </c>
      <c r="B4" s="2" t="s">
        <v>32</v>
      </c>
      <c r="C4" s="3" t="s">
        <v>33</v>
      </c>
      <c r="D4" s="4" t="s">
        <v>19</v>
      </c>
      <c r="E4" s="4" t="s">
        <v>20</v>
      </c>
      <c r="F4" s="4" t="s">
        <v>21</v>
      </c>
      <c r="G4" s="4" t="s">
        <v>22</v>
      </c>
      <c r="H4" s="4" t="s">
        <v>23</v>
      </c>
      <c r="I4" s="1" t="s">
        <v>23</v>
      </c>
      <c r="J4" s="3" t="s">
        <v>34</v>
      </c>
      <c r="K4" s="3" t="s">
        <v>35</v>
      </c>
      <c r="L4" s="3" t="s">
        <v>25</v>
      </c>
      <c r="M4" s="3" t="s">
        <v>26</v>
      </c>
      <c r="N4" s="3" t="s">
        <v>27</v>
      </c>
      <c r="O4" s="5" t="str">
        <f t="shared" si="0"/>
        <v>Outstanding</v>
      </c>
      <c r="P4" s="13" t="s">
        <v>23</v>
      </c>
    </row>
    <row r="5" spans="1:16" ht="60" customHeight="1" x14ac:dyDescent="0.35">
      <c r="A5" s="11" t="s">
        <v>16</v>
      </c>
      <c r="B5" s="2" t="s">
        <v>36</v>
      </c>
      <c r="C5" s="3" t="s">
        <v>37</v>
      </c>
      <c r="D5" s="4" t="s">
        <v>30</v>
      </c>
      <c r="E5" s="4" t="s">
        <v>20</v>
      </c>
      <c r="F5" s="4" t="s">
        <v>21</v>
      </c>
      <c r="G5" s="4" t="s">
        <v>22</v>
      </c>
      <c r="H5" s="4" t="s">
        <v>23</v>
      </c>
      <c r="I5" s="1" t="s">
        <v>23</v>
      </c>
      <c r="J5" s="3" t="s">
        <v>38</v>
      </c>
      <c r="K5" s="3" t="s">
        <v>39</v>
      </c>
      <c r="L5" s="3" t="s">
        <v>25</v>
      </c>
      <c r="M5" s="3" t="s">
        <v>26</v>
      </c>
      <c r="N5" s="3" t="s">
        <v>27</v>
      </c>
      <c r="O5" s="5" t="str">
        <f t="shared" si="0"/>
        <v>Outstanding</v>
      </c>
      <c r="P5" s="13" t="s">
        <v>23</v>
      </c>
    </row>
    <row r="6" spans="1:16" ht="60" customHeight="1" x14ac:dyDescent="0.35">
      <c r="A6" s="11" t="s">
        <v>16</v>
      </c>
      <c r="B6" s="2" t="s">
        <v>40</v>
      </c>
      <c r="C6" s="3" t="s">
        <v>41</v>
      </c>
      <c r="D6" s="4" t="s">
        <v>30</v>
      </c>
      <c r="E6" s="4" t="s">
        <v>20</v>
      </c>
      <c r="F6" s="4" t="s">
        <v>21</v>
      </c>
      <c r="G6" s="4" t="s">
        <v>22</v>
      </c>
      <c r="H6" s="4" t="s">
        <v>23</v>
      </c>
      <c r="I6" s="1" t="s">
        <v>23</v>
      </c>
      <c r="J6" s="3" t="s">
        <v>42</v>
      </c>
      <c r="K6" s="3" t="s">
        <v>43</v>
      </c>
      <c r="L6" s="3" t="s">
        <v>25</v>
      </c>
      <c r="M6" s="3" t="s">
        <v>26</v>
      </c>
      <c r="N6" s="3" t="s">
        <v>27</v>
      </c>
      <c r="O6" s="5" t="str">
        <f t="shared" si="0"/>
        <v>Outstanding</v>
      </c>
      <c r="P6" s="13" t="s">
        <v>23</v>
      </c>
    </row>
    <row r="7" spans="1:16" ht="60" customHeight="1" x14ac:dyDescent="0.35">
      <c r="A7" s="11" t="s">
        <v>16</v>
      </c>
      <c r="B7" s="2" t="s">
        <v>44</v>
      </c>
      <c r="C7" s="3" t="s">
        <v>45</v>
      </c>
      <c r="D7" s="4" t="s">
        <v>19</v>
      </c>
      <c r="E7" s="4" t="s">
        <v>20</v>
      </c>
      <c r="F7" s="4" t="s">
        <v>21</v>
      </c>
      <c r="G7" s="4" t="s">
        <v>22</v>
      </c>
      <c r="H7" s="4" t="s">
        <v>23</v>
      </c>
      <c r="I7" s="1" t="s">
        <v>23</v>
      </c>
      <c r="J7" s="3" t="s">
        <v>320</v>
      </c>
      <c r="K7" s="3" t="s">
        <v>46</v>
      </c>
      <c r="L7" s="3" t="s">
        <v>25</v>
      </c>
      <c r="M7" s="3" t="s">
        <v>26</v>
      </c>
      <c r="N7" s="3" t="s">
        <v>27</v>
      </c>
      <c r="O7" s="5" t="str">
        <f t="shared" si="0"/>
        <v>Outstanding</v>
      </c>
      <c r="P7" s="13" t="s">
        <v>23</v>
      </c>
    </row>
    <row r="8" spans="1:16" ht="60" customHeight="1" x14ac:dyDescent="0.35">
      <c r="A8" s="11" t="s">
        <v>16</v>
      </c>
      <c r="B8" s="2" t="s">
        <v>47</v>
      </c>
      <c r="C8" s="3" t="s">
        <v>48</v>
      </c>
      <c r="D8" s="4" t="s">
        <v>49</v>
      </c>
      <c r="E8" s="4" t="s">
        <v>20</v>
      </c>
      <c r="F8" s="4" t="s">
        <v>21</v>
      </c>
      <c r="G8" s="4" t="s">
        <v>22</v>
      </c>
      <c r="H8" s="4" t="s">
        <v>23</v>
      </c>
      <c r="I8" s="1" t="s">
        <v>23</v>
      </c>
      <c r="J8" s="3" t="s">
        <v>50</v>
      </c>
      <c r="K8" s="3" t="s">
        <v>51</v>
      </c>
      <c r="L8" s="3" t="s">
        <v>25</v>
      </c>
      <c r="M8" s="3" t="s">
        <v>26</v>
      </c>
      <c r="N8" s="3" t="s">
        <v>27</v>
      </c>
      <c r="O8" s="5" t="str">
        <f t="shared" si="0"/>
        <v>Outstanding</v>
      </c>
      <c r="P8" s="13" t="s">
        <v>23</v>
      </c>
    </row>
    <row r="9" spans="1:16" ht="60" customHeight="1" x14ac:dyDescent="0.35">
      <c r="A9" s="11" t="s">
        <v>16</v>
      </c>
      <c r="B9" s="2" t="s">
        <v>52</v>
      </c>
      <c r="C9" s="3" t="s">
        <v>53</v>
      </c>
      <c r="D9" s="4" t="s">
        <v>19</v>
      </c>
      <c r="E9" s="4" t="s">
        <v>20</v>
      </c>
      <c r="F9" s="4" t="s">
        <v>21</v>
      </c>
      <c r="G9" s="4" t="s">
        <v>22</v>
      </c>
      <c r="H9" s="4" t="s">
        <v>23</v>
      </c>
      <c r="I9" s="1" t="s">
        <v>23</v>
      </c>
      <c r="J9" s="3" t="s">
        <v>54</v>
      </c>
      <c r="K9" s="3" t="s">
        <v>55</v>
      </c>
      <c r="L9" s="3" t="s">
        <v>25</v>
      </c>
      <c r="M9" s="3" t="s">
        <v>26</v>
      </c>
      <c r="N9" s="3" t="s">
        <v>27</v>
      </c>
      <c r="O9" s="5" t="str">
        <f t="shared" si="0"/>
        <v>Outstanding</v>
      </c>
      <c r="P9" s="13" t="s">
        <v>23</v>
      </c>
    </row>
    <row r="10" spans="1:16" ht="60" customHeight="1" x14ac:dyDescent="0.35">
      <c r="A10" s="11" t="s">
        <v>16</v>
      </c>
      <c r="B10" s="2" t="s">
        <v>56</v>
      </c>
      <c r="C10" s="3" t="s">
        <v>57</v>
      </c>
      <c r="D10" s="4" t="s">
        <v>19</v>
      </c>
      <c r="E10" s="4" t="s">
        <v>20</v>
      </c>
      <c r="F10" s="4" t="s">
        <v>21</v>
      </c>
      <c r="G10" s="4" t="s">
        <v>22</v>
      </c>
      <c r="H10" s="4" t="s">
        <v>23</v>
      </c>
      <c r="I10" s="1" t="s">
        <v>23</v>
      </c>
      <c r="J10" s="3" t="s">
        <v>58</v>
      </c>
      <c r="K10" s="3" t="s">
        <v>59</v>
      </c>
      <c r="L10" s="3" t="s">
        <v>25</v>
      </c>
      <c r="M10" s="3" t="s">
        <v>26</v>
      </c>
      <c r="N10" s="3" t="s">
        <v>27</v>
      </c>
      <c r="O10" s="5" t="str">
        <f t="shared" si="0"/>
        <v>Outstanding</v>
      </c>
      <c r="P10" s="13" t="s">
        <v>23</v>
      </c>
    </row>
    <row r="11" spans="1:16" ht="60" customHeight="1" x14ac:dyDescent="0.35">
      <c r="A11" s="11" t="s">
        <v>16</v>
      </c>
      <c r="B11" s="2" t="s">
        <v>60</v>
      </c>
      <c r="C11" s="3" t="s">
        <v>61</v>
      </c>
      <c r="D11" s="4" t="s">
        <v>49</v>
      </c>
      <c r="E11" s="4" t="s">
        <v>20</v>
      </c>
      <c r="F11" s="4" t="s">
        <v>21</v>
      </c>
      <c r="G11" s="4" t="s">
        <v>22</v>
      </c>
      <c r="H11" s="4" t="s">
        <v>23</v>
      </c>
      <c r="I11" s="1" t="s">
        <v>23</v>
      </c>
      <c r="J11" s="3" t="s">
        <v>62</v>
      </c>
      <c r="K11" s="3" t="s">
        <v>63</v>
      </c>
      <c r="L11" s="3" t="s">
        <v>25</v>
      </c>
      <c r="M11" s="3" t="s">
        <v>26</v>
      </c>
      <c r="N11" s="3" t="s">
        <v>27</v>
      </c>
      <c r="O11" s="5" t="str">
        <f t="shared" si="0"/>
        <v>Outstanding</v>
      </c>
      <c r="P11" s="13" t="s">
        <v>23</v>
      </c>
    </row>
    <row r="12" spans="1:16" ht="60" customHeight="1" x14ac:dyDescent="0.35">
      <c r="A12" s="11" t="s">
        <v>16</v>
      </c>
      <c r="B12" s="2" t="s">
        <v>64</v>
      </c>
      <c r="C12" s="3" t="s">
        <v>65</v>
      </c>
      <c r="D12" s="4" t="s">
        <v>49</v>
      </c>
      <c r="E12" s="4" t="s">
        <v>20</v>
      </c>
      <c r="F12" s="4" t="s">
        <v>21</v>
      </c>
      <c r="G12" s="4" t="s">
        <v>22</v>
      </c>
      <c r="H12" s="4" t="s">
        <v>23</v>
      </c>
      <c r="I12" s="1" t="s">
        <v>23</v>
      </c>
      <c r="J12" s="3" t="s">
        <v>66</v>
      </c>
      <c r="K12" s="3" t="s">
        <v>67</v>
      </c>
      <c r="L12" s="3" t="s">
        <v>25</v>
      </c>
      <c r="M12" s="3" t="s">
        <v>26</v>
      </c>
      <c r="N12" s="3" t="s">
        <v>27</v>
      </c>
      <c r="O12" s="5" t="str">
        <f t="shared" si="0"/>
        <v>Outstanding</v>
      </c>
      <c r="P12" s="13" t="s">
        <v>23</v>
      </c>
    </row>
    <row r="13" spans="1:16" ht="60" customHeight="1" x14ac:dyDescent="0.35">
      <c r="A13" s="11" t="s">
        <v>68</v>
      </c>
      <c r="B13" s="2" t="s">
        <v>69</v>
      </c>
      <c r="C13" s="3" t="s">
        <v>70</v>
      </c>
      <c r="D13" s="4" t="s">
        <v>49</v>
      </c>
      <c r="E13" s="4" t="s">
        <v>20</v>
      </c>
      <c r="F13" s="4" t="s">
        <v>21</v>
      </c>
      <c r="G13" s="4" t="s">
        <v>22</v>
      </c>
      <c r="H13" s="4" t="s">
        <v>23</v>
      </c>
      <c r="I13" s="1" t="s">
        <v>23</v>
      </c>
      <c r="J13" s="3" t="s">
        <v>71</v>
      </c>
      <c r="K13" s="3" t="s">
        <v>72</v>
      </c>
      <c r="L13" s="3" t="s">
        <v>73</v>
      </c>
      <c r="M13" s="3" t="s">
        <v>26</v>
      </c>
      <c r="N13" s="3" t="s">
        <v>74</v>
      </c>
      <c r="O13" s="5" t="str">
        <f t="shared" si="0"/>
        <v>Outstanding</v>
      </c>
      <c r="P13" s="13" t="s">
        <v>23</v>
      </c>
    </row>
    <row r="14" spans="1:16" ht="60" customHeight="1" x14ac:dyDescent="0.35">
      <c r="A14" s="11" t="s">
        <v>68</v>
      </c>
      <c r="B14" s="2" t="s">
        <v>75</v>
      </c>
      <c r="C14" s="3" t="s">
        <v>76</v>
      </c>
      <c r="D14" s="4" t="s">
        <v>19</v>
      </c>
      <c r="E14" s="4" t="s">
        <v>20</v>
      </c>
      <c r="F14" s="4" t="s">
        <v>21</v>
      </c>
      <c r="G14" s="4" t="s">
        <v>22</v>
      </c>
      <c r="H14" s="4" t="s">
        <v>23</v>
      </c>
      <c r="I14" s="1" t="s">
        <v>23</v>
      </c>
      <c r="J14" s="3" t="s">
        <v>77</v>
      </c>
      <c r="K14" s="3" t="s">
        <v>78</v>
      </c>
      <c r="L14" s="3" t="s">
        <v>73</v>
      </c>
      <c r="M14" s="3" t="s">
        <v>26</v>
      </c>
      <c r="N14" s="3" t="s">
        <v>74</v>
      </c>
      <c r="O14" s="5" t="str">
        <f t="shared" si="0"/>
        <v>Outstanding</v>
      </c>
      <c r="P14" s="13" t="s">
        <v>23</v>
      </c>
    </row>
    <row r="15" spans="1:16" ht="60" customHeight="1" x14ac:dyDescent="0.35">
      <c r="A15" s="11" t="s">
        <v>79</v>
      </c>
      <c r="B15" s="2" t="s">
        <v>80</v>
      </c>
      <c r="C15" s="3" t="s">
        <v>81</v>
      </c>
      <c r="D15" s="4" t="s">
        <v>19</v>
      </c>
      <c r="E15" s="4" t="s">
        <v>20</v>
      </c>
      <c r="F15" s="4" t="s">
        <v>21</v>
      </c>
      <c r="G15" s="4" t="s">
        <v>22</v>
      </c>
      <c r="H15" s="4" t="s">
        <v>23</v>
      </c>
      <c r="I15" s="1" t="s">
        <v>23</v>
      </c>
      <c r="J15" s="3" t="s">
        <v>82</v>
      </c>
      <c r="K15" s="3" t="s">
        <v>83</v>
      </c>
      <c r="L15" s="3" t="s">
        <v>84</v>
      </c>
      <c r="M15" s="3" t="s">
        <v>26</v>
      </c>
      <c r="N15" s="3" t="s">
        <v>85</v>
      </c>
      <c r="O15" s="5" t="str">
        <f t="shared" si="0"/>
        <v>Outstanding</v>
      </c>
      <c r="P15" s="13" t="s">
        <v>23</v>
      </c>
    </row>
    <row r="16" spans="1:16" ht="60" customHeight="1" x14ac:dyDescent="0.35">
      <c r="A16" s="11" t="s">
        <v>86</v>
      </c>
      <c r="B16" s="2" t="s">
        <v>87</v>
      </c>
      <c r="C16" s="3" t="s">
        <v>88</v>
      </c>
      <c r="D16" s="4" t="s">
        <v>30</v>
      </c>
      <c r="E16" s="4" t="s">
        <v>20</v>
      </c>
      <c r="F16" s="4" t="s">
        <v>21</v>
      </c>
      <c r="G16" s="4" t="s">
        <v>22</v>
      </c>
      <c r="H16" s="4" t="s">
        <v>23</v>
      </c>
      <c r="I16" s="1" t="s">
        <v>23</v>
      </c>
      <c r="J16" s="3" t="s">
        <v>89</v>
      </c>
      <c r="K16" s="3" t="s">
        <v>90</v>
      </c>
      <c r="L16" s="3" t="s">
        <v>91</v>
      </c>
      <c r="M16" s="3" t="s">
        <v>26</v>
      </c>
      <c r="N16" s="3" t="s">
        <v>92</v>
      </c>
      <c r="O16" s="5" t="str">
        <f t="shared" si="0"/>
        <v>Outstanding</v>
      </c>
      <c r="P16" s="13" t="s">
        <v>23</v>
      </c>
    </row>
    <row r="17" spans="1:16" ht="60" customHeight="1" x14ac:dyDescent="0.35">
      <c r="A17" s="11" t="s">
        <v>93</v>
      </c>
      <c r="B17" s="2" t="s">
        <v>94</v>
      </c>
      <c r="C17" s="3" t="s">
        <v>95</v>
      </c>
      <c r="D17" s="4" t="s">
        <v>19</v>
      </c>
      <c r="E17" s="4" t="s">
        <v>20</v>
      </c>
      <c r="F17" s="4" t="s">
        <v>21</v>
      </c>
      <c r="G17" s="4" t="s">
        <v>22</v>
      </c>
      <c r="H17" s="4" t="s">
        <v>23</v>
      </c>
      <c r="I17" s="1" t="s">
        <v>23</v>
      </c>
      <c r="J17" s="3" t="s">
        <v>96</v>
      </c>
      <c r="K17" s="3" t="s">
        <v>97</v>
      </c>
      <c r="L17" s="3" t="s">
        <v>98</v>
      </c>
      <c r="M17" s="3" t="s">
        <v>26</v>
      </c>
      <c r="N17" s="3" t="s">
        <v>99</v>
      </c>
      <c r="O17" s="5" t="str">
        <f t="shared" si="0"/>
        <v>Outstanding</v>
      </c>
      <c r="P17" s="13" t="s">
        <v>23</v>
      </c>
    </row>
    <row r="18" spans="1:16" ht="60" customHeight="1" x14ac:dyDescent="0.35">
      <c r="A18" s="12" t="s">
        <v>100</v>
      </c>
      <c r="B18" s="6" t="s">
        <v>101</v>
      </c>
      <c r="C18" s="7" t="s">
        <v>102</v>
      </c>
      <c r="D18" s="8" t="s">
        <v>19</v>
      </c>
      <c r="E18" s="8" t="s">
        <v>20</v>
      </c>
      <c r="F18" s="8" t="s">
        <v>21</v>
      </c>
      <c r="G18" s="8" t="s">
        <v>22</v>
      </c>
      <c r="H18" s="8" t="s">
        <v>23</v>
      </c>
      <c r="I18" s="9" t="s">
        <v>23</v>
      </c>
      <c r="J18" s="7" t="s">
        <v>322</v>
      </c>
      <c r="K18" s="7" t="s">
        <v>103</v>
      </c>
      <c r="L18" s="7" t="s">
        <v>104</v>
      </c>
      <c r="M18" s="7" t="s">
        <v>26</v>
      </c>
      <c r="N18" s="7" t="s">
        <v>105</v>
      </c>
      <c r="O18" s="10" t="str">
        <f t="shared" si="0"/>
        <v>Outstanding</v>
      </c>
      <c r="P18" s="14" t="s">
        <v>23</v>
      </c>
    </row>
    <row r="22" spans="1:16" ht="32" customHeight="1" x14ac:dyDescent="0.35">
      <c r="A22" s="78" t="s">
        <v>106</v>
      </c>
      <c r="B22" s="78"/>
      <c r="C22" s="78"/>
      <c r="D22" s="78"/>
    </row>
  </sheetData>
  <mergeCells count="1">
    <mergeCell ref="A22:D22"/>
  </mergeCells>
  <conditionalFormatting sqref="E2:E1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8" xr:uid="{00000000-0002-0000-0200-000000000000}">
      <formula1>"Must,Should,Could,Won't,Unassigned"</formula1>
    </dataValidation>
    <dataValidation type="list" showErrorMessage="1" errorTitle="Invalid Value" error="Please select a value from the list: Low, Medium, High, Unassessed." sqref="F2:F18" xr:uid="{00000000-0002-0000-0200-000001000000}">
      <formula1>"Low,Medium,High,Unassessed"</formula1>
    </dataValidation>
    <dataValidation type="list" showErrorMessage="1" errorTitle="Invalid Value" error="Please select a value from the list: Phase1, Phase2, Phase3, Phase4, Phase5, Pending." sqref="G2:G1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8" xr:uid="{00000000-0002-0000-0200-000003000000}">
      <formula1>"Implemented,Testing,Failed,Compensated,Risk Accepted,N/A"</formula1>
    </dataValidation>
  </dataValidations>
  <hyperlinks>
    <hyperlink ref="A2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228</v>
      </c>
      <c r="C2" s="95" t="s">
        <v>228</v>
      </c>
      <c r="D2" s="95" t="s">
        <v>228</v>
      </c>
      <c r="E2" s="95" t="s">
        <v>228</v>
      </c>
      <c r="F2" s="95" t="s">
        <v>228</v>
      </c>
      <c r="G2" s="95" t="s">
        <v>228</v>
      </c>
      <c r="H2" s="99" t="s">
        <v>229</v>
      </c>
      <c r="I2" s="99" t="s">
        <v>229</v>
      </c>
      <c r="J2" s="99" t="s">
        <v>229</v>
      </c>
      <c r="K2" s="99" t="s">
        <v>229</v>
      </c>
      <c r="L2" s="99" t="s">
        <v>229</v>
      </c>
      <c r="M2" s="98" t="s">
        <v>230</v>
      </c>
      <c r="N2" s="98" t="s">
        <v>230</v>
      </c>
      <c r="O2" s="100" t="s">
        <v>231</v>
      </c>
      <c r="P2" s="100" t="s">
        <v>231</v>
      </c>
      <c r="Q2" s="96" t="s">
        <v>14</v>
      </c>
      <c r="R2" s="96" t="s">
        <v>14</v>
      </c>
      <c r="S2" s="96" t="s">
        <v>14</v>
      </c>
      <c r="T2" s="97" t="s">
        <v>232</v>
      </c>
    </row>
    <row r="3" spans="2:20" ht="35" customHeight="1" x14ac:dyDescent="0.35">
      <c r="B3" s="68" t="s">
        <v>233</v>
      </c>
      <c r="C3" s="68" t="s">
        <v>234</v>
      </c>
      <c r="D3" s="68" t="s">
        <v>235</v>
      </c>
      <c r="E3" s="68" t="s">
        <v>236</v>
      </c>
      <c r="F3" s="68" t="s">
        <v>237</v>
      </c>
      <c r="G3" s="68" t="s">
        <v>11</v>
      </c>
      <c r="H3" s="69" t="s">
        <v>238</v>
      </c>
      <c r="I3" s="69" t="s">
        <v>239</v>
      </c>
      <c r="J3" s="69" t="s">
        <v>240</v>
      </c>
      <c r="K3" s="69" t="s">
        <v>241</v>
      </c>
      <c r="L3" s="69" t="s">
        <v>173</v>
      </c>
      <c r="M3" s="70" t="s">
        <v>242</v>
      </c>
      <c r="N3" s="70" t="s">
        <v>243</v>
      </c>
      <c r="O3" s="71" t="s">
        <v>244</v>
      </c>
      <c r="P3" s="71" t="s">
        <v>245</v>
      </c>
      <c r="Q3" s="72" t="s">
        <v>14</v>
      </c>
      <c r="R3" s="72" t="s">
        <v>246</v>
      </c>
      <c r="S3" s="72" t="s">
        <v>247</v>
      </c>
      <c r="T3" s="73" t="s">
        <v>248</v>
      </c>
    </row>
    <row r="4" spans="2:20" ht="60" customHeight="1" x14ac:dyDescent="0.35">
      <c r="B4" s="74" t="s">
        <v>249</v>
      </c>
      <c r="C4" s="74" t="s">
        <v>250</v>
      </c>
      <c r="D4" s="74" t="s">
        <v>251</v>
      </c>
      <c r="E4" s="74" t="s">
        <v>252</v>
      </c>
      <c r="F4" s="74" t="s">
        <v>253</v>
      </c>
      <c r="G4" s="74" t="s">
        <v>254</v>
      </c>
      <c r="H4" s="74" t="s">
        <v>255</v>
      </c>
      <c r="I4" s="74" t="s">
        <v>256</v>
      </c>
      <c r="J4" s="74" t="s">
        <v>257</v>
      </c>
      <c r="K4" s="74" t="s">
        <v>258</v>
      </c>
      <c r="L4" s="74" t="s">
        <v>259</v>
      </c>
      <c r="M4" s="74" t="s">
        <v>260</v>
      </c>
      <c r="N4" s="74" t="s">
        <v>261</v>
      </c>
      <c r="O4" s="74" t="s">
        <v>262</v>
      </c>
      <c r="P4" s="74" t="s">
        <v>263</v>
      </c>
      <c r="Q4" s="74" t="s">
        <v>264</v>
      </c>
      <c r="R4" s="74" t="s">
        <v>265</v>
      </c>
      <c r="S4" s="74" t="s">
        <v>266</v>
      </c>
      <c r="T4" s="74" t="s">
        <v>267</v>
      </c>
    </row>
    <row r="5" spans="2:20" ht="60" customHeight="1" x14ac:dyDescent="0.35">
      <c r="B5" s="36" t="s">
        <v>268</v>
      </c>
      <c r="C5" s="75"/>
      <c r="D5" s="76"/>
      <c r="E5" s="76" t="s">
        <v>23</v>
      </c>
      <c r="F5" s="76" t="str">
        <f>IF(E5&lt;&gt;"", IFERROR(VLOOKUP(E5, Dashboard!$B46:$F51, 5, FALSE), ""), "")</f>
        <v/>
      </c>
      <c r="G5" s="77"/>
      <c r="H5" s="64"/>
      <c r="I5" s="64"/>
      <c r="J5" s="77"/>
      <c r="K5" s="77"/>
      <c r="L5" s="38"/>
      <c r="M5" s="38"/>
      <c r="N5" s="77"/>
      <c r="O5" s="77"/>
      <c r="P5" s="38"/>
      <c r="Q5" s="38" t="s">
        <v>23</v>
      </c>
      <c r="R5" s="77"/>
      <c r="S5" s="64"/>
      <c r="T5" s="77"/>
    </row>
    <row r="6" spans="2:20" ht="60" customHeight="1" x14ac:dyDescent="0.35">
      <c r="B6" s="36" t="s">
        <v>269</v>
      </c>
      <c r="C6" s="75"/>
      <c r="D6" s="76"/>
      <c r="E6" s="76" t="s">
        <v>23</v>
      </c>
      <c r="F6" s="76" t="str">
        <f>IF(E6&lt;&gt;"", IFERROR(VLOOKUP(E6, Dashboard!$B46:$F51, 5, FALSE), ""), "")</f>
        <v/>
      </c>
      <c r="G6" s="77"/>
      <c r="H6" s="64"/>
      <c r="I6" s="64"/>
      <c r="J6" s="77"/>
      <c r="K6" s="77"/>
      <c r="L6" s="38"/>
      <c r="M6" s="38"/>
      <c r="N6" s="77"/>
      <c r="O6" s="77"/>
      <c r="P6" s="38"/>
      <c r="Q6" s="38" t="s">
        <v>23</v>
      </c>
      <c r="R6" s="77"/>
      <c r="S6" s="64"/>
      <c r="T6" s="77"/>
    </row>
    <row r="7" spans="2:20" ht="60" customHeight="1" x14ac:dyDescent="0.35">
      <c r="B7" s="36" t="s">
        <v>270</v>
      </c>
      <c r="C7" s="75"/>
      <c r="D7" s="76"/>
      <c r="E7" s="76" t="s">
        <v>23</v>
      </c>
      <c r="F7" s="76" t="str">
        <f>IF(E7&lt;&gt;"", IFERROR(VLOOKUP(E7, Dashboard!$B46:$F51, 5, FALSE), ""), "")</f>
        <v/>
      </c>
      <c r="G7" s="77"/>
      <c r="H7" s="64"/>
      <c r="I7" s="64"/>
      <c r="J7" s="77"/>
      <c r="K7" s="77"/>
      <c r="L7" s="38"/>
      <c r="M7" s="38"/>
      <c r="N7" s="77"/>
      <c r="O7" s="77"/>
      <c r="P7" s="38"/>
      <c r="Q7" s="38" t="s">
        <v>23</v>
      </c>
      <c r="R7" s="77"/>
      <c r="S7" s="64"/>
      <c r="T7" s="77"/>
    </row>
    <row r="8" spans="2:20" ht="60" customHeight="1" x14ac:dyDescent="0.35">
      <c r="B8" s="36" t="s">
        <v>271</v>
      </c>
      <c r="C8" s="75"/>
      <c r="D8" s="76"/>
      <c r="E8" s="76" t="s">
        <v>23</v>
      </c>
      <c r="F8" s="76" t="str">
        <f>IF(E8&lt;&gt;"", IFERROR(VLOOKUP(E8, Dashboard!$B46:$F51, 5, FALSE), ""), "")</f>
        <v/>
      </c>
      <c r="G8" s="77"/>
      <c r="H8" s="64"/>
      <c r="I8" s="64"/>
      <c r="J8" s="77"/>
      <c r="K8" s="77"/>
      <c r="L8" s="38"/>
      <c r="M8" s="38"/>
      <c r="N8" s="77"/>
      <c r="O8" s="77"/>
      <c r="P8" s="38"/>
      <c r="Q8" s="38" t="s">
        <v>23</v>
      </c>
      <c r="R8" s="77"/>
      <c r="S8" s="64"/>
      <c r="T8" s="77"/>
    </row>
    <row r="9" spans="2:20" ht="60" customHeight="1" x14ac:dyDescent="0.35">
      <c r="B9" s="36" t="s">
        <v>272</v>
      </c>
      <c r="C9" s="75"/>
      <c r="D9" s="76"/>
      <c r="E9" s="76" t="s">
        <v>23</v>
      </c>
      <c r="F9" s="76" t="str">
        <f>IF(E9&lt;&gt;"", IFERROR(VLOOKUP(E9, Dashboard!$B46:$F51, 5, FALSE), ""), "")</f>
        <v/>
      </c>
      <c r="G9" s="77"/>
      <c r="H9" s="64"/>
      <c r="I9" s="64"/>
      <c r="J9" s="77"/>
      <c r="K9" s="77"/>
      <c r="L9" s="38"/>
      <c r="M9" s="38"/>
      <c r="N9" s="77"/>
      <c r="O9" s="77"/>
      <c r="P9" s="38"/>
      <c r="Q9" s="38" t="s">
        <v>23</v>
      </c>
      <c r="R9" s="77"/>
      <c r="S9" s="64"/>
      <c r="T9" s="77"/>
    </row>
    <row r="10" spans="2:20" ht="60" customHeight="1" x14ac:dyDescent="0.35">
      <c r="B10" s="36" t="s">
        <v>273</v>
      </c>
      <c r="C10" s="75"/>
      <c r="D10" s="76"/>
      <c r="E10" s="76" t="s">
        <v>23</v>
      </c>
      <c r="F10" s="76" t="str">
        <f>IF(E10&lt;&gt;"", IFERROR(VLOOKUP(E10, Dashboard!$B46:$F51, 5, FALSE), ""), "")</f>
        <v/>
      </c>
      <c r="G10" s="77"/>
      <c r="H10" s="64"/>
      <c r="I10" s="64"/>
      <c r="J10" s="77"/>
      <c r="K10" s="77"/>
      <c r="L10" s="38"/>
      <c r="M10" s="38"/>
      <c r="N10" s="77"/>
      <c r="O10" s="77"/>
      <c r="P10" s="38"/>
      <c r="Q10" s="38" t="s">
        <v>23</v>
      </c>
      <c r="R10" s="77"/>
      <c r="S10" s="64"/>
      <c r="T10" s="77"/>
    </row>
    <row r="11" spans="2:20" ht="60" customHeight="1" x14ac:dyDescent="0.35">
      <c r="B11" s="36" t="s">
        <v>274</v>
      </c>
      <c r="C11" s="75"/>
      <c r="D11" s="76"/>
      <c r="E11" s="76" t="s">
        <v>23</v>
      </c>
      <c r="F11" s="76" t="str">
        <f>IF(E11&lt;&gt;"", IFERROR(VLOOKUP(E11, Dashboard!$B46:$F51, 5, FALSE), ""), "")</f>
        <v/>
      </c>
      <c r="G11" s="77"/>
      <c r="H11" s="64"/>
      <c r="I11" s="64"/>
      <c r="J11" s="77"/>
      <c r="K11" s="77"/>
      <c r="L11" s="38"/>
      <c r="M11" s="38"/>
      <c r="N11" s="77"/>
      <c r="O11" s="77"/>
      <c r="P11" s="38"/>
      <c r="Q11" s="38" t="s">
        <v>23</v>
      </c>
      <c r="R11" s="77"/>
      <c r="S11" s="64"/>
      <c r="T11" s="77"/>
    </row>
    <row r="12" spans="2:20" ht="60" customHeight="1" x14ac:dyDescent="0.35">
      <c r="B12" s="36" t="s">
        <v>275</v>
      </c>
      <c r="C12" s="75"/>
      <c r="D12" s="76"/>
      <c r="E12" s="76" t="s">
        <v>23</v>
      </c>
      <c r="F12" s="76" t="str">
        <f>IF(E12&lt;&gt;"", IFERROR(VLOOKUP(E12, Dashboard!$B46:$F51, 5, FALSE), ""), "")</f>
        <v/>
      </c>
      <c r="G12" s="77"/>
      <c r="H12" s="64"/>
      <c r="I12" s="64"/>
      <c r="J12" s="77"/>
      <c r="K12" s="77"/>
      <c r="L12" s="38"/>
      <c r="M12" s="38"/>
      <c r="N12" s="77"/>
      <c r="O12" s="77"/>
      <c r="P12" s="38"/>
      <c r="Q12" s="38" t="s">
        <v>23</v>
      </c>
      <c r="R12" s="77"/>
      <c r="S12" s="64"/>
      <c r="T12" s="77"/>
    </row>
    <row r="13" spans="2:20" ht="60" customHeight="1" x14ac:dyDescent="0.35">
      <c r="B13" s="36" t="s">
        <v>276</v>
      </c>
      <c r="C13" s="75"/>
      <c r="D13" s="76"/>
      <c r="E13" s="76" t="s">
        <v>23</v>
      </c>
      <c r="F13" s="76" t="str">
        <f>IF(E13&lt;&gt;"", IFERROR(VLOOKUP(E13, Dashboard!$B46:$F51, 5, FALSE), ""), "")</f>
        <v/>
      </c>
      <c r="G13" s="77"/>
      <c r="H13" s="64"/>
      <c r="I13" s="64"/>
      <c r="J13" s="77"/>
      <c r="K13" s="77"/>
      <c r="L13" s="38"/>
      <c r="M13" s="38"/>
      <c r="N13" s="77"/>
      <c r="O13" s="77"/>
      <c r="P13" s="38"/>
      <c r="Q13" s="38" t="s">
        <v>23</v>
      </c>
      <c r="R13" s="77"/>
      <c r="S13" s="64"/>
      <c r="T13" s="77"/>
    </row>
    <row r="14" spans="2:20" ht="60" customHeight="1" x14ac:dyDescent="0.35">
      <c r="B14" s="36" t="s">
        <v>277</v>
      </c>
      <c r="C14" s="75"/>
      <c r="D14" s="76"/>
      <c r="E14" s="76" t="s">
        <v>23</v>
      </c>
      <c r="F14" s="76" t="str">
        <f>IF(E14&lt;&gt;"", IFERROR(VLOOKUP(E14, Dashboard!$B46:$F51, 5, FALSE), ""), "")</f>
        <v/>
      </c>
      <c r="G14" s="77"/>
      <c r="H14" s="64"/>
      <c r="I14" s="64"/>
      <c r="J14" s="77"/>
      <c r="K14" s="77"/>
      <c r="L14" s="38"/>
      <c r="M14" s="38"/>
      <c r="N14" s="77"/>
      <c r="O14" s="77"/>
      <c r="P14" s="38"/>
      <c r="Q14" s="38" t="s">
        <v>23</v>
      </c>
      <c r="R14" s="77"/>
      <c r="S14" s="64"/>
      <c r="T14" s="77"/>
    </row>
    <row r="15" spans="2:20" ht="60" customHeight="1" x14ac:dyDescent="0.35">
      <c r="B15" s="36" t="s">
        <v>278</v>
      </c>
      <c r="C15" s="75"/>
      <c r="D15" s="76"/>
      <c r="E15" s="76" t="s">
        <v>23</v>
      </c>
      <c r="F15" s="76" t="str">
        <f>IF(E15&lt;&gt;"", IFERROR(VLOOKUP(E15, Dashboard!$B46:$F51, 5, FALSE), ""), "")</f>
        <v/>
      </c>
      <c r="G15" s="77"/>
      <c r="H15" s="64"/>
      <c r="I15" s="64"/>
      <c r="J15" s="77"/>
      <c r="K15" s="77"/>
      <c r="L15" s="38"/>
      <c r="M15" s="38"/>
      <c r="N15" s="77"/>
      <c r="O15" s="77"/>
      <c r="P15" s="38"/>
      <c r="Q15" s="38" t="s">
        <v>23</v>
      </c>
      <c r="R15" s="77"/>
      <c r="S15" s="64"/>
      <c r="T15" s="77"/>
    </row>
    <row r="16" spans="2:20" ht="60" customHeight="1" x14ac:dyDescent="0.35">
      <c r="B16" s="36" t="s">
        <v>279</v>
      </c>
      <c r="C16" s="75"/>
      <c r="D16" s="76"/>
      <c r="E16" s="76" t="s">
        <v>23</v>
      </c>
      <c r="F16" s="76" t="str">
        <f>IF(E16&lt;&gt;"", IFERROR(VLOOKUP(E16, Dashboard!$B46:$F51, 5, FALSE), ""), "")</f>
        <v/>
      </c>
      <c r="G16" s="77"/>
      <c r="H16" s="64"/>
      <c r="I16" s="64"/>
      <c r="J16" s="77"/>
      <c r="K16" s="77"/>
      <c r="L16" s="38"/>
      <c r="M16" s="38"/>
      <c r="N16" s="77"/>
      <c r="O16" s="77"/>
      <c r="P16" s="38"/>
      <c r="Q16" s="38" t="s">
        <v>23</v>
      </c>
      <c r="R16" s="77"/>
      <c r="S16" s="64"/>
      <c r="T16" s="77"/>
    </row>
    <row r="17" spans="2:20" ht="60" customHeight="1" x14ac:dyDescent="0.35">
      <c r="B17" s="36" t="s">
        <v>280</v>
      </c>
      <c r="C17" s="75"/>
      <c r="D17" s="76"/>
      <c r="E17" s="76" t="s">
        <v>23</v>
      </c>
      <c r="F17" s="76" t="str">
        <f>IF(E17&lt;&gt;"", IFERROR(VLOOKUP(E17, Dashboard!$B46:$F51, 5, FALSE), ""), "")</f>
        <v/>
      </c>
      <c r="G17" s="77"/>
      <c r="H17" s="64"/>
      <c r="I17" s="64"/>
      <c r="J17" s="77"/>
      <c r="K17" s="77"/>
      <c r="L17" s="38"/>
      <c r="M17" s="38"/>
      <c r="N17" s="77"/>
      <c r="O17" s="77"/>
      <c r="P17" s="38"/>
      <c r="Q17" s="38" t="s">
        <v>23</v>
      </c>
      <c r="R17" s="77"/>
      <c r="S17" s="64"/>
      <c r="T17" s="77"/>
    </row>
    <row r="18" spans="2:20" ht="60" customHeight="1" x14ac:dyDescent="0.35">
      <c r="B18" s="36" t="s">
        <v>281</v>
      </c>
      <c r="C18" s="75"/>
      <c r="D18" s="76"/>
      <c r="E18" s="76" t="s">
        <v>23</v>
      </c>
      <c r="F18" s="76" t="str">
        <f>IF(E18&lt;&gt;"", IFERROR(VLOOKUP(E18, Dashboard!$B46:$F51, 5, FALSE), ""), "")</f>
        <v/>
      </c>
      <c r="G18" s="77"/>
      <c r="H18" s="64"/>
      <c r="I18" s="64"/>
      <c r="J18" s="77"/>
      <c r="K18" s="77"/>
      <c r="L18" s="38"/>
      <c r="M18" s="38"/>
      <c r="N18" s="77"/>
      <c r="O18" s="77"/>
      <c r="P18" s="38"/>
      <c r="Q18" s="38" t="s">
        <v>23</v>
      </c>
      <c r="R18" s="77"/>
      <c r="S18" s="64"/>
      <c r="T18" s="77"/>
    </row>
    <row r="19" spans="2:20" ht="60" customHeight="1" x14ac:dyDescent="0.35">
      <c r="B19" s="36" t="s">
        <v>282</v>
      </c>
      <c r="C19" s="75"/>
      <c r="D19" s="76"/>
      <c r="E19" s="76" t="s">
        <v>23</v>
      </c>
      <c r="F19" s="76" t="str">
        <f>IF(E19&lt;&gt;"", IFERROR(VLOOKUP(E19, Dashboard!$B46:$F51, 5, FALSE), ""), "")</f>
        <v/>
      </c>
      <c r="G19" s="77"/>
      <c r="H19" s="64"/>
      <c r="I19" s="64"/>
      <c r="J19" s="77"/>
      <c r="K19" s="77"/>
      <c r="L19" s="38"/>
      <c r="M19" s="38"/>
      <c r="N19" s="77"/>
      <c r="O19" s="77"/>
      <c r="P19" s="38"/>
      <c r="Q19" s="38" t="s">
        <v>23</v>
      </c>
      <c r="R19" s="77"/>
      <c r="S19" s="64"/>
      <c r="T19" s="77"/>
    </row>
    <row r="20" spans="2:20" ht="60" customHeight="1" x14ac:dyDescent="0.35">
      <c r="B20" s="36" t="s">
        <v>283</v>
      </c>
      <c r="C20" s="75"/>
      <c r="D20" s="76"/>
      <c r="E20" s="76" t="s">
        <v>23</v>
      </c>
      <c r="F20" s="76" t="str">
        <f>IF(E20&lt;&gt;"", IFERROR(VLOOKUP(E20, Dashboard!$B46:$F51, 5, FALSE), ""), "")</f>
        <v/>
      </c>
      <c r="G20" s="77"/>
      <c r="H20" s="64"/>
      <c r="I20" s="64"/>
      <c r="J20" s="77"/>
      <c r="K20" s="77"/>
      <c r="L20" s="38"/>
      <c r="M20" s="38"/>
      <c r="N20" s="77"/>
      <c r="O20" s="77"/>
      <c r="P20" s="38"/>
      <c r="Q20" s="38" t="s">
        <v>23</v>
      </c>
      <c r="R20" s="77"/>
      <c r="S20" s="64"/>
      <c r="T20" s="77"/>
    </row>
    <row r="21" spans="2:20" ht="60" customHeight="1" x14ac:dyDescent="0.35">
      <c r="B21" s="36" t="s">
        <v>284</v>
      </c>
      <c r="C21" s="75"/>
      <c r="D21" s="76"/>
      <c r="E21" s="76" t="s">
        <v>23</v>
      </c>
      <c r="F21" s="76" t="str">
        <f>IF(E21&lt;&gt;"", IFERROR(VLOOKUP(E21, Dashboard!$B46:$F51, 5, FALSE), ""), "")</f>
        <v/>
      </c>
      <c r="G21" s="77"/>
      <c r="H21" s="64"/>
      <c r="I21" s="64"/>
      <c r="J21" s="77"/>
      <c r="K21" s="77"/>
      <c r="L21" s="38"/>
      <c r="M21" s="38"/>
      <c r="N21" s="77"/>
      <c r="O21" s="77"/>
      <c r="P21" s="38"/>
      <c r="Q21" s="38" t="s">
        <v>23</v>
      </c>
      <c r="R21" s="77"/>
      <c r="S21" s="64"/>
      <c r="T21" s="77"/>
    </row>
    <row r="22" spans="2:20" ht="60" customHeight="1" x14ac:dyDescent="0.35">
      <c r="B22" s="36" t="s">
        <v>285</v>
      </c>
      <c r="C22" s="75"/>
      <c r="D22" s="76"/>
      <c r="E22" s="76" t="s">
        <v>23</v>
      </c>
      <c r="F22" s="76" t="str">
        <f>IF(E22&lt;&gt;"", IFERROR(VLOOKUP(E22, Dashboard!$B46:$F51, 5, FALSE), ""), "")</f>
        <v/>
      </c>
      <c r="G22" s="77"/>
      <c r="H22" s="64"/>
      <c r="I22" s="64"/>
      <c r="J22" s="77"/>
      <c r="K22" s="77"/>
      <c r="L22" s="38"/>
      <c r="M22" s="38"/>
      <c r="N22" s="77"/>
      <c r="O22" s="77"/>
      <c r="P22" s="38"/>
      <c r="Q22" s="38" t="s">
        <v>23</v>
      </c>
      <c r="R22" s="77"/>
      <c r="S22" s="64"/>
      <c r="T22" s="77"/>
    </row>
    <row r="23" spans="2:20" ht="60" customHeight="1" x14ac:dyDescent="0.35">
      <c r="B23" s="36" t="s">
        <v>286</v>
      </c>
      <c r="C23" s="75"/>
      <c r="D23" s="76"/>
      <c r="E23" s="76" t="s">
        <v>23</v>
      </c>
      <c r="F23" s="76" t="str">
        <f>IF(E23&lt;&gt;"", IFERROR(VLOOKUP(E23, Dashboard!$B46:$F51, 5, FALSE), ""), "")</f>
        <v/>
      </c>
      <c r="G23" s="77"/>
      <c r="H23" s="64"/>
      <c r="I23" s="64"/>
      <c r="J23" s="77"/>
      <c r="K23" s="77"/>
      <c r="L23" s="38"/>
      <c r="M23" s="38"/>
      <c r="N23" s="77"/>
      <c r="O23" s="77"/>
      <c r="P23" s="38"/>
      <c r="Q23" s="38" t="s">
        <v>23</v>
      </c>
      <c r="R23" s="77"/>
      <c r="S23" s="64"/>
      <c r="T23" s="77"/>
    </row>
    <row r="24" spans="2:20" ht="60" customHeight="1" x14ac:dyDescent="0.35">
      <c r="B24" s="36" t="s">
        <v>287</v>
      </c>
      <c r="C24" s="75"/>
      <c r="D24" s="76"/>
      <c r="E24" s="76" t="s">
        <v>23</v>
      </c>
      <c r="F24" s="76" t="str">
        <f>IF(E24&lt;&gt;"", IFERROR(VLOOKUP(E24, Dashboard!$B46:$F51, 5, FALSE), ""), "")</f>
        <v/>
      </c>
      <c r="G24" s="77"/>
      <c r="H24" s="64"/>
      <c r="I24" s="64"/>
      <c r="J24" s="77"/>
      <c r="K24" s="77"/>
      <c r="L24" s="38"/>
      <c r="M24" s="38"/>
      <c r="N24" s="77"/>
      <c r="O24" s="77"/>
      <c r="P24" s="38"/>
      <c r="Q24" s="38" t="s">
        <v>23</v>
      </c>
      <c r="R24" s="77"/>
      <c r="S24" s="64"/>
      <c r="T24" s="77"/>
    </row>
    <row r="25" spans="2:20" ht="60" customHeight="1" x14ac:dyDescent="0.35">
      <c r="B25" s="36" t="s">
        <v>288</v>
      </c>
      <c r="C25" s="75"/>
      <c r="D25" s="76"/>
      <c r="E25" s="76" t="s">
        <v>23</v>
      </c>
      <c r="F25" s="76" t="str">
        <f>IF(E25&lt;&gt;"", IFERROR(VLOOKUP(E25, Dashboard!$B46:$F51, 5, FALSE), ""), "")</f>
        <v/>
      </c>
      <c r="G25" s="77"/>
      <c r="H25" s="64"/>
      <c r="I25" s="64"/>
      <c r="J25" s="77"/>
      <c r="K25" s="77"/>
      <c r="L25" s="38"/>
      <c r="M25" s="38"/>
      <c r="N25" s="77"/>
      <c r="O25" s="77"/>
      <c r="P25" s="38"/>
      <c r="Q25" s="38" t="s">
        <v>23</v>
      </c>
      <c r="R25" s="77"/>
      <c r="S25" s="64"/>
      <c r="T25" s="77"/>
    </row>
    <row r="26" spans="2:20" ht="60" customHeight="1" x14ac:dyDescent="0.35">
      <c r="B26" s="36" t="s">
        <v>289</v>
      </c>
      <c r="C26" s="75"/>
      <c r="D26" s="76"/>
      <c r="E26" s="76" t="s">
        <v>23</v>
      </c>
      <c r="F26" s="76" t="str">
        <f>IF(E26&lt;&gt;"", IFERROR(VLOOKUP(E26, Dashboard!$B46:$F51, 5, FALSE), ""), "")</f>
        <v/>
      </c>
      <c r="G26" s="77"/>
      <c r="H26" s="64"/>
      <c r="I26" s="64"/>
      <c r="J26" s="77"/>
      <c r="K26" s="77"/>
      <c r="L26" s="38"/>
      <c r="M26" s="38"/>
      <c r="N26" s="77"/>
      <c r="O26" s="77"/>
      <c r="P26" s="38"/>
      <c r="Q26" s="38" t="s">
        <v>23</v>
      </c>
      <c r="R26" s="77"/>
      <c r="S26" s="64"/>
      <c r="T26" s="77"/>
    </row>
    <row r="27" spans="2:20" ht="60" customHeight="1" x14ac:dyDescent="0.35">
      <c r="B27" s="36" t="s">
        <v>290</v>
      </c>
      <c r="C27" s="75"/>
      <c r="D27" s="76"/>
      <c r="E27" s="76" t="s">
        <v>23</v>
      </c>
      <c r="F27" s="76" t="str">
        <f>IF(E27&lt;&gt;"", IFERROR(VLOOKUP(E27, Dashboard!$B46:$F51, 5, FALSE), ""), "")</f>
        <v/>
      </c>
      <c r="G27" s="77"/>
      <c r="H27" s="64"/>
      <c r="I27" s="64"/>
      <c r="J27" s="77"/>
      <c r="K27" s="77"/>
      <c r="L27" s="38"/>
      <c r="M27" s="38"/>
      <c r="N27" s="77"/>
      <c r="O27" s="77"/>
      <c r="P27" s="38"/>
      <c r="Q27" s="38" t="s">
        <v>23</v>
      </c>
      <c r="R27" s="77"/>
      <c r="S27" s="64"/>
      <c r="T27" s="77"/>
    </row>
    <row r="28" spans="2:20" ht="60" customHeight="1" x14ac:dyDescent="0.35">
      <c r="B28" s="36" t="s">
        <v>291</v>
      </c>
      <c r="C28" s="75"/>
      <c r="D28" s="76"/>
      <c r="E28" s="76" t="s">
        <v>23</v>
      </c>
      <c r="F28" s="76" t="str">
        <f>IF(E28&lt;&gt;"", IFERROR(VLOOKUP(E28, Dashboard!$B46:$F51, 5, FALSE), ""), "")</f>
        <v/>
      </c>
      <c r="G28" s="77"/>
      <c r="H28" s="64"/>
      <c r="I28" s="64"/>
      <c r="J28" s="77"/>
      <c r="K28" s="77"/>
      <c r="L28" s="38"/>
      <c r="M28" s="38"/>
      <c r="N28" s="77"/>
      <c r="O28" s="77"/>
      <c r="P28" s="38"/>
      <c r="Q28" s="38" t="s">
        <v>23</v>
      </c>
      <c r="R28" s="77"/>
      <c r="S28" s="64"/>
      <c r="T28" s="77"/>
    </row>
    <row r="29" spans="2:20" ht="60" customHeight="1" x14ac:dyDescent="0.35">
      <c r="B29" s="36" t="s">
        <v>292</v>
      </c>
      <c r="C29" s="75"/>
      <c r="D29" s="76"/>
      <c r="E29" s="76" t="s">
        <v>23</v>
      </c>
      <c r="F29" s="76" t="str">
        <f>IF(E29&lt;&gt;"", IFERROR(VLOOKUP(E29, Dashboard!$B46:$F51, 5, FALSE), ""), "")</f>
        <v/>
      </c>
      <c r="G29" s="77"/>
      <c r="H29" s="64"/>
      <c r="I29" s="64"/>
      <c r="J29" s="77"/>
      <c r="K29" s="77"/>
      <c r="L29" s="38"/>
      <c r="M29" s="38"/>
      <c r="N29" s="77"/>
      <c r="O29" s="77"/>
      <c r="P29" s="38"/>
      <c r="Q29" s="38" t="s">
        <v>23</v>
      </c>
      <c r="R29" s="77"/>
      <c r="S29" s="64"/>
      <c r="T29" s="77"/>
    </row>
    <row r="30" spans="2:20" ht="60" customHeight="1" x14ac:dyDescent="0.35">
      <c r="B30" s="36" t="s">
        <v>293</v>
      </c>
      <c r="C30" s="75"/>
      <c r="D30" s="76"/>
      <c r="E30" s="76" t="s">
        <v>23</v>
      </c>
      <c r="F30" s="76" t="str">
        <f>IF(E30&lt;&gt;"", IFERROR(VLOOKUP(E30, Dashboard!$B46:$F51, 5, FALSE), ""), "")</f>
        <v/>
      </c>
      <c r="G30" s="77"/>
      <c r="H30" s="64"/>
      <c r="I30" s="64"/>
      <c r="J30" s="77"/>
      <c r="K30" s="77"/>
      <c r="L30" s="38"/>
      <c r="M30" s="38"/>
      <c r="N30" s="77"/>
      <c r="O30" s="77"/>
      <c r="P30" s="38"/>
      <c r="Q30" s="38" t="s">
        <v>23</v>
      </c>
      <c r="R30" s="77"/>
      <c r="S30" s="64"/>
      <c r="T30" s="77"/>
    </row>
    <row r="31" spans="2:20" ht="60" customHeight="1" x14ac:dyDescent="0.35">
      <c r="B31" s="36" t="s">
        <v>294</v>
      </c>
      <c r="C31" s="75"/>
      <c r="D31" s="76"/>
      <c r="E31" s="76" t="s">
        <v>23</v>
      </c>
      <c r="F31" s="76" t="str">
        <f>IF(E31&lt;&gt;"", IFERROR(VLOOKUP(E31, Dashboard!$B46:$F51, 5, FALSE), ""), "")</f>
        <v/>
      </c>
      <c r="G31" s="77"/>
      <c r="H31" s="64"/>
      <c r="I31" s="64"/>
      <c r="J31" s="77"/>
      <c r="K31" s="77"/>
      <c r="L31" s="38"/>
      <c r="M31" s="38"/>
      <c r="N31" s="77"/>
      <c r="O31" s="77"/>
      <c r="P31" s="38"/>
      <c r="Q31" s="38" t="s">
        <v>23</v>
      </c>
      <c r="R31" s="77"/>
      <c r="S31" s="64"/>
      <c r="T31" s="77"/>
    </row>
    <row r="32" spans="2:20" ht="60" customHeight="1" x14ac:dyDescent="0.35">
      <c r="B32" s="36" t="s">
        <v>295</v>
      </c>
      <c r="C32" s="75"/>
      <c r="D32" s="76"/>
      <c r="E32" s="76" t="s">
        <v>23</v>
      </c>
      <c r="F32" s="76" t="str">
        <f>IF(E32&lt;&gt;"", IFERROR(VLOOKUP(E32, Dashboard!$B46:$F51, 5, FALSE), ""), "")</f>
        <v/>
      </c>
      <c r="G32" s="77"/>
      <c r="H32" s="64"/>
      <c r="I32" s="64"/>
      <c r="J32" s="77"/>
      <c r="K32" s="77"/>
      <c r="L32" s="38"/>
      <c r="M32" s="38"/>
      <c r="N32" s="77"/>
      <c r="O32" s="77"/>
      <c r="P32" s="38"/>
      <c r="Q32" s="38" t="s">
        <v>23</v>
      </c>
      <c r="R32" s="77"/>
      <c r="S32" s="64"/>
      <c r="T32" s="77"/>
    </row>
    <row r="33" spans="2:20" ht="60" customHeight="1" x14ac:dyDescent="0.35">
      <c r="B33" s="36" t="s">
        <v>296</v>
      </c>
      <c r="C33" s="75"/>
      <c r="D33" s="76"/>
      <c r="E33" s="76" t="s">
        <v>23</v>
      </c>
      <c r="F33" s="76" t="str">
        <f>IF(E33&lt;&gt;"", IFERROR(VLOOKUP(E33, Dashboard!$B46:$F51, 5, FALSE), ""), "")</f>
        <v/>
      </c>
      <c r="G33" s="77"/>
      <c r="H33" s="64"/>
      <c r="I33" s="64"/>
      <c r="J33" s="77"/>
      <c r="K33" s="77"/>
      <c r="L33" s="38"/>
      <c r="M33" s="38"/>
      <c r="N33" s="77"/>
      <c r="O33" s="77"/>
      <c r="P33" s="38"/>
      <c r="Q33" s="38" t="s">
        <v>23</v>
      </c>
      <c r="R33" s="77"/>
      <c r="S33" s="64"/>
      <c r="T33" s="77"/>
    </row>
    <row r="34" spans="2:20" ht="60" customHeight="1" x14ac:dyDescent="0.35">
      <c r="B34" s="36" t="s">
        <v>297</v>
      </c>
      <c r="C34" s="75"/>
      <c r="D34" s="76"/>
      <c r="E34" s="76" t="s">
        <v>23</v>
      </c>
      <c r="F34" s="76" t="str">
        <f>IF(E34&lt;&gt;"", IFERROR(VLOOKUP(E34, Dashboard!$B46:$F51, 5, FALSE), ""), "")</f>
        <v/>
      </c>
      <c r="G34" s="77"/>
      <c r="H34" s="64"/>
      <c r="I34" s="64"/>
      <c r="J34" s="77"/>
      <c r="K34" s="77"/>
      <c r="L34" s="38"/>
      <c r="M34" s="38"/>
      <c r="N34" s="77"/>
      <c r="O34" s="77"/>
      <c r="P34" s="38"/>
      <c r="Q34" s="38" t="s">
        <v>23</v>
      </c>
      <c r="R34" s="77"/>
      <c r="S34" s="64"/>
      <c r="T34" s="77"/>
    </row>
    <row r="35" spans="2:20" ht="60" customHeight="1" x14ac:dyDescent="0.35">
      <c r="B35" s="36" t="s">
        <v>298</v>
      </c>
      <c r="C35" s="75"/>
      <c r="D35" s="76"/>
      <c r="E35" s="76" t="s">
        <v>23</v>
      </c>
      <c r="F35" s="76" t="str">
        <f>IF(E35&lt;&gt;"", IFERROR(VLOOKUP(E35, Dashboard!$B46:$F51, 5, FALSE), ""), "")</f>
        <v/>
      </c>
      <c r="G35" s="77"/>
      <c r="H35" s="64"/>
      <c r="I35" s="64"/>
      <c r="J35" s="77"/>
      <c r="K35" s="77"/>
      <c r="L35" s="38"/>
      <c r="M35" s="38"/>
      <c r="N35" s="77"/>
      <c r="O35" s="77"/>
      <c r="P35" s="38"/>
      <c r="Q35" s="38" t="s">
        <v>23</v>
      </c>
      <c r="R35" s="77"/>
      <c r="S35" s="64"/>
      <c r="T35" s="77"/>
    </row>
    <row r="36" spans="2:20" ht="60" customHeight="1" x14ac:dyDescent="0.35">
      <c r="B36" s="36" t="s">
        <v>299</v>
      </c>
      <c r="C36" s="75"/>
      <c r="D36" s="76"/>
      <c r="E36" s="76" t="s">
        <v>23</v>
      </c>
      <c r="F36" s="76" t="str">
        <f>IF(E36&lt;&gt;"", IFERROR(VLOOKUP(E36, Dashboard!$B46:$F51, 5, FALSE), ""), "")</f>
        <v/>
      </c>
      <c r="G36" s="77"/>
      <c r="H36" s="64"/>
      <c r="I36" s="64"/>
      <c r="J36" s="77"/>
      <c r="K36" s="77"/>
      <c r="L36" s="38"/>
      <c r="M36" s="38"/>
      <c r="N36" s="77"/>
      <c r="O36" s="77"/>
      <c r="P36" s="38"/>
      <c r="Q36" s="38" t="s">
        <v>23</v>
      </c>
      <c r="R36" s="77"/>
      <c r="S36" s="64"/>
      <c r="T36" s="77"/>
    </row>
    <row r="37" spans="2:20" ht="60" customHeight="1" x14ac:dyDescent="0.35">
      <c r="B37" s="36" t="s">
        <v>300</v>
      </c>
      <c r="C37" s="75"/>
      <c r="D37" s="76"/>
      <c r="E37" s="76" t="s">
        <v>23</v>
      </c>
      <c r="F37" s="76" t="str">
        <f>IF(E37&lt;&gt;"", IFERROR(VLOOKUP(E37, Dashboard!$B46:$F51, 5, FALSE), ""), "")</f>
        <v/>
      </c>
      <c r="G37" s="77"/>
      <c r="H37" s="64"/>
      <c r="I37" s="64"/>
      <c r="J37" s="77"/>
      <c r="K37" s="77"/>
      <c r="L37" s="38"/>
      <c r="M37" s="38"/>
      <c r="N37" s="77"/>
      <c r="O37" s="77"/>
      <c r="P37" s="38"/>
      <c r="Q37" s="38" t="s">
        <v>23</v>
      </c>
      <c r="R37" s="77"/>
      <c r="S37" s="64"/>
      <c r="T37" s="77"/>
    </row>
    <row r="38" spans="2:20" ht="60" customHeight="1" x14ac:dyDescent="0.35">
      <c r="B38" s="36" t="s">
        <v>301</v>
      </c>
      <c r="C38" s="75"/>
      <c r="D38" s="76"/>
      <c r="E38" s="76" t="s">
        <v>23</v>
      </c>
      <c r="F38" s="76" t="str">
        <f>IF(E38&lt;&gt;"", IFERROR(VLOOKUP(E38, Dashboard!$B46:$F51, 5, FALSE), ""), "")</f>
        <v/>
      </c>
      <c r="G38" s="77"/>
      <c r="H38" s="64"/>
      <c r="I38" s="64"/>
      <c r="J38" s="77"/>
      <c r="K38" s="77"/>
      <c r="L38" s="38"/>
      <c r="M38" s="38"/>
      <c r="N38" s="77"/>
      <c r="O38" s="77"/>
      <c r="P38" s="38"/>
      <c r="Q38" s="38" t="s">
        <v>23</v>
      </c>
      <c r="R38" s="77"/>
      <c r="S38" s="64"/>
      <c r="T38" s="77"/>
    </row>
    <row r="39" spans="2:20" ht="60" customHeight="1" x14ac:dyDescent="0.35">
      <c r="B39" s="36" t="s">
        <v>302</v>
      </c>
      <c r="C39" s="75"/>
      <c r="D39" s="76"/>
      <c r="E39" s="76" t="s">
        <v>23</v>
      </c>
      <c r="F39" s="76" t="str">
        <f>IF(E39&lt;&gt;"", IFERROR(VLOOKUP(E39, Dashboard!$B46:$F51, 5, FALSE), ""), "")</f>
        <v/>
      </c>
      <c r="G39" s="77"/>
      <c r="H39" s="64"/>
      <c r="I39" s="64"/>
      <c r="J39" s="77"/>
      <c r="K39" s="77"/>
      <c r="L39" s="38"/>
      <c r="M39" s="38"/>
      <c r="N39" s="77"/>
      <c r="O39" s="77"/>
      <c r="P39" s="38"/>
      <c r="Q39" s="38" t="s">
        <v>23</v>
      </c>
      <c r="R39" s="77"/>
      <c r="S39" s="64"/>
      <c r="T39" s="77"/>
    </row>
    <row r="40" spans="2:20" ht="60" customHeight="1" x14ac:dyDescent="0.35">
      <c r="B40" s="36" t="s">
        <v>303</v>
      </c>
      <c r="C40" s="75"/>
      <c r="D40" s="76"/>
      <c r="E40" s="76" t="s">
        <v>23</v>
      </c>
      <c r="F40" s="76" t="str">
        <f>IF(E40&lt;&gt;"", IFERROR(VLOOKUP(E40, Dashboard!$B46:$F51, 5, FALSE), ""), "")</f>
        <v/>
      </c>
      <c r="G40" s="77"/>
      <c r="H40" s="64"/>
      <c r="I40" s="64"/>
      <c r="J40" s="77"/>
      <c r="K40" s="77"/>
      <c r="L40" s="38"/>
      <c r="M40" s="38"/>
      <c r="N40" s="77"/>
      <c r="O40" s="77"/>
      <c r="P40" s="38"/>
      <c r="Q40" s="38" t="s">
        <v>23</v>
      </c>
      <c r="R40" s="77"/>
      <c r="S40" s="64"/>
      <c r="T40" s="77"/>
    </row>
    <row r="41" spans="2:20" ht="60" customHeight="1" x14ac:dyDescent="0.35">
      <c r="B41" s="36" t="s">
        <v>304</v>
      </c>
      <c r="C41" s="75"/>
      <c r="D41" s="76"/>
      <c r="E41" s="76" t="s">
        <v>23</v>
      </c>
      <c r="F41" s="76" t="str">
        <f>IF(E41&lt;&gt;"", IFERROR(VLOOKUP(E41, Dashboard!$B46:$F51, 5, FALSE), ""), "")</f>
        <v/>
      </c>
      <c r="G41" s="77"/>
      <c r="H41" s="64"/>
      <c r="I41" s="64"/>
      <c r="J41" s="77"/>
      <c r="K41" s="77"/>
      <c r="L41" s="38"/>
      <c r="M41" s="38"/>
      <c r="N41" s="77"/>
      <c r="O41" s="77"/>
      <c r="P41" s="38"/>
      <c r="Q41" s="38" t="s">
        <v>23</v>
      </c>
      <c r="R41" s="77"/>
      <c r="S41" s="64"/>
      <c r="T41" s="77"/>
    </row>
    <row r="42" spans="2:20" ht="60" customHeight="1" x14ac:dyDescent="0.35">
      <c r="B42" s="36" t="s">
        <v>305</v>
      </c>
      <c r="C42" s="75"/>
      <c r="D42" s="76"/>
      <c r="E42" s="76" t="s">
        <v>23</v>
      </c>
      <c r="F42" s="76" t="str">
        <f>IF(E42&lt;&gt;"", IFERROR(VLOOKUP(E42, Dashboard!$B46:$F51, 5, FALSE), ""), "")</f>
        <v/>
      </c>
      <c r="G42" s="77"/>
      <c r="H42" s="64"/>
      <c r="I42" s="64"/>
      <c r="J42" s="77"/>
      <c r="K42" s="77"/>
      <c r="L42" s="38"/>
      <c r="M42" s="38"/>
      <c r="N42" s="77"/>
      <c r="O42" s="77"/>
      <c r="P42" s="38"/>
      <c r="Q42" s="38" t="s">
        <v>23</v>
      </c>
      <c r="R42" s="77"/>
      <c r="S42" s="64"/>
      <c r="T42" s="77"/>
    </row>
    <row r="43" spans="2:20" ht="60" customHeight="1" x14ac:dyDescent="0.35">
      <c r="B43" s="36" t="s">
        <v>306</v>
      </c>
      <c r="C43" s="75"/>
      <c r="D43" s="76"/>
      <c r="E43" s="76" t="s">
        <v>23</v>
      </c>
      <c r="F43" s="76" t="str">
        <f>IF(E43&lt;&gt;"", IFERROR(VLOOKUP(E43, Dashboard!$B46:$F51, 5, FALSE), ""), "")</f>
        <v/>
      </c>
      <c r="G43" s="77"/>
      <c r="H43" s="64"/>
      <c r="I43" s="64"/>
      <c r="J43" s="77"/>
      <c r="K43" s="77"/>
      <c r="L43" s="38"/>
      <c r="M43" s="38"/>
      <c r="N43" s="77"/>
      <c r="O43" s="77"/>
      <c r="P43" s="38"/>
      <c r="Q43" s="38" t="s">
        <v>23</v>
      </c>
      <c r="R43" s="77"/>
      <c r="S43" s="64"/>
      <c r="T43" s="77"/>
    </row>
    <row r="44" spans="2:20" ht="60" customHeight="1" x14ac:dyDescent="0.35">
      <c r="B44" s="36" t="s">
        <v>307</v>
      </c>
      <c r="C44" s="75"/>
      <c r="D44" s="76"/>
      <c r="E44" s="76" t="s">
        <v>23</v>
      </c>
      <c r="F44" s="76" t="str">
        <f>IF(E44&lt;&gt;"", IFERROR(VLOOKUP(E44, Dashboard!$B46:$F51, 5, FALSE), ""), "")</f>
        <v/>
      </c>
      <c r="G44" s="77"/>
      <c r="H44" s="64"/>
      <c r="I44" s="64"/>
      <c r="J44" s="77"/>
      <c r="K44" s="77"/>
      <c r="L44" s="38"/>
      <c r="M44" s="38"/>
      <c r="N44" s="77"/>
      <c r="O44" s="77"/>
      <c r="P44" s="38"/>
      <c r="Q44" s="38" t="s">
        <v>23</v>
      </c>
      <c r="R44" s="77"/>
      <c r="S44" s="64"/>
      <c r="T44" s="77"/>
    </row>
    <row r="45" spans="2:20" ht="60" customHeight="1" x14ac:dyDescent="0.35">
      <c r="B45" s="36" t="s">
        <v>308</v>
      </c>
      <c r="C45" s="75"/>
      <c r="D45" s="76"/>
      <c r="E45" s="76" t="s">
        <v>23</v>
      </c>
      <c r="F45" s="76" t="str">
        <f>IF(E45&lt;&gt;"", IFERROR(VLOOKUP(E45, Dashboard!$B46:$F51, 5, FALSE), ""), "")</f>
        <v/>
      </c>
      <c r="G45" s="77"/>
      <c r="H45" s="64"/>
      <c r="I45" s="64"/>
      <c r="J45" s="77"/>
      <c r="K45" s="77"/>
      <c r="L45" s="38"/>
      <c r="M45" s="38"/>
      <c r="N45" s="77"/>
      <c r="O45" s="77"/>
      <c r="P45" s="38"/>
      <c r="Q45" s="38" t="s">
        <v>23</v>
      </c>
      <c r="R45" s="77"/>
      <c r="S45" s="64"/>
      <c r="T45" s="77"/>
    </row>
    <row r="46" spans="2:20" ht="60" customHeight="1" x14ac:dyDescent="0.35">
      <c r="B46" s="36" t="s">
        <v>309</v>
      </c>
      <c r="C46" s="75"/>
      <c r="D46" s="76"/>
      <c r="E46" s="76" t="s">
        <v>23</v>
      </c>
      <c r="F46" s="76" t="str">
        <f>IF(E46&lt;&gt;"", IFERROR(VLOOKUP(E46, Dashboard!$B46:$F51, 5, FALSE), ""), "")</f>
        <v/>
      </c>
      <c r="G46" s="77"/>
      <c r="H46" s="64"/>
      <c r="I46" s="64"/>
      <c r="J46" s="77"/>
      <c r="K46" s="77"/>
      <c r="L46" s="38"/>
      <c r="M46" s="38"/>
      <c r="N46" s="77"/>
      <c r="O46" s="77"/>
      <c r="P46" s="38"/>
      <c r="Q46" s="38" t="s">
        <v>23</v>
      </c>
      <c r="R46" s="77"/>
      <c r="S46" s="64"/>
      <c r="T46" s="77"/>
    </row>
    <row r="47" spans="2:20" ht="60" customHeight="1" x14ac:dyDescent="0.35">
      <c r="B47" s="36" t="s">
        <v>310</v>
      </c>
      <c r="C47" s="75"/>
      <c r="D47" s="76"/>
      <c r="E47" s="76" t="s">
        <v>23</v>
      </c>
      <c r="F47" s="76" t="str">
        <f>IF(E47&lt;&gt;"", IFERROR(VLOOKUP(E47, Dashboard!$B46:$F51, 5, FALSE), ""), "")</f>
        <v/>
      </c>
      <c r="G47" s="77"/>
      <c r="H47" s="64"/>
      <c r="I47" s="64"/>
      <c r="J47" s="77"/>
      <c r="K47" s="77"/>
      <c r="L47" s="38"/>
      <c r="M47" s="38"/>
      <c r="N47" s="77"/>
      <c r="O47" s="77"/>
      <c r="P47" s="38"/>
      <c r="Q47" s="38" t="s">
        <v>23</v>
      </c>
      <c r="R47" s="77"/>
      <c r="S47" s="64"/>
      <c r="T47" s="77"/>
    </row>
    <row r="48" spans="2:20" ht="60" customHeight="1" x14ac:dyDescent="0.35">
      <c r="B48" s="36" t="s">
        <v>311</v>
      </c>
      <c r="C48" s="75"/>
      <c r="D48" s="76"/>
      <c r="E48" s="76" t="s">
        <v>23</v>
      </c>
      <c r="F48" s="76" t="str">
        <f>IF(E48&lt;&gt;"", IFERROR(VLOOKUP(E48, Dashboard!$B46:$F51, 5, FALSE), ""), "")</f>
        <v/>
      </c>
      <c r="G48" s="77"/>
      <c r="H48" s="64"/>
      <c r="I48" s="64"/>
      <c r="J48" s="77"/>
      <c r="K48" s="77"/>
      <c r="L48" s="38"/>
      <c r="M48" s="38"/>
      <c r="N48" s="77"/>
      <c r="O48" s="77"/>
      <c r="P48" s="38"/>
      <c r="Q48" s="38" t="s">
        <v>23</v>
      </c>
      <c r="R48" s="77"/>
      <c r="S48" s="64"/>
      <c r="T48" s="77"/>
    </row>
    <row r="49" spans="2:20" ht="60" customHeight="1" x14ac:dyDescent="0.35">
      <c r="B49" s="36" t="s">
        <v>312</v>
      </c>
      <c r="C49" s="75"/>
      <c r="D49" s="76"/>
      <c r="E49" s="76" t="s">
        <v>23</v>
      </c>
      <c r="F49" s="76" t="str">
        <f>IF(E49&lt;&gt;"", IFERROR(VLOOKUP(E49, Dashboard!$B46:$F51, 5, FALSE), ""), "")</f>
        <v/>
      </c>
      <c r="G49" s="77"/>
      <c r="H49" s="64"/>
      <c r="I49" s="64"/>
      <c r="J49" s="77"/>
      <c r="K49" s="77"/>
      <c r="L49" s="38"/>
      <c r="M49" s="38"/>
      <c r="N49" s="77"/>
      <c r="O49" s="77"/>
      <c r="P49" s="38"/>
      <c r="Q49" s="38" t="s">
        <v>23</v>
      </c>
      <c r="R49" s="77"/>
      <c r="S49" s="64"/>
      <c r="T49" s="77"/>
    </row>
    <row r="50" spans="2:20" ht="60" customHeight="1" x14ac:dyDescent="0.35">
      <c r="B50" s="36" t="s">
        <v>313</v>
      </c>
      <c r="C50" s="75"/>
      <c r="D50" s="76"/>
      <c r="E50" s="76" t="s">
        <v>23</v>
      </c>
      <c r="F50" s="76" t="str">
        <f>IF(E50&lt;&gt;"", IFERROR(VLOOKUP(E50, Dashboard!$B46:$F51, 5, FALSE), ""), "")</f>
        <v/>
      </c>
      <c r="G50" s="77"/>
      <c r="H50" s="64"/>
      <c r="I50" s="64"/>
      <c r="J50" s="77"/>
      <c r="K50" s="77"/>
      <c r="L50" s="38"/>
      <c r="M50" s="38"/>
      <c r="N50" s="77"/>
      <c r="O50" s="77"/>
      <c r="P50" s="38"/>
      <c r="Q50" s="38" t="s">
        <v>23</v>
      </c>
      <c r="R50" s="77"/>
      <c r="S50" s="64"/>
      <c r="T50" s="77"/>
    </row>
    <row r="51" spans="2:20" ht="60" customHeight="1" x14ac:dyDescent="0.35">
      <c r="B51" s="36" t="s">
        <v>314</v>
      </c>
      <c r="C51" s="75"/>
      <c r="D51" s="76"/>
      <c r="E51" s="76" t="s">
        <v>23</v>
      </c>
      <c r="F51" s="76" t="str">
        <f>IF(E51&lt;&gt;"", IFERROR(VLOOKUP(E51, Dashboard!$B46:$F51, 5, FALSE), ""), "")</f>
        <v/>
      </c>
      <c r="G51" s="77"/>
      <c r="H51" s="64"/>
      <c r="I51" s="64"/>
      <c r="J51" s="77"/>
      <c r="K51" s="77"/>
      <c r="L51" s="38"/>
      <c r="M51" s="38"/>
      <c r="N51" s="77"/>
      <c r="O51" s="77"/>
      <c r="P51" s="38"/>
      <c r="Q51" s="38" t="s">
        <v>23</v>
      </c>
      <c r="R51" s="77"/>
      <c r="S51" s="64"/>
      <c r="T51" s="77"/>
    </row>
    <row r="52" spans="2:20" ht="60" customHeight="1" x14ac:dyDescent="0.35">
      <c r="B52" s="36" t="s">
        <v>315</v>
      </c>
      <c r="C52" s="75"/>
      <c r="D52" s="76"/>
      <c r="E52" s="76" t="s">
        <v>23</v>
      </c>
      <c r="F52" s="76" t="str">
        <f>IF(E52&lt;&gt;"", IFERROR(VLOOKUP(E52, Dashboard!$B46:$F51, 5, FALSE), ""), "")</f>
        <v/>
      </c>
      <c r="G52" s="77"/>
      <c r="H52" s="64"/>
      <c r="I52" s="64"/>
      <c r="J52" s="77"/>
      <c r="K52" s="77"/>
      <c r="L52" s="38"/>
      <c r="M52" s="38"/>
      <c r="N52" s="77"/>
      <c r="O52" s="77"/>
      <c r="P52" s="38"/>
      <c r="Q52" s="38" t="s">
        <v>23</v>
      </c>
      <c r="R52" s="77"/>
      <c r="S52" s="64"/>
      <c r="T52" s="77"/>
    </row>
    <row r="53" spans="2:20" ht="60" customHeight="1" x14ac:dyDescent="0.35">
      <c r="B53" s="36" t="s">
        <v>316</v>
      </c>
      <c r="C53" s="75"/>
      <c r="D53" s="76"/>
      <c r="E53" s="76" t="s">
        <v>23</v>
      </c>
      <c r="F53" s="76" t="str">
        <f>IF(E53&lt;&gt;"", IFERROR(VLOOKUP(E53, Dashboard!$B46:$F51, 5, FALSE), ""), "")</f>
        <v/>
      </c>
      <c r="G53" s="77"/>
      <c r="H53" s="64"/>
      <c r="I53" s="64"/>
      <c r="J53" s="77"/>
      <c r="K53" s="77"/>
      <c r="L53" s="38"/>
      <c r="M53" s="38"/>
      <c r="N53" s="77"/>
      <c r="O53" s="77"/>
      <c r="P53" s="38"/>
      <c r="Q53" s="38" t="s">
        <v>23</v>
      </c>
      <c r="R53" s="77"/>
      <c r="S53" s="64"/>
      <c r="T53" s="77"/>
    </row>
    <row r="54" spans="2:20" ht="60" customHeight="1" x14ac:dyDescent="0.35">
      <c r="B54" s="36" t="s">
        <v>317</v>
      </c>
      <c r="C54" s="75"/>
      <c r="D54" s="76"/>
      <c r="E54" s="76" t="s">
        <v>23</v>
      </c>
      <c r="F54" s="76" t="str">
        <f>IF(E54&lt;&gt;"", IFERROR(VLOOKUP(E54, Dashboard!$B46:$F51,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Google Drive and Docs - SHGIR</dc:title>
  <dc:subject>Generated on: 2026-06-09 11:41:05</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2026-06-11T12:04:08Z</dcterms:modified>
  <cp:category>CISA-SCuBA</cp:category>
  <cp:contentStatus>Draft</cp:contentStatus>
</cp:coreProperties>
</file>