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CuBA/"/>
    </mc:Choice>
  </mc:AlternateContent>
  <xr:revisionPtr revIDLastSave="38" documentId="11_6B8932DA9D944720FD878397DF7CDEA0226C0801" xr6:coauthVersionLast="47" xr6:coauthVersionMax="47" xr10:uidLastSave="{E3D2B302-2F23-4E42-ABF4-C9F45341F24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O7" i="1"/>
  <c r="O6" i="1"/>
  <c r="O5" i="1"/>
  <c r="O4" i="1"/>
  <c r="O3" i="1"/>
  <c r="O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D70" i="3"/>
  <c r="C70" i="3"/>
  <c r="U123" i="3" s="1"/>
  <c r="F69" i="3"/>
  <c r="T154" i="3" s="1"/>
  <c r="E69" i="3"/>
  <c r="D69" i="3"/>
  <c r="C69" i="3"/>
  <c r="S123" i="3" s="1"/>
  <c r="E51" i="3"/>
  <c r="D51" i="3"/>
  <c r="C51" i="3"/>
  <c r="F51" i="3" s="1"/>
  <c r="E50" i="3"/>
  <c r="D50" i="3"/>
  <c r="C50" i="3"/>
  <c r="F50" i="3" s="1"/>
  <c r="E49" i="3"/>
  <c r="D49" i="3"/>
  <c r="C49" i="3"/>
  <c r="F49" i="3" s="1"/>
  <c r="E48" i="3"/>
  <c r="D48" i="3"/>
  <c r="C48" i="3"/>
  <c r="F48" i="3" s="1"/>
  <c r="E47" i="3"/>
  <c r="D47" i="3"/>
  <c r="F47" i="3" s="1"/>
  <c r="C47" i="3"/>
  <c r="E46" i="3"/>
  <c r="D46" i="3"/>
  <c r="C46" i="3"/>
  <c r="F46" i="3" s="1"/>
  <c r="E31" i="3"/>
  <c r="D31" i="3"/>
  <c r="C31" i="3"/>
  <c r="F31" i="3" s="1"/>
  <c r="E30" i="3"/>
  <c r="F30" i="3" s="1"/>
  <c r="D30" i="3"/>
  <c r="C30" i="3"/>
  <c r="E29" i="3"/>
  <c r="D29" i="3"/>
  <c r="F29" i="3" s="1"/>
  <c r="C29" i="3"/>
  <c r="E16" i="3"/>
  <c r="D16" i="3"/>
  <c r="C16" i="3"/>
  <c r="F16" i="3" s="1"/>
  <c r="C9" i="3"/>
  <c r="D9" i="3" s="1"/>
  <c r="C8" i="3"/>
  <c r="D8" i="3" s="1"/>
  <c r="C7" i="3"/>
  <c r="D7" i="3" s="1"/>
  <c r="C20" i="3" l="1"/>
  <c r="R154" i="3"/>
  <c r="R149" i="3"/>
  <c r="R144" i="3"/>
  <c r="R139" i="3"/>
  <c r="R134" i="3"/>
  <c r="R129" i="3"/>
  <c r="R153" i="3"/>
  <c r="R148" i="3"/>
  <c r="R143" i="3"/>
  <c r="R138" i="3"/>
  <c r="R133" i="3"/>
  <c r="R128" i="3"/>
  <c r="R152" i="3"/>
  <c r="R147" i="3"/>
  <c r="R142" i="3"/>
  <c r="R137" i="3"/>
  <c r="R132" i="3"/>
  <c r="R127" i="3"/>
  <c r="D20" i="3"/>
  <c r="R151" i="3"/>
  <c r="R146" i="3"/>
  <c r="R141" i="3"/>
  <c r="R136" i="3"/>
  <c r="R131" i="3"/>
  <c r="R126" i="3"/>
  <c r="E20" i="3"/>
  <c r="R155" i="3"/>
  <c r="R150" i="3"/>
  <c r="R145" i="3"/>
  <c r="R140" i="3"/>
  <c r="R135" i="3"/>
  <c r="R130" i="3"/>
  <c r="R125" i="3"/>
  <c r="E57" i="3"/>
  <c r="D57" i="3"/>
  <c r="C57" i="3"/>
  <c r="D60" i="3"/>
  <c r="E60" i="3"/>
  <c r="C60" i="3"/>
  <c r="E58" i="3"/>
  <c r="D58" i="3"/>
  <c r="C58" i="3"/>
  <c r="C59" i="3"/>
  <c r="E59" i="3"/>
  <c r="D59" i="3"/>
  <c r="E55" i="3"/>
  <c r="D55" i="3"/>
  <c r="C55" i="3"/>
  <c r="E81" i="3"/>
  <c r="D81" i="3"/>
  <c r="C81" i="3"/>
  <c r="E97" i="3"/>
  <c r="D97" i="3"/>
  <c r="C97" i="3"/>
  <c r="C37" i="3"/>
  <c r="E37" i="3"/>
  <c r="D37" i="3"/>
  <c r="E99" i="3"/>
  <c r="D99" i="3"/>
  <c r="C99" i="3"/>
  <c r="E35" i="3"/>
  <c r="C35" i="3"/>
  <c r="D35" i="3"/>
  <c r="E36" i="3"/>
  <c r="D36" i="3"/>
  <c r="C36" i="3"/>
  <c r="C98" i="3"/>
  <c r="D98" i="3"/>
  <c r="E98" i="3"/>
  <c r="C56" i="3"/>
  <c r="D56" i="3"/>
  <c r="E56" i="3"/>
  <c r="E100" i="3"/>
  <c r="D100" i="3"/>
  <c r="C100" i="3"/>
  <c r="T125" i="3"/>
  <c r="T130" i="3"/>
  <c r="T135" i="3"/>
  <c r="T140" i="3"/>
  <c r="T145" i="3"/>
  <c r="T150" i="3"/>
  <c r="T155" i="3"/>
  <c r="C77" i="3"/>
  <c r="T126" i="3"/>
  <c r="T131" i="3"/>
  <c r="T136" i="3"/>
  <c r="T141" i="3"/>
  <c r="T146" i="3"/>
  <c r="T151" i="3"/>
  <c r="D77" i="3"/>
  <c r="E77" i="3"/>
  <c r="T127" i="3"/>
  <c r="T132" i="3"/>
  <c r="T137" i="3"/>
  <c r="T142" i="3"/>
  <c r="T147" i="3"/>
  <c r="T152" i="3"/>
  <c r="F70" i="3"/>
  <c r="T128" i="3"/>
  <c r="T133" i="3"/>
  <c r="T138" i="3"/>
  <c r="T143" i="3"/>
  <c r="T148" i="3"/>
  <c r="T153" i="3"/>
  <c r="D80" i="3"/>
  <c r="C80" i="3"/>
  <c r="F71" i="3"/>
  <c r="Q123" i="3"/>
  <c r="T129" i="3"/>
  <c r="T134" i="3"/>
  <c r="T139" i="3"/>
  <c r="T144" i="3"/>
  <c r="T149" i="3"/>
  <c r="X154" i="3" l="1"/>
  <c r="X149" i="3"/>
  <c r="X144" i="3"/>
  <c r="X139" i="3"/>
  <c r="X134" i="3"/>
  <c r="X129" i="3"/>
  <c r="E79" i="3"/>
  <c r="C79" i="3"/>
  <c r="X153" i="3"/>
  <c r="X148" i="3"/>
  <c r="X143" i="3"/>
  <c r="X138" i="3"/>
  <c r="X133" i="3"/>
  <c r="X128" i="3"/>
  <c r="D79" i="3"/>
  <c r="X152" i="3"/>
  <c r="X147" i="3"/>
  <c r="X142" i="3"/>
  <c r="X137" i="3"/>
  <c r="X132" i="3"/>
  <c r="X127" i="3"/>
  <c r="X151" i="3"/>
  <c r="X146" i="3"/>
  <c r="X141" i="3"/>
  <c r="X136" i="3"/>
  <c r="X131" i="3"/>
  <c r="X126" i="3"/>
  <c r="X155" i="3"/>
  <c r="X150" i="3"/>
  <c r="X145" i="3"/>
  <c r="X140" i="3"/>
  <c r="X135" i="3"/>
  <c r="X130" i="3"/>
  <c r="X125" i="3"/>
  <c r="V154" i="3"/>
  <c r="V149" i="3"/>
  <c r="V144" i="3"/>
  <c r="V139" i="3"/>
  <c r="V134" i="3"/>
  <c r="V129" i="3"/>
  <c r="V153" i="3"/>
  <c r="V148" i="3"/>
  <c r="V143" i="3"/>
  <c r="V138" i="3"/>
  <c r="V133" i="3"/>
  <c r="V128" i="3"/>
  <c r="V152" i="3"/>
  <c r="V147" i="3"/>
  <c r="V142" i="3"/>
  <c r="V137" i="3"/>
  <c r="V132" i="3"/>
  <c r="V127" i="3"/>
  <c r="E78" i="3"/>
  <c r="D78" i="3"/>
  <c r="C78" i="3"/>
  <c r="V151" i="3"/>
  <c r="V146" i="3"/>
  <c r="V141" i="3"/>
  <c r="V136" i="3"/>
  <c r="V131" i="3"/>
  <c r="V126" i="3"/>
  <c r="V155" i="3"/>
  <c r="V150" i="3"/>
  <c r="V145" i="3"/>
  <c r="V140" i="3"/>
  <c r="V135" i="3"/>
  <c r="V130" i="3"/>
  <c r="V125" i="3"/>
</calcChain>
</file>

<file path=xl/sharedStrings.xml><?xml version="1.0" encoding="utf-8"?>
<sst xmlns="http://schemas.openxmlformats.org/spreadsheetml/2006/main" count="584" uniqueCount="276">
  <si>
    <t>Category</t>
  </si>
  <si>
    <t>Id</t>
  </si>
  <si>
    <t>Title</t>
  </si>
  <si>
    <t>Criticality</t>
  </si>
  <si>
    <t>MoSCoW</t>
  </si>
  <si>
    <t>OpsImpact</t>
  </si>
  <si>
    <t>Phase</t>
  </si>
  <si>
    <t>ImplStatus</t>
  </si>
  <si>
    <t>Notes</t>
  </si>
  <si>
    <t>Remediation</t>
  </si>
  <si>
    <t>Rationale</t>
  </si>
  <si>
    <t>Description</t>
  </si>
  <si>
    <t>Prereqs</t>
  </si>
  <si>
    <t>Resources</t>
  </si>
  <si>
    <t>Status</t>
  </si>
  <si>
    <t>LogID</t>
  </si>
  <si>
    <t>Class Membership</t>
  </si>
  <si>
    <t>GWS.CLASSROOM.1.1v0.6</t>
  </si>
  <si>
    <r>
      <rPr>
        <sz val="11"/>
        <color rgb="FF000000"/>
        <rFont val="Calibri"/>
      </rPr>
      <t>"Who can join classes in your domain" SHALL be set to "Users in your domain only."</t>
    </r>
  </si>
  <si>
    <t>SHALL</t>
  </si>
  <si>
    <t>Unassigned</t>
  </si>
  <si>
    <t>Unassessed</t>
  </si>
  <si>
    <t>Pending</t>
  </si>
  <si>
    <t/>
  </si>
  <si>
    <r>
      <rPr>
        <sz val="11"/>
        <color rgb="FF000000"/>
        <rFont val="Calibri"/>
      </rPr>
      <t>To configure the settings for Class Membership:</t>
    </r>
    <r>
      <rPr>
        <sz val="11"/>
        <color rgb="FF000000"/>
        <rFont val="Calibri"/>
      </rPr>
      <t xml:space="preserve">
</t>
    </r>
    <r>
      <rPr>
        <sz val="11"/>
        <color rgb="FF000000"/>
        <rFont val="Calibri"/>
      </rPr>
      <t>Policy Group 1 Common Implementation:</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Additional Google Service</t>
    </r>
    <r>
      <rPr>
        <sz val="11"/>
        <color rgb="FF000000"/>
        <rFont val="Calibri"/>
      </rPr>
      <t xml:space="preserve"> -&gt; </t>
    </r>
    <r>
      <rPr>
        <b/>
        <sz val="11"/>
        <color rgb="FF000000"/>
        <rFont val="Calibri"/>
      </rPr>
      <t>Classroom</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Class Settings</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About Class Membership</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For </t>
    </r>
    <r>
      <rPr>
        <b/>
        <sz val="11"/>
        <color rgb="FF000000"/>
        <rFont val="Calibri"/>
      </rPr>
      <t>Who can join classes in your domain</t>
    </r>
    <r>
      <rPr>
        <sz val="11"/>
        <color rgb="FF000000"/>
        <rFont val="Calibri"/>
      </rPr>
      <t xml:space="preserve">, select </t>
    </r>
    <r>
      <rPr>
        <b/>
        <sz val="11"/>
        <color rgb="FF000000"/>
        <rFont val="Calibri"/>
      </rPr>
      <t>Users in your domain only</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Save</t>
    </r>
    <r>
      <rPr>
        <sz val="11"/>
        <color rgb="FF000000"/>
        <rFont val="Calibri"/>
      </rPr>
      <t>.</t>
    </r>
  </si>
  <si>
    <r>
      <rPr>
        <sz val="11"/>
        <color rgb="FF000000"/>
        <rFont val="Calibri"/>
      </rPr>
      <t>Classes can contain PII or sensitive information. Restricting access to the organization's classes helps prevent data leakage resulting from unauthorized classroom access.</t>
    </r>
  </si>
  <si>
    <r>
      <rPr>
        <sz val="11"/>
        <color rgb="FF000000"/>
        <rFont val="Calibri"/>
      </rPr>
      <t>This section covers who has the ability to join classes and what classes the users in your domain can join.</t>
    </r>
  </si>
  <si>
    <r>
      <rPr>
        <sz val="11"/>
        <color rgb="FF000000"/>
        <rFont val="Calibri"/>
      </rPr>
      <t>None</t>
    </r>
  </si>
  <si>
    <r>
      <rPr>
        <b/>
        <sz val="11"/>
        <color rgb="FF000000"/>
        <rFont val="Calibri"/>
      </rPr>
      <t>Google Workspace Admin Help: Control User Access to Classroom</t>
    </r>
    <r>
      <rPr>
        <sz val="11"/>
        <color rgb="FF000000"/>
        <rFont val="Calibri"/>
      </rPr>
      <t xml:space="preserve">
</t>
    </r>
    <r>
      <rPr>
        <sz val="11"/>
        <color rgb="FF0000FF"/>
        <rFont val="Calibri"/>
      </rPr>
      <t>https://support.google.com/edu/classroom/answer/6023715</t>
    </r>
  </si>
  <si>
    <t>GWS.CLASSROOM.1.2v0.6</t>
  </si>
  <si>
    <r>
      <rPr>
        <sz val="11"/>
        <color rgb="FF000000"/>
        <rFont val="Calibri"/>
      </rPr>
      <t>"Which classes users in your domain can join" SHALL be set to "Classes in your domain only."</t>
    </r>
  </si>
  <si>
    <r>
      <rPr>
        <sz val="11"/>
        <color rgb="FF000000"/>
        <rFont val="Calibri"/>
      </rPr>
      <t>To configure the settings for Class Membership:</t>
    </r>
    <r>
      <rPr>
        <sz val="11"/>
        <color rgb="FF000000"/>
        <rFont val="Calibri"/>
      </rPr>
      <t xml:space="preserve">
</t>
    </r>
    <r>
      <rPr>
        <sz val="11"/>
        <color rgb="FF000000"/>
        <rFont val="Calibri"/>
      </rPr>
      <t>Policy Group 1 Common Implementation:</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Additional Google Service</t>
    </r>
    <r>
      <rPr>
        <sz val="11"/>
        <color rgb="FF000000"/>
        <rFont val="Calibri"/>
      </rPr>
      <t xml:space="preserve"> -&gt; </t>
    </r>
    <r>
      <rPr>
        <b/>
        <sz val="11"/>
        <color rgb="FF000000"/>
        <rFont val="Calibri"/>
      </rPr>
      <t>Classroom</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Class Settings</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About Class Membership</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For </t>
    </r>
    <r>
      <rPr>
        <b/>
        <sz val="11"/>
        <color rgb="FF000000"/>
        <rFont val="Calibri"/>
      </rPr>
      <t>Which classes can users in your domain join</t>
    </r>
    <r>
      <rPr>
        <sz val="11"/>
        <color rgb="FF000000"/>
        <rFont val="Calibri"/>
      </rPr>
      <t xml:space="preserve">, select </t>
    </r>
    <r>
      <rPr>
        <b/>
        <sz val="11"/>
        <color rgb="FF000000"/>
        <rFont val="Calibri"/>
      </rPr>
      <t>Classes in your domain only</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Save</t>
    </r>
    <r>
      <rPr>
        <sz val="11"/>
        <color rgb="FF000000"/>
        <rFont val="Calibri"/>
      </rPr>
      <t>.</t>
    </r>
  </si>
  <si>
    <r>
      <rPr>
        <sz val="11"/>
        <color rgb="FF000000"/>
        <rFont val="Calibri"/>
      </rPr>
      <t>Allowing users to join classes from outside the organization's domains could allow for data to be exfiltrated to entities outside the control of the organization creating a significant security risk.</t>
    </r>
  </si>
  <si>
    <t>Classroom API</t>
  </si>
  <si>
    <t>GWS.CLASSROOM.2.1v0.6</t>
  </si>
  <si>
    <r>
      <rPr>
        <sz val="11"/>
        <color rgb="FF000000"/>
        <rFont val="Calibri"/>
      </rPr>
      <t>Users SHALL NOT be able to authorize apps to access their Google Classroom data.</t>
    </r>
  </si>
  <si>
    <t>SHALL NOT</t>
  </si>
  <si>
    <r>
      <rPr>
        <sz val="11"/>
        <color rgb="FF000000"/>
        <rFont val="Calibri"/>
      </rPr>
      <t>To configure the settings for Classroom API:</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Additional Google Service</t>
    </r>
    <r>
      <rPr>
        <sz val="11"/>
        <color rgb="FF000000"/>
        <rFont val="Calibri"/>
      </rPr>
      <t xml:space="preserve"> -&gt; </t>
    </r>
    <r>
      <rPr>
        <b/>
        <sz val="11"/>
        <color rgb="FF000000"/>
        <rFont val="Calibri"/>
      </rPr>
      <t>Classroom</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Data Access</t>
    </r>
    <r>
      <rPr>
        <sz val="11"/>
        <color rgb="FF000000"/>
        <rFont val="Calibri"/>
      </rPr>
      <t>.</t>
    </r>
    <r>
      <rPr>
        <sz val="11"/>
        <color rgb="FF000000"/>
        <rFont val="Calibri"/>
      </rPr>
      <t xml:space="preserve">
</t>
    </r>
    <r>
      <rPr>
        <sz val="11"/>
        <color rgb="FF000000"/>
        <rFont val="Calibri"/>
      </rPr>
      <t xml:space="preserve">4. Uncheck </t>
    </r>
    <r>
      <rPr>
        <b/>
        <sz val="11"/>
        <color rgb="FF000000"/>
        <rFont val="Calibri"/>
      </rPr>
      <t>Users can authorize apps to access their Google Classroom data</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</si>
  <si>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Allowing ordinary users to authorize apps to have access to classroom data opens a possibility for data loss. Allowing only admins to authorize application access reduces this risk.</t>
    </r>
  </si>
  <si>
    <r>
      <rPr>
        <sz val="11"/>
        <color rgb="FF000000"/>
        <rFont val="Calibri"/>
      </rPr>
      <t>This section covers policies related to the Google Classroom API.</t>
    </r>
  </si>
  <si>
    <r>
      <rPr>
        <b/>
        <sz val="11"/>
        <color rgb="FF000000"/>
        <rFont val="Calibri"/>
      </rPr>
      <t>Google Workspace Admin Help: Set Classroom data access</t>
    </r>
    <r>
      <rPr>
        <sz val="11"/>
        <color rgb="FF000000"/>
        <rFont val="Calibri"/>
      </rPr>
      <t xml:space="preserve">
</t>
    </r>
    <r>
      <rPr>
        <sz val="11"/>
        <color rgb="FF0000FF"/>
        <rFont val="Calibri"/>
      </rPr>
      <t>https://support.google.com/edu/classroom/answer/6250906?hl=en</t>
    </r>
  </si>
  <si>
    <t>Roster Import</t>
  </si>
  <si>
    <t>GWS.CLASSROOM.3.1v0.6</t>
  </si>
  <si>
    <r>
      <rPr>
        <sz val="11"/>
        <color rgb="FF000000"/>
        <rFont val="Calibri"/>
      </rPr>
      <t>"Roster Import" with Clever SHOULD be turned off.</t>
    </r>
  </si>
  <si>
    <t>SHOULD</t>
  </si>
  <si>
    <r>
      <rPr>
        <sz val="11"/>
        <color rgb="FF000000"/>
        <rFont val="Calibri"/>
      </rPr>
      <t>To configure the settings for Roster Import: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Additional Google Service</t>
    </r>
    <r>
      <rPr>
        <sz val="11"/>
        <color rgb="FF000000"/>
        <rFont val="Calibri"/>
      </rPr>
      <t xml:space="preserve"> -&gt; </t>
    </r>
    <r>
      <rPr>
        <b/>
        <sz val="11"/>
        <color rgb="FF000000"/>
        <rFont val="Calibri"/>
      </rPr>
      <t>Classroom</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Roster Import</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OFF</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</si>
  <si>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If an organization does not use Clever, allowing roster imports could create a way for unauthorized data to be inputted into the organization's environment. If an organization does use Clever, then roster imports may be enabled.</t>
    </r>
  </si>
  <si>
    <r>
      <rPr>
        <sz val="11"/>
        <color rgb="FF000000"/>
        <rFont val="Calibri"/>
      </rPr>
      <t>This section covers policies related to importing rosters from Clever.</t>
    </r>
  </si>
  <si>
    <r>
      <rPr>
        <b/>
        <sz val="11"/>
        <color rgb="FF000000"/>
        <rFont val="Calibri"/>
      </rPr>
      <t>Google Workspace Admin Help: Get Started with SIS Roster Import</t>
    </r>
    <r>
      <rPr>
        <sz val="11"/>
        <color rgb="FF000000"/>
        <rFont val="Calibri"/>
      </rPr>
      <t xml:space="preserve">
</t>
    </r>
    <r>
      <rPr>
        <sz val="11"/>
        <color rgb="FF0000FF"/>
        <rFont val="Calibri"/>
      </rPr>
      <t>https://support.google.com/edu/classroom/answer/10495270?visit_id=638337540290677144-1371568967&amp;p=sis_overview&amp;rd=1</t>
    </r>
  </si>
  <si>
    <t>Student Unenrollment</t>
  </si>
  <si>
    <t>GWS.CLASSROOM.4.1v0.6</t>
  </si>
  <si>
    <r>
      <rPr>
        <sz val="11"/>
        <color rgb="FF000000"/>
        <rFont val="Calibri"/>
      </rPr>
      <t>Only teachers SHALL be allowed to unenroll students from classes.</t>
    </r>
  </si>
  <si>
    <r>
      <rPr>
        <sz val="11"/>
        <color rgb="FF000000"/>
        <rFont val="Calibri"/>
      </rPr>
      <t>To configure the settings for Student Unenrollment: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Additional Google Service</t>
    </r>
    <r>
      <rPr>
        <sz val="11"/>
        <color rgb="FF000000"/>
        <rFont val="Calibri"/>
      </rPr>
      <t xml:space="preserve"> -&gt; </t>
    </r>
    <r>
      <rPr>
        <b/>
        <sz val="11"/>
        <color rgb="FF000000"/>
        <rFont val="Calibri"/>
      </rPr>
      <t>Classroom</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Student unenrollment</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Teachers Only</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</si>
  <si>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Allowing students to unenroll themselves creates the opportunity for data loss or other inconsistencies, especially for K-12 classrooms. Restricting this ability to teachers mitigates this risk.</t>
    </r>
  </si>
  <si>
    <r>
      <rPr>
        <sz val="11"/>
        <color rgb="FF000000"/>
        <rFont val="Calibri"/>
      </rPr>
      <t>This section covers policies related to unenrolling a student from a class.</t>
    </r>
  </si>
  <si>
    <r>
      <rPr>
        <b/>
        <sz val="11"/>
        <color rgb="FF000000"/>
        <rFont val="Calibri"/>
      </rPr>
      <t>Google Workspace Admin Help: Control Student Unenrollment Settings</t>
    </r>
    <r>
      <rPr>
        <sz val="11"/>
        <color rgb="FF000000"/>
        <rFont val="Calibri"/>
      </rPr>
      <t xml:space="preserve">
</t>
    </r>
    <r>
      <rPr>
        <sz val="11"/>
        <color rgb="FF0000FF"/>
        <rFont val="Calibri"/>
      </rPr>
      <t>https://support.google.com/edu/classroom/answer/11189334?visit_id=638326465630147042-2696822563&amp;p=student_unenrollment&amp;rd=1</t>
    </r>
  </si>
  <si>
    <t>Class Creation</t>
  </si>
  <si>
    <t>GWS.CLASSROOM.5.1v0.6</t>
  </si>
  <si>
    <r>
      <rPr>
        <sz val="11"/>
        <color rgb="FF000000"/>
        <rFont val="Calibri"/>
      </rPr>
      <t>Class creation SHALL be restricted to verified teachers only.</t>
    </r>
  </si>
  <si>
    <r>
      <rPr>
        <sz val="11"/>
        <color rgb="FF000000"/>
        <rFont val="Calibri"/>
      </rPr>
      <t>To configure the settings for Class Creation: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Additional Google Service</t>
    </r>
    <r>
      <rPr>
        <sz val="11"/>
        <color rgb="FF000000"/>
        <rFont val="Calibri"/>
      </rPr>
      <t xml:space="preserve"> -&gt; </t>
    </r>
    <r>
      <rPr>
        <b/>
        <sz val="11"/>
        <color rgb="FF000000"/>
        <rFont val="Calibri"/>
      </rPr>
      <t>Classroom</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General Settings</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Teacher permissions</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Verified teachers only</t>
    </r>
    <r>
      <rPr>
        <sz val="11"/>
        <color rgb="FF000000"/>
        <rFont val="Calibri"/>
      </rPr>
      <t xml:space="preserve"> for </t>
    </r>
    <r>
      <rPr>
        <b/>
        <sz val="11"/>
        <color rgb="FF000000"/>
        <rFont val="Calibri"/>
      </rPr>
      <t>Who can create classes?</t>
    </r>
    <r>
      <rPr>
        <sz val="11"/>
        <color rgb="FF000000"/>
        <rFont val="Calibri"/>
      </rPr>
      <t xml:space="preserve">
</t>
    </r>
    <r>
      <rPr>
        <sz val="11"/>
        <color rgb="FF000000"/>
        <rFont val="Calibri"/>
      </rPr>
      <t xml:space="preserve">6. Select </t>
    </r>
    <r>
      <rPr>
        <b/>
        <sz val="11"/>
        <color rgb="FF000000"/>
        <rFont val="Calibri"/>
      </rPr>
      <t>Save</t>
    </r>
    <r>
      <rPr>
        <sz val="11"/>
        <color rgb="FF000000"/>
        <rFont val="Calibri"/>
      </rPr>
      <t>.</t>
    </r>
  </si>
  <si>
    <r>
      <rPr>
        <sz val="11"/>
        <color rgb="FF000000"/>
        <rFont val="Calibri"/>
      </rPr>
      <t>Allowing pending teachers to create classes potentially allows students to impersonate teachers and exploit the trusted relationship between teacher and student, e.g., to phish sensitive information from the students. Restricting class creation to verified teachers reduces this risk.</t>
    </r>
  </si>
  <si>
    <r>
      <rPr>
        <sz val="11"/>
        <color rgb="FF000000"/>
        <rFont val="Calibri"/>
      </rPr>
      <t>The first time users sign in to Classroom, they self-identify as either a student or teacher. Users who identify as teachers will be marked as a pending teacher until an administrator verifies them. Google Classroom allows administrators to restrict class creation to only verified teachers.</t>
    </r>
  </si>
  <si>
    <r>
      <rPr>
        <b/>
        <sz val="11"/>
        <color rgb="FF000000"/>
        <rFont val="Calibri"/>
      </rPr>
      <t>Verify teachers and set permissions</t>
    </r>
    <r>
      <rPr>
        <sz val="11"/>
        <color rgb="FF000000"/>
        <rFont val="Calibri"/>
      </rPr>
      <t xml:space="preserve">
</t>
    </r>
    <r>
      <rPr>
        <sz val="11"/>
        <color rgb="FF0000FF"/>
        <rFont val="Calibri"/>
      </rPr>
      <t>https://support.google.com/edu/classroom/answer/6071551?hl=en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</si>
  <si>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</si>
  <si>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</si>
  <si>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</si>
  <si>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</si>
  <si>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</si>
  <si>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</si>
  <si>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</si>
  <si>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</si>
  <si>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</si>
  <si>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</si>
  <si>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</si>
  <si>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</si>
  <si>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</si>
  <si>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</si>
  <si>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</si>
  <si>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</si>
  <si>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</si>
  <si>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</si>
  <si>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</si>
  <si>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</si>
  <si>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</si>
  <si>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</si>
  <si>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</si>
  <si>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</si>
  <si>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</si>
  <si>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</si>
  <si>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</si>
  <si>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</si>
  <si>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</si>
  <si>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CISA Google Workspace Secure Configuration Baseline for Google Classroom</t>
  </si>
  <si>
    <t>Developed By:</t>
  </si>
  <si>
    <t>Cybersecurity and Infrastructure Security Agency (CISA)</t>
  </si>
  <si>
    <t>Release Information:</t>
  </si>
  <si>
    <r>
      <rPr>
        <b/>
        <sz val="11"/>
        <color rgb="FF000000"/>
        <rFont val="Calibri"/>
      </rPr>
      <t>Version:</t>
    </r>
    <r>
      <rPr>
        <sz val="11"/>
        <color rgb="FF000000"/>
        <rFont val="Calibri"/>
      </rPr>
      <t xml:space="preserve"> 0.6.0     </t>
    </r>
    <r>
      <rPr>
        <b/>
        <sz val="11"/>
        <color rgb="FF000000"/>
        <rFont val="Calibri"/>
      </rPr>
      <t>Date:</t>
    </r>
    <r>
      <rPr>
        <sz val="11"/>
        <color rgb="FF000000"/>
        <rFont val="Calibri"/>
      </rPr>
      <t xml:space="preserve"> 14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t>
    </r>
  </si>
  <si>
    <t>Development Url:</t>
  </si>
  <si>
    <t>https://github.com/cisagov/ScubaGoggles/blob/v0.6.0/scubagoggles/baselines/classroom.md</t>
  </si>
  <si>
    <t>Guide Overview:</t>
  </si>
  <si>
    <r>
      <rPr>
        <sz val="11"/>
        <color rgb="FF000000"/>
        <rFont val="Calibri"/>
      </rPr>
      <t>Google Classroom is a service to streamline assignments, boost collaboration, and foster communication. This service allows for the creation of classes, creating and grading assignments, student collaboration, communication with teachers and students, and integration with other Google products.</t>
    </r>
    <r>
      <rPr>
        <sz val="11"/>
        <color rgb="FF000000"/>
        <rFont val="Calibri"/>
      </rPr>
      <t xml:space="preserve">
</t>
    </r>
    <r>
      <rPr>
        <sz val="11"/>
        <color rgb="FF000000"/>
        <rFont val="Calibri"/>
      </rPr>
      <t>Google Classroom is designed and intended for implementation for Education Institutions. Google Classroom is available with the Google Workspace for Education Edition, and is included with all tiers of GWS for Education including Fundamentals, Standard, and Plus. CISA's Secure Configuration Baseline Classroom policies and guidance are written to the Plus edition.</t>
    </r>
    <r>
      <rPr>
        <sz val="11"/>
        <color rgb="FF000000"/>
        <rFont val="Calibri"/>
      </rPr>
      <t xml:space="preserve">
</t>
    </r>
    <r>
      <rPr>
        <sz val="11"/>
        <color rgb="FF000000"/>
        <rFont val="Calibri"/>
      </rPr>
      <t>The Secure Cloud Business Applications (SCuBA) project, run by the Cybersecurity and Infrastructure Security Agency (CISA), provides guidance and capabilities to secure federal civilian executive branch (FCEB) agencies' cloud business application environments and protect federal information that is created, accessed, shared, and stored in those environments.</t>
    </r>
    <r>
      <rPr>
        <sz val="11"/>
        <color rgb="FF000000"/>
        <rFont val="Calibri"/>
      </rPr>
      <t xml:space="preserve">
</t>
    </r>
    <r>
      <rPr>
        <sz val="11"/>
        <color rgb="FF000000"/>
        <rFont val="Calibri"/>
      </rPr>
      <t>The CISA SCuBA SCBs for GWS help secure federal information assets stored within GWS cloud business application environments through consistent, effective, and manageable security configurations. CISA created baselines tailored to the federal government's threats and risk tolerance. Organizations outside of the Federal Government may also find these baselines to be useful references to help reduce risks even if such organizations have different risk tolerances or face different threats.</t>
    </r>
    <r>
      <rPr>
        <sz val="11"/>
        <color rgb="FF000000"/>
        <rFont val="Calibri"/>
      </rPr>
      <t xml:space="preserve">
</t>
    </r>
    <r>
      <rPr>
        <sz val="11"/>
        <color rgb="FF000000"/>
        <rFont val="Calibri"/>
      </rPr>
      <t>For non-federal users, the information in this document is being provided "as is" for INFORMATIONAL PURPOSES ONLY. CISA does not endorse any commercial product or service, including any subjects of analysis. Any reference to specific commercial entities or commercial products, processes, or services by service mark, trademark, manufacturer, or otherwise, does not constitute or imply endorsement, recommendation, or favoritism by CISA. Without limiting the generality of the foregoing, some controls and settings are not available in all products; CISA has no control over vendor changes to products offerings or features. Accordingly, these SCuBA SCBs for GWS may not be applicable to the products available to you. 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r>
      <rPr>
        <sz val="11"/>
        <color rgb="FF000000"/>
        <rFont val="Calibri"/>
      </rPr>
      <t xml:space="preserve">
</t>
    </r>
    <r>
      <rPr>
        <sz val="11"/>
        <color rgb="FF000000"/>
        <rFont val="Calibri"/>
      </rPr>
      <t xml:space="preserve">This baseline is based on Google documentation available at Google Workspace Admin Help: Classroom </t>
    </r>
    <r>
      <rPr>
        <sz val="11"/>
        <color rgb="FF0000FF"/>
        <rFont val="Calibri"/>
      </rPr>
      <t>(https://support.google.com/edu/classroom/?hl=en#topic=10298088)</t>
    </r>
    <r>
      <rPr>
        <sz val="11"/>
        <color rgb="FF000000"/>
        <rFont val="Calibri"/>
      </rPr>
      <t xml:space="preserve"> and addresses the following:</t>
    </r>
    <r>
      <rPr>
        <sz val="11"/>
        <color rgb="FF000000"/>
        <rFont val="Calibri"/>
      </rPr>
      <t xml:space="preserve">
</t>
    </r>
    <r>
      <rPr>
        <sz val="11"/>
        <color rgb="FF000000"/>
        <rFont val="Calibri"/>
      </rPr>
      <t xml:space="preserve">- Class Membership </t>
    </r>
    <r>
      <rPr>
        <sz val="11"/>
        <color rgb="FF0000FF"/>
        <rFont val="Calibri"/>
      </rPr>
      <t>(#1-class-membership)</t>
    </r>
    <r>
      <rPr>
        <sz val="11"/>
        <color rgb="FF000000"/>
        <rFont val="Calibri"/>
      </rPr>
      <t xml:space="preserve">
</t>
    </r>
    <r>
      <rPr>
        <sz val="11"/>
        <color rgb="FF000000"/>
        <rFont val="Calibri"/>
      </rPr>
      <t xml:space="preserve">- Classroom API </t>
    </r>
    <r>
      <rPr>
        <sz val="11"/>
        <color rgb="FF0000FF"/>
        <rFont val="Calibri"/>
      </rPr>
      <t>(#2-classroom-api)</t>
    </r>
    <r>
      <rPr>
        <sz val="11"/>
        <color rgb="FF000000"/>
        <rFont val="Calibri"/>
      </rPr>
      <t xml:space="preserve">
</t>
    </r>
    <r>
      <rPr>
        <sz val="11"/>
        <color rgb="FF000000"/>
        <rFont val="Calibri"/>
      </rPr>
      <t xml:space="preserve">- Roster Import </t>
    </r>
    <r>
      <rPr>
        <sz val="11"/>
        <color rgb="FF0000FF"/>
        <rFont val="Calibri"/>
      </rPr>
      <t>(#3-roster-import)</t>
    </r>
    <r>
      <rPr>
        <sz val="11"/>
        <color rgb="FF000000"/>
        <rFont val="Calibri"/>
      </rPr>
      <t xml:space="preserve">
</t>
    </r>
    <r>
      <rPr>
        <sz val="11"/>
        <color rgb="FF000000"/>
        <rFont val="Calibri"/>
      </rPr>
      <t xml:space="preserve">- Student Unenrollment </t>
    </r>
    <r>
      <rPr>
        <sz val="11"/>
        <color rgb="FF0000FF"/>
        <rFont val="Calibri"/>
      </rPr>
      <t>(#4-student-unenrollment)</t>
    </r>
    <r>
      <rPr>
        <sz val="11"/>
        <color rgb="FF000000"/>
        <rFont val="Calibri"/>
      </rPr>
      <t xml:space="preserve">
</t>
    </r>
    <r>
      <rPr>
        <sz val="11"/>
        <color rgb="FF000000"/>
        <rFont val="Calibri"/>
      </rPr>
      <t xml:space="preserve">- Class Creation </t>
    </r>
    <r>
      <rPr>
        <sz val="11"/>
        <color rgb="FF0000FF"/>
        <rFont val="Calibri"/>
      </rPr>
      <t>(#5-class-creation)</t>
    </r>
    <r>
      <rPr>
        <sz val="11"/>
        <color rgb="FF000000"/>
        <rFont val="Calibri"/>
      </rPr>
      <t xml:space="preserve">
</t>
    </r>
    <r>
      <rPr>
        <sz val="11"/>
        <color rgb="FF000000"/>
        <rFont val="Calibri"/>
      </rPr>
      <t>Settings can be assigned to certain users within Google Workspace through organizational units, configuration groups, or individually. Before changing a setting, the user can select the organizational unit, configuration group, or individual users to which they want to apply changes.</t>
    </r>
  </si>
  <si>
    <t>Assumptions</t>
  </si>
  <si>
    <r>
      <rPr>
        <sz val="11"/>
        <color rgb="FF000000"/>
        <rFont val="Calibri"/>
      </rPr>
      <t>This document assumes the organization is using GWS Education Plus.</t>
    </r>
    <r>
      <rPr>
        <sz val="11"/>
        <color rgb="FF000000"/>
        <rFont val="Calibri"/>
      </rPr>
      <t xml:space="preserve">
</t>
    </r>
    <r>
      <rPr>
        <sz val="11"/>
        <color rgb="FF000000"/>
        <rFont val="Calibri"/>
      </rPr>
      <t>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</si>
  <si>
    <t>Key Terminology</t>
  </si>
  <si>
    <r>
      <rPr>
        <sz val="11"/>
        <color rgb="FF000000"/>
        <rFont val="Calibri"/>
      </rPr>
      <t>The key words "MUST," "MUST NOT," "REQUIRED," "SHALL," "SHALL NOT," "SHOULD," "SHOULD NOT," "RECOMMENDED," "MAY," and "OPTIONAL" in this document are to be interpreted as described in RFC 2119.</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</si>
  <si>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</si>
  <si>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</si>
  <si>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</si>
  <si>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</si>
  <si>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</si>
  <si>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</si>
  <si>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</si>
  <si>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</si>
  <si>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</si>
  <si>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</si>
  <si>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</si>
  <si>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</si>
  <si>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</si>
  <si>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</si>
  <si>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</si>
  <si>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</si>
  <si>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</si>
  <si>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CISA Google Workspace Secure Configuration Baseline for Google Classroom 0.6.0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</si>
  <si>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</si>
  <si>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</si>
  <si>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</si>
  <si>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</si>
  <si>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</si>
  <si>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</si>
  <si>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</si>
  <si>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</si>
  <si>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</si>
  <si>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</si>
  <si>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</si>
  <si>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</si>
  <si>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</si>
  <si>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</si>
  <si>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</si>
  <si>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</si>
  <si>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</si>
  <si>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Criticality</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</si>
  <si>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</si>
  <si>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</si>
  <si>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</si>
  <si>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</si>
  <si>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</si>
  <si>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</si>
  <si>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</si>
  <si>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</si>
  <si>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</si>
  <si>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</si>
  <si>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</si>
  <si>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</si>
  <si>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</si>
  <si>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</si>
  <si>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</si>
  <si>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</si>
  <si>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</si>
  <si>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</si>
  <si>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</si>
  <si>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</si>
  <si>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</si>
  <si>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</si>
  <si>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</si>
  <si>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</si>
  <si>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</si>
  <si>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</si>
  <si>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</si>
  <si>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</si>
  <si>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</si>
  <si>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</si>
  <si>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</si>
  <si>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</si>
  <si>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</si>
  <si>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</si>
  <si>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</si>
  <si>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2026-05-10</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</si>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</sst>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28"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1"/>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center" vertical="center"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wrapText="1"/>
    </xf>
    <xf numFmtId="0" fontId="0" fillId="0" borderId="6" xfId="0" applyNumberFormat="1" applyFont="1" applyBorder="1" applyAlignment="1" applyProtection="1">
      <alignment horizontal="center" vertical="center" wrapText="1"/>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9"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0" fillId="4" borderId="11" xfId="0" applyNumberFormat="1" applyFont="1" applyFill="1" applyBorder="1" applyAlignment="1" applyProtection="1">
      <alignment horizontal="left"/>
    </xf>
    <xf numFmtId="0" fontId="10" fillId="4" borderId="11" xfId="0" applyNumberFormat="1" applyFont="1" applyFill="1" applyBorder="1" applyAlignment="1" applyProtection="1">
      <alignment horizontal="center"/>
    </xf>
    <xf numFmtId="164" fontId="10" fillId="4" borderId="11" xfId="0" applyNumberFormat="1" applyFont="1" applyFill="1" applyBorder="1" applyAlignment="1" applyProtection="1">
      <alignment horizontal="center"/>
    </xf>
    <xf numFmtId="0" fontId="11" fillId="3" borderId="0" xfId="0" applyNumberFormat="1" applyFont="1" applyFill="1" applyProtection="1"/>
    <xf numFmtId="0" fontId="9"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3" fillId="3" borderId="0" xfId="0" applyNumberFormat="1" applyFont="1" applyFill="1" applyProtection="1"/>
    <xf numFmtId="0" fontId="14" fillId="3" borderId="13" xfId="0" applyNumberFormat="1" applyFont="1" applyFill="1" applyBorder="1" applyAlignment="1" applyProtection="1">
      <alignment horizontal="right" vertical="center"/>
    </xf>
    <xf numFmtId="0" fontId="15"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9" fillId="2" borderId="11" xfId="0" applyNumberFormat="1" applyFont="1" applyFill="1" applyBorder="1" applyAlignment="1" applyProtection="1">
      <alignment horizontal="center" vertical="center" wrapText="1"/>
    </xf>
    <xf numFmtId="0" fontId="16"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9"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8" fillId="14" borderId="11" xfId="0" applyNumberFormat="1" applyFont="1" applyFill="1" applyBorder="1" applyAlignment="1" applyProtection="1">
      <alignment horizontal="center" vertical="center" wrapText="1"/>
    </xf>
    <xf numFmtId="0" fontId="18" fillId="15" borderId="11" xfId="0" applyNumberFormat="1" applyFont="1" applyFill="1" applyBorder="1" applyAlignment="1" applyProtection="1">
      <alignment horizontal="center" vertical="center" wrapText="1"/>
    </xf>
    <xf numFmtId="0" fontId="18" fillId="16" borderId="11" xfId="0" applyNumberFormat="1" applyFont="1" applyFill="1" applyBorder="1" applyAlignment="1" applyProtection="1">
      <alignment horizontal="center" vertical="center" wrapText="1"/>
    </xf>
    <xf numFmtId="0" fontId="18" fillId="17" borderId="11" xfId="0" applyNumberFormat="1" applyFont="1" applyFill="1" applyBorder="1" applyAlignment="1" applyProtection="1">
      <alignment horizontal="center" vertical="center" wrapText="1"/>
    </xf>
    <xf numFmtId="0" fontId="18" fillId="18" borderId="11" xfId="0" applyNumberFormat="1" applyFont="1" applyFill="1" applyBorder="1" applyAlignment="1" applyProtection="1">
      <alignment horizontal="center" vertical="center" wrapText="1"/>
    </xf>
    <xf numFmtId="0" fontId="18" fillId="19" borderId="11" xfId="0" applyNumberFormat="1" applyFont="1" applyFill="1" applyBorder="1" applyAlignment="1" applyProtection="1">
      <alignment horizontal="center" vertical="center" wrapText="1"/>
    </xf>
    <xf numFmtId="0" fontId="19"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0"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9"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9"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2" fillId="3" borderId="0" xfId="0" applyNumberFormat="1" applyFont="1" applyFill="1" applyAlignment="1" applyProtection="1">
      <alignment vertical="top" wrapText="1"/>
    </xf>
    <xf numFmtId="3" fontId="17"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9"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C0F-4F0C-A2D6-FCAA2E135B3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C0F-4F0C-A2D6-FCAA2E135B3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c:v>
                </c:pt>
              </c:numCache>
            </c:numRef>
          </c:val>
          <c:extLst>
            <c:ext xmlns:c16="http://schemas.microsoft.com/office/drawing/2014/chart" uri="{C3380CC4-5D6E-409C-BE32-E72D297353CC}">
              <c16:uniqueId val="{00000002-3C0F-4F0C-A2D6-FCAA2E135B3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Criticality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SHALL NOT</c:v>
                </c:pt>
                <c:pt idx="2">
                  <c:v>SHOULD</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C966-4CB7-818F-3A6CF47B846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SHALL NOT</c:v>
                </c:pt>
                <c:pt idx="2">
                  <c:v>SHOULD</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C966-4CB7-818F-3A6CF47B846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SHALL NOT</c:v>
                </c:pt>
                <c:pt idx="2">
                  <c:v>SHOULD</c:v>
                </c:pt>
              </c:strCache>
            </c:strRef>
          </c:cat>
          <c:val>
            <c:numRef>
              <c:f>Dashboard!$E$29:$E$31</c:f>
              <c:numCache>
                <c:formatCode>General</c:formatCode>
                <c:ptCount val="3"/>
                <c:pt idx="0">
                  <c:v>4</c:v>
                </c:pt>
                <c:pt idx="1">
                  <c:v>1</c:v>
                </c:pt>
                <c:pt idx="2">
                  <c:v>1</c:v>
                </c:pt>
              </c:numCache>
            </c:numRef>
          </c:val>
          <c:extLst>
            <c:ext xmlns:c16="http://schemas.microsoft.com/office/drawing/2014/chart" uri="{C3380CC4-5D6E-409C-BE32-E72D297353CC}">
              <c16:uniqueId val="{00000002-C966-4CB7-818F-3A6CF47B846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0CC-42D2-970C-4F963198BCE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0CC-42D2-970C-4F963198BCE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6</c:v>
                </c:pt>
              </c:numCache>
            </c:numRef>
          </c:val>
          <c:extLst>
            <c:ext xmlns:c16="http://schemas.microsoft.com/office/drawing/2014/chart" uri="{C3380CC4-5D6E-409C-BE32-E72D297353CC}">
              <c16:uniqueId val="{00000002-90CC-42D2-970C-4F963198BCE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78D-451F-8E81-14D7CE8FB7D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78D-451F-8E81-14D7CE8FB7D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6</c:v>
                </c:pt>
              </c:numCache>
            </c:numRef>
          </c:val>
          <c:extLst>
            <c:ext xmlns:c16="http://schemas.microsoft.com/office/drawing/2014/chart" uri="{C3380CC4-5D6E-409C-BE32-E72D297353CC}">
              <c16:uniqueId val="{00000002-778D-451F-8E81-14D7CE8FB7D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C24-4CC1-933D-D5B3A32B8C3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C24-4CC1-933D-D5B3A32B8C3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6</c:v>
                </c:pt>
              </c:numCache>
            </c:numRef>
          </c:val>
          <c:extLst>
            <c:ext xmlns:c16="http://schemas.microsoft.com/office/drawing/2014/chart" uri="{C3380CC4-5D6E-409C-BE32-E72D297353CC}">
              <c16:uniqueId val="{00000002-BC24-4CC1-933D-D5B3A32B8C3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BC9-4250-9E6B-AF7E0DFFD4C1}"/>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BC9-4250-9E6B-AF7E0DFFD4C1}"/>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BC9-4250-9E6B-AF7E0DFFD4C1}"/>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BC9-4250-9E6B-AF7E0DFFD4C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80B-43EF-8D5D-92D22311999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3zxj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23</xdr:row>
      <xdr:rowOff>95250</xdr:rowOff>
    </xdr:from>
    <xdr:to>
      <xdr:col>15</xdr:col>
      <xdr:colOff>28575</xdr:colOff>
      <xdr:row>38</xdr:row>
      <xdr:rowOff>47625</xdr:rowOff>
    </xdr:to>
    <xdr:graphicFrame macro="">
      <xdr:nvGraphicFramePr>
        <xdr:cNvPr id="3" name="Chartgrkr4c">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2xj4z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pznyqo">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hwipw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j1ych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i0kw0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P7">
  <autoFilter ref="A1:P7" xr:uid="{00000000-0009-0000-0100-000001000000}"/>
  <tableColumns count="16">
    <tableColumn id="1" xr3:uid="{00000000-0010-0000-0000-000001000000}" name="Category"/>
    <tableColumn id="2" xr3:uid="{00000000-0010-0000-0000-000002000000}" name="Id"/>
    <tableColumn id="3" xr3:uid="{00000000-0010-0000-0000-000003000000}" name="Title"/>
    <tableColumn id="4" xr3:uid="{00000000-0010-0000-0000-000004000000}" name="Criticality"/>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Rationale"/>
    <tableColumn id="12" xr3:uid="{00000000-0010-0000-0000-00000C000000}" name="Description"/>
    <tableColumn id="13" xr3:uid="{00000000-0010-0000-0000-00000D000000}" name="Prereqs"/>
    <tableColumn id="14" xr3:uid="{00000000-0010-0000-0000-00000E000000}" name="Resources"/>
    <tableColumn id="15" xr3:uid="{00000000-0010-0000-0000-00000F000000}" name="Status"/>
    <tableColumn id="16" xr3:uid="{00000000-0010-0000-0000-000010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ithub.com/cisagov/ScubaGoggles/blob/v0.6.0/scubagoggles/baselines/classroom.md"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64</v>
      </c>
    </row>
    <row r="3" spans="2:3" ht="15" customHeight="1" x14ac:dyDescent="0.35"/>
    <row r="4" spans="2:3" ht="58" x14ac:dyDescent="0.35">
      <c r="B4" s="20" t="s">
        <v>65</v>
      </c>
      <c r="C4" s="21" t="s">
        <v>66</v>
      </c>
    </row>
    <row r="5" spans="2:3" x14ac:dyDescent="0.35">
      <c r="C5" s="21" t="s">
        <v>67</v>
      </c>
    </row>
    <row r="6" spans="2:3" x14ac:dyDescent="0.35">
      <c r="C6" s="18" t="s">
        <v>68</v>
      </c>
    </row>
    <row r="7" spans="2:3" ht="10" customHeight="1" x14ac:dyDescent="0.35"/>
    <row r="8" spans="2:3" ht="232" x14ac:dyDescent="0.35">
      <c r="B8" s="22" t="s">
        <v>69</v>
      </c>
      <c r="C8" s="21" t="s">
        <v>70</v>
      </c>
    </row>
    <row r="9" spans="2:3" ht="10" customHeight="1" x14ac:dyDescent="0.35"/>
    <row r="10" spans="2:3" ht="35" customHeight="1" x14ac:dyDescent="0.35">
      <c r="B10" s="22" t="s">
        <v>71</v>
      </c>
      <c r="C10" s="21" t="s">
        <v>72</v>
      </c>
    </row>
    <row r="11" spans="2:3" ht="75" customHeight="1" x14ac:dyDescent="0.35">
      <c r="B11" s="18" t="s">
        <v>23</v>
      </c>
      <c r="C11" s="21" t="s">
        <v>73</v>
      </c>
    </row>
    <row r="12" spans="2:3" ht="47" customHeight="1" x14ac:dyDescent="0.35">
      <c r="B12" s="18" t="s">
        <v>23</v>
      </c>
      <c r="C12" s="21" t="s">
        <v>74</v>
      </c>
    </row>
    <row r="13" spans="2:3" ht="35" customHeight="1" x14ac:dyDescent="0.35">
      <c r="B13" s="18" t="s">
        <v>23</v>
      </c>
      <c r="C13" s="21" t="s">
        <v>75</v>
      </c>
    </row>
    <row r="14" spans="2:3" ht="32" customHeight="1" x14ac:dyDescent="0.35">
      <c r="B14" s="18" t="s">
        <v>23</v>
      </c>
      <c r="C14" s="21" t="s">
        <v>76</v>
      </c>
    </row>
    <row r="15" spans="2:3" ht="30" customHeight="1" x14ac:dyDescent="0.35">
      <c r="B15" s="18" t="s">
        <v>23</v>
      </c>
      <c r="C15" s="21" t="s">
        <v>77</v>
      </c>
    </row>
    <row r="16" spans="2:3" ht="10" customHeight="1" x14ac:dyDescent="0.35"/>
    <row r="17" spans="1:3" ht="145" customHeight="1" x14ac:dyDescent="0.35">
      <c r="B17" s="22" t="s">
        <v>78</v>
      </c>
      <c r="C17" s="21" t="s">
        <v>79</v>
      </c>
    </row>
    <row r="18" spans="1:3" ht="10" customHeight="1" x14ac:dyDescent="0.35"/>
    <row r="19" spans="1:3" ht="3" customHeight="1" x14ac:dyDescent="0.35">
      <c r="B19" s="23"/>
      <c r="C19" s="23"/>
    </row>
    <row r="20" spans="1:3" ht="12" customHeight="1" x14ac:dyDescent="0.35"/>
    <row r="21" spans="1:3" ht="35" customHeight="1" x14ac:dyDescent="0.35">
      <c r="A21" s="25"/>
      <c r="B21" s="26" t="s">
        <v>80</v>
      </c>
      <c r="C21" s="27" t="s">
        <v>81</v>
      </c>
    </row>
    <row r="22" spans="1:3" ht="18" customHeight="1" x14ac:dyDescent="0.35">
      <c r="A22" s="25"/>
      <c r="B22" s="25" t="s">
        <v>23</v>
      </c>
      <c r="C22" s="27" t="s">
        <v>82</v>
      </c>
    </row>
    <row r="23" spans="1:3" ht="18" customHeight="1" x14ac:dyDescent="0.35">
      <c r="A23" s="25"/>
      <c r="B23" s="25" t="s">
        <v>23</v>
      </c>
      <c r="C23" s="27" t="s">
        <v>83</v>
      </c>
    </row>
    <row r="24" spans="1:3" ht="18" customHeight="1" x14ac:dyDescent="0.35">
      <c r="A24" s="25"/>
      <c r="B24" s="25" t="s">
        <v>23</v>
      </c>
      <c r="C24" s="27" t="s">
        <v>84</v>
      </c>
    </row>
    <row r="25" spans="1:3" ht="18" customHeight="1" x14ac:dyDescent="0.35">
      <c r="A25" s="25"/>
      <c r="B25" s="25" t="s">
        <v>23</v>
      </c>
      <c r="C25" s="27" t="s">
        <v>85</v>
      </c>
    </row>
    <row r="26" spans="1:3" ht="18" customHeight="1" x14ac:dyDescent="0.35">
      <c r="A26" s="25"/>
      <c r="B26" s="25" t="s">
        <v>23</v>
      </c>
      <c r="C26" s="27" t="s">
        <v>86</v>
      </c>
    </row>
    <row r="27" spans="1:3" ht="18" customHeight="1" x14ac:dyDescent="0.35">
      <c r="A27" s="25"/>
      <c r="B27" s="25" t="s">
        <v>23</v>
      </c>
      <c r="C27" s="27" t="s">
        <v>87</v>
      </c>
    </row>
    <row r="28" spans="1:3" ht="18" customHeight="1" x14ac:dyDescent="0.35">
      <c r="A28" s="25"/>
      <c r="B28" s="25" t="s">
        <v>23</v>
      </c>
      <c r="C28" s="27" t="s">
        <v>88</v>
      </c>
    </row>
    <row r="29" spans="1:3" ht="18" customHeight="1" x14ac:dyDescent="0.35">
      <c r="A29" s="25"/>
      <c r="B29" s="25" t="s">
        <v>23</v>
      </c>
      <c r="C29" s="27" t="s">
        <v>89</v>
      </c>
    </row>
    <row r="30" spans="1:3" ht="44" customHeight="1" x14ac:dyDescent="0.35">
      <c r="A30" s="25"/>
      <c r="B30" s="25" t="s">
        <v>23</v>
      </c>
      <c r="C30" s="28" t="s">
        <v>90</v>
      </c>
    </row>
    <row r="31" spans="1:3" ht="10" customHeight="1" x14ac:dyDescent="0.35"/>
    <row r="32" spans="1:3" ht="3" customHeight="1" x14ac:dyDescent="0.35">
      <c r="B32" s="23"/>
      <c r="C32" s="23"/>
    </row>
    <row r="33" spans="2:3" ht="12" customHeight="1" x14ac:dyDescent="0.35"/>
    <row r="34" spans="2:3" ht="24" customHeight="1" x14ac:dyDescent="0.35">
      <c r="B34" s="29" t="s">
        <v>91</v>
      </c>
      <c r="C34" s="30" t="s">
        <v>92</v>
      </c>
    </row>
    <row r="35" spans="2:3" ht="18.5" x14ac:dyDescent="0.35">
      <c r="B35" s="29" t="s">
        <v>93</v>
      </c>
      <c r="C35" s="31" t="s">
        <v>94</v>
      </c>
    </row>
    <row r="36" spans="2:3" ht="27" customHeight="1" x14ac:dyDescent="0.35">
      <c r="B36" s="32" t="s">
        <v>95</v>
      </c>
      <c r="C36" s="24" t="s">
        <v>96</v>
      </c>
    </row>
    <row r="37" spans="2:3" x14ac:dyDescent="0.35">
      <c r="B37" s="29" t="s">
        <v>97</v>
      </c>
      <c r="C37" s="33" t="s">
        <v>98</v>
      </c>
    </row>
    <row r="38" spans="2:3" ht="10" customHeight="1" x14ac:dyDescent="0.35"/>
    <row r="39" spans="2:3" ht="220" customHeight="1" x14ac:dyDescent="0.35">
      <c r="B39" s="29" t="s">
        <v>99</v>
      </c>
      <c r="C39" s="34" t="s">
        <v>100</v>
      </c>
    </row>
    <row r="40" spans="2:3" x14ac:dyDescent="0.35">
      <c r="C40" s="35" t="s">
        <v>101</v>
      </c>
    </row>
    <row r="41" spans="2:3" ht="101.5" x14ac:dyDescent="0.35">
      <c r="C41" s="34" t="s">
        <v>102</v>
      </c>
    </row>
    <row r="42" spans="2:3" ht="6" customHeight="1" x14ac:dyDescent="0.35"/>
    <row r="43" spans="2:3" x14ac:dyDescent="0.35">
      <c r="C43" s="35" t="s">
        <v>103</v>
      </c>
    </row>
    <row r="44" spans="2:3" ht="43.5" x14ac:dyDescent="0.35">
      <c r="C44" s="34" t="s">
        <v>104</v>
      </c>
    </row>
    <row r="46" spans="2:3" ht="10" customHeight="1" x14ac:dyDescent="0.35"/>
    <row r="47" spans="2:3" ht="3" customHeight="1" x14ac:dyDescent="0.35">
      <c r="B47" s="23"/>
      <c r="C47" s="23"/>
    </row>
    <row r="48" spans="2:3" ht="12" customHeight="1" x14ac:dyDescent="0.35"/>
    <row r="49" spans="2:3" ht="130.5" x14ac:dyDescent="0.35">
      <c r="B49" s="20" t="s">
        <v>105</v>
      </c>
      <c r="C49" s="21" t="s">
        <v>106</v>
      </c>
    </row>
    <row r="50" spans="2:3" ht="6" customHeight="1" x14ac:dyDescent="0.35"/>
    <row r="51" spans="2:3" ht="217.5" x14ac:dyDescent="0.35">
      <c r="C51" s="21" t="s">
        <v>107</v>
      </c>
    </row>
    <row r="52" spans="2:3" ht="6" customHeight="1" x14ac:dyDescent="0.35"/>
    <row r="53" spans="2:3" ht="43.5" x14ac:dyDescent="0.35">
      <c r="C53" s="21" t="s">
        <v>108</v>
      </c>
    </row>
    <row r="54" spans="2:3" ht="10" customHeight="1" x14ac:dyDescent="0.35"/>
    <row r="55" spans="2:3" ht="3" customHeight="1" x14ac:dyDescent="0.35">
      <c r="B55" s="23"/>
      <c r="C55" s="23"/>
    </row>
    <row r="56" spans="2:3" ht="12" customHeight="1" x14ac:dyDescent="0.35"/>
    <row r="57" spans="2:3" ht="145" x14ac:dyDescent="0.35">
      <c r="B57" s="20" t="s">
        <v>109</v>
      </c>
      <c r="C57" s="21" t="s">
        <v>110</v>
      </c>
    </row>
    <row r="58" spans="2:3" ht="6" customHeight="1" x14ac:dyDescent="0.35"/>
    <row r="59" spans="2:3" ht="203" x14ac:dyDescent="0.35">
      <c r="C59" s="21" t="s">
        <v>111</v>
      </c>
    </row>
    <row r="60" spans="2:3" ht="6" customHeight="1" x14ac:dyDescent="0.35"/>
    <row r="61" spans="2:3" ht="43.5" x14ac:dyDescent="0.35">
      <c r="C61" s="21" t="s">
        <v>112</v>
      </c>
    </row>
    <row r="62" spans="2:3" ht="10" customHeight="1" x14ac:dyDescent="0.35"/>
    <row r="63" spans="2:3" ht="3" customHeight="1" x14ac:dyDescent="0.35">
      <c r="B63" s="23"/>
      <c r="C63" s="23"/>
    </row>
    <row r="64" spans="2:3" ht="12" customHeight="1" x14ac:dyDescent="0.35"/>
    <row r="65" spans="2:3" ht="101.5" x14ac:dyDescent="0.35">
      <c r="B65" s="20" t="s">
        <v>113</v>
      </c>
      <c r="C65" s="21" t="s">
        <v>114</v>
      </c>
    </row>
    <row r="66" spans="2:3" ht="6" customHeight="1" x14ac:dyDescent="0.35"/>
    <row r="67" spans="2:3" ht="145" x14ac:dyDescent="0.35">
      <c r="C67" s="21" t="s">
        <v>115</v>
      </c>
    </row>
    <row r="68" spans="2:3" ht="6" customHeight="1" x14ac:dyDescent="0.35"/>
    <row r="69" spans="2:3" ht="43.5" x14ac:dyDescent="0.35">
      <c r="C69" s="21" t="s">
        <v>116</v>
      </c>
    </row>
    <row r="73" spans="2:3" ht="32" customHeight="1" x14ac:dyDescent="0.35">
      <c r="B73" s="78" t="s">
        <v>63</v>
      </c>
      <c r="C73" s="78"/>
    </row>
  </sheetData>
  <sheetProtection password="90EA" sheet="1"/>
  <mergeCells count="1">
    <mergeCell ref="B73:C73"/>
  </mergeCells>
  <hyperlinks>
    <hyperlink ref="C5" r:id="rId1" xr:uid="{00000000-0004-0000-0000-000000000000}"/>
    <hyperlink ref="C6" r:id="rId2" xr:uid="{00000000-0004-0000-0000-000001000000}"/>
    <hyperlink ref="C37" r:id="rId3" xr:uid="{00000000-0004-0000-0000-000002000000}"/>
    <hyperlink ref="B7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79" t="s">
        <v>117</v>
      </c>
      <c r="C2" s="80"/>
      <c r="D2" s="80"/>
      <c r="E2" s="80"/>
      <c r="F2" s="80"/>
      <c r="G2" s="80"/>
      <c r="H2" s="80"/>
      <c r="I2" s="80"/>
    </row>
    <row r="4" spans="2:15" ht="18.5" x14ac:dyDescent="0.45">
      <c r="B4" s="37" t="s">
        <v>118</v>
      </c>
    </row>
    <row r="5" spans="2:15" x14ac:dyDescent="0.35">
      <c r="B5" s="39" t="s">
        <v>23</v>
      </c>
      <c r="C5" s="39" t="s">
        <v>119</v>
      </c>
      <c r="D5" s="39" t="s">
        <v>120</v>
      </c>
      <c r="F5" s="81" t="s">
        <v>121</v>
      </c>
      <c r="G5" s="81"/>
      <c r="H5" s="81"/>
      <c r="I5" s="82" t="s">
        <v>122</v>
      </c>
      <c r="J5" s="82"/>
      <c r="K5" s="82"/>
      <c r="L5" s="82"/>
      <c r="M5" s="82"/>
      <c r="N5" s="82"/>
      <c r="O5" s="82"/>
    </row>
    <row r="6" spans="2:15" x14ac:dyDescent="0.35">
      <c r="B6" s="45" t="s">
        <v>123</v>
      </c>
      <c r="C6" s="46">
        <v>6</v>
      </c>
      <c r="D6" s="47" t="s">
        <v>23</v>
      </c>
      <c r="F6" s="81" t="s">
        <v>124</v>
      </c>
      <c r="G6" s="81"/>
      <c r="H6" s="81"/>
      <c r="I6" s="83" t="s">
        <v>125</v>
      </c>
      <c r="J6" s="83"/>
      <c r="K6" s="83"/>
      <c r="L6" s="83"/>
      <c r="M6" s="83"/>
      <c r="N6" s="83"/>
      <c r="O6" s="83"/>
    </row>
    <row r="7" spans="2:15" x14ac:dyDescent="0.35">
      <c r="B7" s="48" t="s">
        <v>126</v>
      </c>
      <c r="C7" s="49">
        <f>C6-C8-C9</f>
        <v>6</v>
      </c>
      <c r="D7" s="50">
        <f>IF(C6&gt;0,C7/C6,0)</f>
        <v>1</v>
      </c>
      <c r="F7" s="81" t="s">
        <v>127</v>
      </c>
      <c r="G7" s="81"/>
      <c r="H7" s="81"/>
      <c r="I7" s="83" t="s">
        <v>125</v>
      </c>
      <c r="J7" s="83"/>
      <c r="K7" s="83"/>
      <c r="L7" s="83"/>
      <c r="M7" s="83"/>
      <c r="N7" s="83"/>
      <c r="O7" s="83"/>
    </row>
    <row r="8" spans="2:15" x14ac:dyDescent="0.35">
      <c r="B8" s="41" t="s">
        <v>128</v>
      </c>
      <c r="C8" s="42">
        <f>COUNTIF('Recommendations'!H:H,"Risk Accepted")</f>
        <v>0</v>
      </c>
      <c r="D8" s="43">
        <f>IF(C6&gt;0,C8/C6,0)</f>
        <v>0</v>
      </c>
      <c r="F8" s="81" t="s">
        <v>129</v>
      </c>
      <c r="G8" s="81"/>
      <c r="H8" s="81"/>
      <c r="I8" s="83" t="s">
        <v>125</v>
      </c>
      <c r="J8" s="83"/>
      <c r="K8" s="83"/>
      <c r="L8" s="83"/>
      <c r="M8" s="83"/>
      <c r="N8" s="83"/>
      <c r="O8" s="83"/>
    </row>
    <row r="9" spans="2:15" x14ac:dyDescent="0.35">
      <c r="B9" s="41" t="s">
        <v>130</v>
      </c>
      <c r="C9" s="42">
        <f>COUNTIF('Recommendations'!H:H,"N/A")</f>
        <v>0</v>
      </c>
      <c r="D9" s="43">
        <f>IF(C6&gt;0,C9/C6,0)</f>
        <v>0</v>
      </c>
      <c r="F9" s="81" t="s">
        <v>131</v>
      </c>
      <c r="G9" s="81"/>
      <c r="H9" s="81"/>
      <c r="I9" s="83" t="s">
        <v>125</v>
      </c>
      <c r="J9" s="83"/>
      <c r="K9" s="83"/>
      <c r="L9" s="83"/>
      <c r="M9" s="83"/>
      <c r="N9" s="83"/>
      <c r="O9" s="83"/>
    </row>
    <row r="12" spans="2:15" ht="18.5" x14ac:dyDescent="0.45">
      <c r="B12" s="37" t="s">
        <v>132</v>
      </c>
    </row>
    <row r="14" spans="2:15" x14ac:dyDescent="0.35">
      <c r="B14" s="51" t="s">
        <v>133</v>
      </c>
    </row>
    <row r="15" spans="2:15" x14ac:dyDescent="0.35">
      <c r="B15" s="39" t="s">
        <v>23</v>
      </c>
      <c r="C15" s="39" t="s">
        <v>134</v>
      </c>
      <c r="D15" s="39" t="s">
        <v>135</v>
      </c>
      <c r="E15" s="39" t="s">
        <v>136</v>
      </c>
      <c r="F15" s="39" t="s">
        <v>137</v>
      </c>
    </row>
    <row r="16" spans="2:15" x14ac:dyDescent="0.35">
      <c r="B16" s="41" t="s">
        <v>138</v>
      </c>
      <c r="C16" s="42">
        <f>COUNTIF('Recommendations'!O:O,"Resolved")</f>
        <v>0</v>
      </c>
      <c r="D16" s="42">
        <f>COUNTIF('Recommendations'!O:O,"Testing")</f>
        <v>0</v>
      </c>
      <c r="E16" s="42">
        <f>COUNTIF('Recommendations'!O:O,"Outstanding")</f>
        <v>6</v>
      </c>
      <c r="F16" s="42">
        <f>SUM(C16:E16)</f>
        <v>6</v>
      </c>
    </row>
    <row r="18" spans="2:6" x14ac:dyDescent="0.35">
      <c r="B18" s="51" t="s">
        <v>139</v>
      </c>
    </row>
    <row r="19" spans="2:6" x14ac:dyDescent="0.35">
      <c r="B19" s="52" t="s">
        <v>23</v>
      </c>
      <c r="C19" s="52" t="s">
        <v>134</v>
      </c>
      <c r="D19" s="52" t="s">
        <v>135</v>
      </c>
      <c r="E19" s="52" t="s">
        <v>136</v>
      </c>
      <c r="F19" s="52" t="s">
        <v>23</v>
      </c>
    </row>
    <row r="20" spans="2:6" x14ac:dyDescent="0.35">
      <c r="B20" s="41" t="s">
        <v>138</v>
      </c>
      <c r="C20" s="43">
        <f>IF(F16&gt;0, C16/F16, 0)</f>
        <v>0</v>
      </c>
      <c r="D20" s="43">
        <f>IF(F16&gt;0, D16/F16, 0)</f>
        <v>0</v>
      </c>
      <c r="E20" s="43">
        <f>IF(F16&gt;0, E16/F16, 0)</f>
        <v>1</v>
      </c>
      <c r="F20" s="44" t="s">
        <v>23</v>
      </c>
    </row>
    <row r="25" spans="2:6" ht="18.5" x14ac:dyDescent="0.45">
      <c r="B25" s="37" t="s">
        <v>140</v>
      </c>
    </row>
    <row r="27" spans="2:6" x14ac:dyDescent="0.35">
      <c r="B27" s="51" t="s">
        <v>133</v>
      </c>
    </row>
    <row r="28" spans="2:6" x14ac:dyDescent="0.35">
      <c r="B28" s="39" t="s">
        <v>3</v>
      </c>
      <c r="C28" s="39" t="s">
        <v>134</v>
      </c>
      <c r="D28" s="39" t="s">
        <v>135</v>
      </c>
      <c r="E28" s="39" t="s">
        <v>136</v>
      </c>
      <c r="F28" s="39" t="s">
        <v>137</v>
      </c>
    </row>
    <row r="29" spans="2:6" x14ac:dyDescent="0.35">
      <c r="B29" s="41" t="s">
        <v>19</v>
      </c>
      <c r="C29" s="42">
        <f>COUNTIFS('Recommendations'!D:D,"SHALL",'Recommendations'!O:O,"=Resolved")</f>
        <v>0</v>
      </c>
      <c r="D29" s="42">
        <f>COUNTIFS('Recommendations'!D:D,"=SHALL",'Recommendations'!O:O,"=Testing")</f>
        <v>0</v>
      </c>
      <c r="E29" s="42">
        <f>COUNTIFS('Recommendations'!D:D,"=SHALL",'Recommendations'!O:O,"=Outstanding")</f>
        <v>4</v>
      </c>
      <c r="F29" s="42">
        <f>SUM(C29:E29)</f>
        <v>4</v>
      </c>
    </row>
    <row r="30" spans="2:6" x14ac:dyDescent="0.35">
      <c r="B30" s="41" t="s">
        <v>36</v>
      </c>
      <c r="C30" s="42">
        <f>COUNTIFS('Recommendations'!D:D,"SHALL NOT",'Recommendations'!O:O,"=Resolved")</f>
        <v>0</v>
      </c>
      <c r="D30" s="42">
        <f>COUNTIFS('Recommendations'!D:D,"=SHALL NOT",'Recommendations'!O:O,"=Testing")</f>
        <v>0</v>
      </c>
      <c r="E30" s="42">
        <f>COUNTIFS('Recommendations'!D:D,"=SHALL NOT",'Recommendations'!O:O,"=Outstanding")</f>
        <v>1</v>
      </c>
      <c r="F30" s="42">
        <f>SUM(C30:E30)</f>
        <v>1</v>
      </c>
    </row>
    <row r="31" spans="2:6" x14ac:dyDescent="0.35">
      <c r="B31" s="41" t="s">
        <v>44</v>
      </c>
      <c r="C31" s="42">
        <f>COUNTIFS('Recommendations'!D:D,"SHOULD",'Recommendations'!O:O,"=Resolved")</f>
        <v>0</v>
      </c>
      <c r="D31" s="42">
        <f>COUNTIFS('Recommendations'!D:D,"=SHOULD",'Recommendations'!O:O,"=Testing")</f>
        <v>0</v>
      </c>
      <c r="E31" s="42">
        <f>COUNTIFS('Recommendations'!D:D,"=SHOULD",'Recommendations'!O:O,"=Outstanding")</f>
        <v>1</v>
      </c>
      <c r="F31" s="42">
        <f>SUM(C31:E31)</f>
        <v>1</v>
      </c>
    </row>
    <row r="33" spans="2:6" x14ac:dyDescent="0.35">
      <c r="B33" s="51" t="s">
        <v>139</v>
      </c>
    </row>
    <row r="34" spans="2:6" x14ac:dyDescent="0.35">
      <c r="B34" s="52" t="s">
        <v>3</v>
      </c>
      <c r="C34" s="52" t="s">
        <v>134</v>
      </c>
      <c r="D34" s="52" t="s">
        <v>135</v>
      </c>
      <c r="E34" s="52" t="s">
        <v>136</v>
      </c>
      <c r="F34" s="52" t="s">
        <v>23</v>
      </c>
    </row>
    <row r="35" spans="2:6" x14ac:dyDescent="0.35">
      <c r="B35" s="41" t="s">
        <v>19</v>
      </c>
      <c r="C35" s="43">
        <f>IF(F29&gt;0, C29/F29, 0)</f>
        <v>0</v>
      </c>
      <c r="D35" s="43">
        <f>IF(F29&gt;0, D29/F29, 0)</f>
        <v>0</v>
      </c>
      <c r="E35" s="43">
        <f>IF(F29&gt;0, E29/F29, 0)</f>
        <v>1</v>
      </c>
      <c r="F35" s="44" t="s">
        <v>23</v>
      </c>
    </row>
    <row r="36" spans="2:6" x14ac:dyDescent="0.35">
      <c r="B36" s="41" t="s">
        <v>36</v>
      </c>
      <c r="C36" s="43">
        <f>IF(F30&gt;0, C30/F30, 0)</f>
        <v>0</v>
      </c>
      <c r="D36" s="43">
        <f>IF(F30&gt;0, D30/F30, 0)</f>
        <v>0</v>
      </c>
      <c r="E36" s="43">
        <f>IF(F30&gt;0, E30/F30, 0)</f>
        <v>1</v>
      </c>
      <c r="F36" s="44" t="s">
        <v>23</v>
      </c>
    </row>
    <row r="37" spans="2:6" x14ac:dyDescent="0.35">
      <c r="B37" s="41" t="s">
        <v>44</v>
      </c>
      <c r="C37" s="43">
        <f>IF(F31&gt;0, C31/F31, 0)</f>
        <v>0</v>
      </c>
      <c r="D37" s="43">
        <f>IF(F31&gt;0, D31/F31, 0)</f>
        <v>0</v>
      </c>
      <c r="E37" s="43">
        <f>IF(F31&gt;0, E31/F31, 0)</f>
        <v>1</v>
      </c>
      <c r="F37" s="44" t="s">
        <v>23</v>
      </c>
    </row>
    <row r="42" spans="2:6" ht="18.5" x14ac:dyDescent="0.45">
      <c r="B42" s="37" t="s">
        <v>141</v>
      </c>
    </row>
    <row r="44" spans="2:6" x14ac:dyDescent="0.35">
      <c r="B44" s="51" t="s">
        <v>133</v>
      </c>
    </row>
    <row r="45" spans="2:6" x14ac:dyDescent="0.35">
      <c r="B45" s="39" t="s">
        <v>6</v>
      </c>
      <c r="C45" s="39" t="s">
        <v>134</v>
      </c>
      <c r="D45" s="39" t="s">
        <v>135</v>
      </c>
      <c r="E45" s="39" t="s">
        <v>136</v>
      </c>
      <c r="F45" s="39" t="s">
        <v>137</v>
      </c>
    </row>
    <row r="46" spans="2:6" x14ac:dyDescent="0.35">
      <c r="B46" s="41" t="s">
        <v>142</v>
      </c>
      <c r="C46" s="42">
        <f>COUNTIFS('Recommendations'!G:G,"Phase1",'Recommendations'!O:O,"=Resolved")</f>
        <v>0</v>
      </c>
      <c r="D46" s="42">
        <f>COUNTIFS('Recommendations'!G:G,"=Phase1",'Recommendations'!O:O,"=Testing")</f>
        <v>0</v>
      </c>
      <c r="E46" s="42">
        <f>COUNTIFS('Recommendations'!G:G,"=Phase1",'Recommendations'!O:O,"=Outstanding")</f>
        <v>0</v>
      </c>
      <c r="F46" s="42">
        <f t="shared" ref="F46:F51" si="0">SUM(C46:E46)</f>
        <v>0</v>
      </c>
    </row>
    <row r="47" spans="2:6" x14ac:dyDescent="0.35">
      <c r="B47" s="41" t="s">
        <v>143</v>
      </c>
      <c r="C47" s="42">
        <f>COUNTIFS('Recommendations'!G:G,"Phase2",'Recommendations'!O:O,"=Resolved")</f>
        <v>0</v>
      </c>
      <c r="D47" s="42">
        <f>COUNTIFS('Recommendations'!G:G,"=Phase2",'Recommendations'!O:O,"=Testing")</f>
        <v>0</v>
      </c>
      <c r="E47" s="42">
        <f>COUNTIFS('Recommendations'!G:G,"=Phase2",'Recommendations'!O:O,"=Outstanding")</f>
        <v>0</v>
      </c>
      <c r="F47" s="42">
        <f t="shared" si="0"/>
        <v>0</v>
      </c>
    </row>
    <row r="48" spans="2:6" x14ac:dyDescent="0.35">
      <c r="B48" s="41" t="s">
        <v>144</v>
      </c>
      <c r="C48" s="42">
        <f>COUNTIFS('Recommendations'!G:G,"Phase3",'Recommendations'!O:O,"=Resolved")</f>
        <v>0</v>
      </c>
      <c r="D48" s="42">
        <f>COUNTIFS('Recommendations'!G:G,"=Phase3",'Recommendations'!O:O,"=Testing")</f>
        <v>0</v>
      </c>
      <c r="E48" s="42">
        <f>COUNTIFS('Recommendations'!G:G,"=Phase3",'Recommendations'!O:O,"=Outstanding")</f>
        <v>0</v>
      </c>
      <c r="F48" s="42">
        <f t="shared" si="0"/>
        <v>0</v>
      </c>
    </row>
    <row r="49" spans="2:6" x14ac:dyDescent="0.35">
      <c r="B49" s="41" t="s">
        <v>145</v>
      </c>
      <c r="C49" s="42">
        <f>COUNTIFS('Recommendations'!G:G,"Phase4",'Recommendations'!O:O,"=Resolved")</f>
        <v>0</v>
      </c>
      <c r="D49" s="42">
        <f>COUNTIFS('Recommendations'!G:G,"=Phase4",'Recommendations'!O:O,"=Testing")</f>
        <v>0</v>
      </c>
      <c r="E49" s="42">
        <f>COUNTIFS('Recommendations'!G:G,"=Phase4",'Recommendations'!O:O,"=Outstanding")</f>
        <v>0</v>
      </c>
      <c r="F49" s="42">
        <f t="shared" si="0"/>
        <v>0</v>
      </c>
    </row>
    <row r="50" spans="2:6" x14ac:dyDescent="0.35">
      <c r="B50" s="41" t="s">
        <v>146</v>
      </c>
      <c r="C50" s="42">
        <f>COUNTIFS('Recommendations'!G:G,"Phase5",'Recommendations'!O:O,"=Resolved")</f>
        <v>0</v>
      </c>
      <c r="D50" s="42">
        <f>COUNTIFS('Recommendations'!G:G,"=Phase5",'Recommendations'!O:O,"=Testing")</f>
        <v>0</v>
      </c>
      <c r="E50" s="42">
        <f>COUNTIFS('Recommendations'!G:G,"=Phase5",'Recommendations'!O:O,"=Outstanding")</f>
        <v>0</v>
      </c>
      <c r="F50" s="42">
        <f t="shared" si="0"/>
        <v>0</v>
      </c>
    </row>
    <row r="51" spans="2:6" x14ac:dyDescent="0.35">
      <c r="B51" s="41" t="s">
        <v>22</v>
      </c>
      <c r="C51" s="42">
        <f>COUNTIFS('Recommendations'!G:G,"Pending",'Recommendations'!O:O,"=Resolved")</f>
        <v>0</v>
      </c>
      <c r="D51" s="42">
        <f>COUNTIFS('Recommendations'!G:G,"=Pending",'Recommendations'!O:O,"=Testing")</f>
        <v>0</v>
      </c>
      <c r="E51" s="42">
        <f>COUNTIFS('Recommendations'!G:G,"=Pending",'Recommendations'!O:O,"=Outstanding")</f>
        <v>6</v>
      </c>
      <c r="F51" s="42">
        <f t="shared" si="0"/>
        <v>6</v>
      </c>
    </row>
    <row r="53" spans="2:6" x14ac:dyDescent="0.35">
      <c r="B53" s="51" t="s">
        <v>139</v>
      </c>
    </row>
    <row r="54" spans="2:6" x14ac:dyDescent="0.35">
      <c r="B54" s="52" t="s">
        <v>6</v>
      </c>
      <c r="C54" s="52" t="s">
        <v>134</v>
      </c>
      <c r="D54" s="52" t="s">
        <v>135</v>
      </c>
      <c r="E54" s="52" t="s">
        <v>136</v>
      </c>
      <c r="F54" s="52" t="s">
        <v>23</v>
      </c>
    </row>
    <row r="55" spans="2:6" x14ac:dyDescent="0.35">
      <c r="B55" s="41" t="s">
        <v>142</v>
      </c>
      <c r="C55" s="43">
        <f t="shared" ref="C55:C60" si="1">IF(F46&gt;0, C46/F46, 0)</f>
        <v>0</v>
      </c>
      <c r="D55" s="43">
        <f t="shared" ref="D55:D60" si="2">IF(F46&gt;0, D46/F46, 0)</f>
        <v>0</v>
      </c>
      <c r="E55" s="43">
        <f t="shared" ref="E55:E60" si="3">IF(F46&gt;0, E46/F46, 0)</f>
        <v>0</v>
      </c>
      <c r="F55" s="44" t="s">
        <v>23</v>
      </c>
    </row>
    <row r="56" spans="2:6" x14ac:dyDescent="0.35">
      <c r="B56" s="41" t="s">
        <v>143</v>
      </c>
      <c r="C56" s="43">
        <f t="shared" si="1"/>
        <v>0</v>
      </c>
      <c r="D56" s="43">
        <f t="shared" si="2"/>
        <v>0</v>
      </c>
      <c r="E56" s="43">
        <f t="shared" si="3"/>
        <v>0</v>
      </c>
      <c r="F56" s="44" t="s">
        <v>23</v>
      </c>
    </row>
    <row r="57" spans="2:6" x14ac:dyDescent="0.35">
      <c r="B57" s="41" t="s">
        <v>144</v>
      </c>
      <c r="C57" s="43">
        <f t="shared" si="1"/>
        <v>0</v>
      </c>
      <c r="D57" s="43">
        <f t="shared" si="2"/>
        <v>0</v>
      </c>
      <c r="E57" s="43">
        <f t="shared" si="3"/>
        <v>0</v>
      </c>
      <c r="F57" s="44" t="s">
        <v>23</v>
      </c>
    </row>
    <row r="58" spans="2:6" x14ac:dyDescent="0.35">
      <c r="B58" s="41" t="s">
        <v>145</v>
      </c>
      <c r="C58" s="43">
        <f t="shared" si="1"/>
        <v>0</v>
      </c>
      <c r="D58" s="43">
        <f t="shared" si="2"/>
        <v>0</v>
      </c>
      <c r="E58" s="43">
        <f t="shared" si="3"/>
        <v>0</v>
      </c>
      <c r="F58" s="44" t="s">
        <v>23</v>
      </c>
    </row>
    <row r="59" spans="2:6" x14ac:dyDescent="0.35">
      <c r="B59" s="41" t="s">
        <v>146</v>
      </c>
      <c r="C59" s="43">
        <f t="shared" si="1"/>
        <v>0</v>
      </c>
      <c r="D59" s="43">
        <f t="shared" si="2"/>
        <v>0</v>
      </c>
      <c r="E59" s="43">
        <f t="shared" si="3"/>
        <v>0</v>
      </c>
      <c r="F59" s="44" t="s">
        <v>23</v>
      </c>
    </row>
    <row r="60" spans="2:6" x14ac:dyDescent="0.35">
      <c r="B60" s="41" t="s">
        <v>22</v>
      </c>
      <c r="C60" s="43">
        <f t="shared" si="1"/>
        <v>0</v>
      </c>
      <c r="D60" s="43">
        <f t="shared" si="2"/>
        <v>0</v>
      </c>
      <c r="E60" s="43">
        <f t="shared" si="3"/>
        <v>1</v>
      </c>
      <c r="F60" s="44" t="s">
        <v>23</v>
      </c>
    </row>
    <row r="65" spans="2:6" ht="18.5" x14ac:dyDescent="0.45">
      <c r="B65" s="37" t="s">
        <v>147</v>
      </c>
    </row>
    <row r="67" spans="2:6" x14ac:dyDescent="0.35">
      <c r="B67" s="51" t="s">
        <v>133</v>
      </c>
    </row>
    <row r="68" spans="2:6" x14ac:dyDescent="0.35">
      <c r="B68" s="39" t="s">
        <v>4</v>
      </c>
      <c r="C68" s="39" t="s">
        <v>134</v>
      </c>
      <c r="D68" s="39" t="s">
        <v>135</v>
      </c>
      <c r="E68" s="39" t="s">
        <v>136</v>
      </c>
      <c r="F68" s="39" t="s">
        <v>137</v>
      </c>
    </row>
    <row r="69" spans="2:6" x14ac:dyDescent="0.35">
      <c r="B69" s="41" t="s">
        <v>148</v>
      </c>
      <c r="C69" s="42">
        <f>COUNTIFS('Recommendations'!E:E,"Must",'Recommendations'!O:O,"=Resolved")</f>
        <v>0</v>
      </c>
      <c r="D69" s="42">
        <f>COUNTIFS('Recommendations'!E:E,"=Must",'Recommendations'!O:O,"=Testing")</f>
        <v>0</v>
      </c>
      <c r="E69" s="42">
        <f>COUNTIFS('Recommendations'!E:E,"=Must",'Recommendations'!O:O,"=Outstanding")</f>
        <v>0</v>
      </c>
      <c r="F69" s="42">
        <f>SUM(C69:E69)</f>
        <v>0</v>
      </c>
    </row>
    <row r="70" spans="2:6" x14ac:dyDescent="0.35">
      <c r="B70" s="41" t="s">
        <v>149</v>
      </c>
      <c r="C70" s="42">
        <f>COUNTIFS('Recommendations'!E:E,"Should",'Recommendations'!O:O,"=Resolved")</f>
        <v>0</v>
      </c>
      <c r="D70" s="42">
        <f>COUNTIFS('Recommendations'!E:E,"=Should",'Recommendations'!O:O,"=Testing")</f>
        <v>0</v>
      </c>
      <c r="E70" s="42">
        <f>COUNTIFS('Recommendations'!E:E,"=Should",'Recommendations'!O:O,"=Outstanding")</f>
        <v>0</v>
      </c>
      <c r="F70" s="42">
        <f>SUM(C70:E70)</f>
        <v>0</v>
      </c>
    </row>
    <row r="71" spans="2:6" x14ac:dyDescent="0.35">
      <c r="B71" s="41" t="s">
        <v>150</v>
      </c>
      <c r="C71" s="42">
        <f>COUNTIFS('Recommendations'!E:E,"Could",'Recommendations'!O:O,"=Resolved")</f>
        <v>0</v>
      </c>
      <c r="D71" s="42">
        <f>COUNTIFS('Recommendations'!E:E,"=Could",'Recommendations'!O:O,"=Testing")</f>
        <v>0</v>
      </c>
      <c r="E71" s="42">
        <f>COUNTIFS('Recommendations'!E:E,"=Could",'Recommendations'!O:O,"=Outstanding")</f>
        <v>0</v>
      </c>
      <c r="F71" s="42">
        <f>SUM(C71:E71)</f>
        <v>0</v>
      </c>
    </row>
    <row r="72" spans="2:6" x14ac:dyDescent="0.35">
      <c r="B72" s="41" t="s">
        <v>151</v>
      </c>
      <c r="C72" s="42">
        <f>COUNTIFS('Recommendations'!E:E,"Won't",'Recommendations'!O:O,"=Resolved")</f>
        <v>0</v>
      </c>
      <c r="D72" s="42">
        <f>COUNTIFS('Recommendations'!E:E,"=Won't",'Recommendations'!O:O,"=Testing")</f>
        <v>0</v>
      </c>
      <c r="E72" s="42">
        <f>COUNTIFS('Recommendations'!E:E,"=Won't",'Recommendations'!O:O,"=Outstanding")</f>
        <v>0</v>
      </c>
      <c r="F72" s="42">
        <f>SUM(C72:E72)</f>
        <v>0</v>
      </c>
    </row>
    <row r="73" spans="2:6" x14ac:dyDescent="0.35">
      <c r="B73" s="41" t="s">
        <v>20</v>
      </c>
      <c r="C73" s="42">
        <f>COUNTIFS('Recommendations'!E:E,"Unassigned",'Recommendations'!O:O,"=Resolved")</f>
        <v>0</v>
      </c>
      <c r="D73" s="42">
        <f>COUNTIFS('Recommendations'!E:E,"=Unassigned",'Recommendations'!O:O,"=Testing")</f>
        <v>0</v>
      </c>
      <c r="E73" s="42">
        <f>COUNTIFS('Recommendations'!E:E,"=Unassigned",'Recommendations'!O:O,"=Outstanding")</f>
        <v>6</v>
      </c>
      <c r="F73" s="42">
        <f>SUM(C73:E73)</f>
        <v>6</v>
      </c>
    </row>
    <row r="75" spans="2:6" x14ac:dyDescent="0.35">
      <c r="B75" s="51" t="s">
        <v>139</v>
      </c>
    </row>
    <row r="76" spans="2:6" x14ac:dyDescent="0.35">
      <c r="B76" s="52" t="s">
        <v>4</v>
      </c>
      <c r="C76" s="52" t="s">
        <v>134</v>
      </c>
      <c r="D76" s="52" t="s">
        <v>135</v>
      </c>
      <c r="E76" s="52" t="s">
        <v>136</v>
      </c>
      <c r="F76" s="52" t="s">
        <v>23</v>
      </c>
    </row>
    <row r="77" spans="2:6" x14ac:dyDescent="0.35">
      <c r="B77" s="41" t="s">
        <v>148</v>
      </c>
      <c r="C77" s="43">
        <f>IF(F69&gt;0, C69/F69, 0)</f>
        <v>0</v>
      </c>
      <c r="D77" s="43">
        <f>IF(F69&gt;0, D69/F69, 0)</f>
        <v>0</v>
      </c>
      <c r="E77" s="43">
        <f>IF(F69&gt;0, E69/F69, 0)</f>
        <v>0</v>
      </c>
      <c r="F77" s="44" t="s">
        <v>23</v>
      </c>
    </row>
    <row r="78" spans="2:6" x14ac:dyDescent="0.35">
      <c r="B78" s="41" t="s">
        <v>149</v>
      </c>
      <c r="C78" s="43">
        <f>IF(F70&gt;0, C70/F70, 0)</f>
        <v>0</v>
      </c>
      <c r="D78" s="43">
        <f>IF(F70&gt;0, D70/F70, 0)</f>
        <v>0</v>
      </c>
      <c r="E78" s="43">
        <f>IF(F70&gt;0, E70/F70, 0)</f>
        <v>0</v>
      </c>
      <c r="F78" s="44" t="s">
        <v>23</v>
      </c>
    </row>
    <row r="79" spans="2:6" x14ac:dyDescent="0.35">
      <c r="B79" s="41" t="s">
        <v>150</v>
      </c>
      <c r="C79" s="43">
        <f>IF(F71&gt;0, C71/F71, 0)</f>
        <v>0</v>
      </c>
      <c r="D79" s="43">
        <f>IF(F71&gt;0, D71/F71, 0)</f>
        <v>0</v>
      </c>
      <c r="E79" s="43">
        <f>IF(F71&gt;0, E71/F71, 0)</f>
        <v>0</v>
      </c>
      <c r="F79" s="44" t="s">
        <v>23</v>
      </c>
    </row>
    <row r="80" spans="2:6" x14ac:dyDescent="0.35">
      <c r="B80" s="41" t="s">
        <v>151</v>
      </c>
      <c r="C80" s="43">
        <f>IF(F72&gt;0, C72/F72, 0)</f>
        <v>0</v>
      </c>
      <c r="D80" s="43">
        <f>IF(F72&gt;0, D72/F72, 0)</f>
        <v>0</v>
      </c>
      <c r="E80" s="43">
        <f>IF(F72&gt;0, E72/F72, 0)</f>
        <v>0</v>
      </c>
      <c r="F80" s="44" t="s">
        <v>23</v>
      </c>
    </row>
    <row r="81" spans="2:6" x14ac:dyDescent="0.35">
      <c r="B81" s="41" t="s">
        <v>20</v>
      </c>
      <c r="C81" s="43">
        <f>IF(F73&gt;0, C73/F73, 0)</f>
        <v>0</v>
      </c>
      <c r="D81" s="43">
        <f>IF(F73&gt;0, D73/F73, 0)</f>
        <v>0</v>
      </c>
      <c r="E81" s="43">
        <f>IF(F73&gt;0, E73/F73, 0)</f>
        <v>1</v>
      </c>
      <c r="F81" s="44" t="s">
        <v>23</v>
      </c>
    </row>
    <row r="86" spans="2:6" ht="18.5" x14ac:dyDescent="0.45">
      <c r="B86" s="37" t="s">
        <v>152</v>
      </c>
    </row>
    <row r="88" spans="2:6" x14ac:dyDescent="0.35">
      <c r="B88" s="51" t="s">
        <v>133</v>
      </c>
    </row>
    <row r="89" spans="2:6" x14ac:dyDescent="0.35">
      <c r="B89" s="39" t="s">
        <v>153</v>
      </c>
      <c r="C89" s="39" t="s">
        <v>134</v>
      </c>
      <c r="D89" s="39" t="s">
        <v>135</v>
      </c>
      <c r="E89" s="39" t="s">
        <v>136</v>
      </c>
      <c r="F89" s="39" t="s">
        <v>137</v>
      </c>
    </row>
    <row r="90" spans="2:6" x14ac:dyDescent="0.35">
      <c r="B90" s="41" t="s">
        <v>154</v>
      </c>
      <c r="C90" s="42">
        <f>COUNTIFS('Recommendations'!F:F,"Low",'Recommendations'!O:O,"=Resolved")</f>
        <v>0</v>
      </c>
      <c r="D90" s="42">
        <f>COUNTIFS('Recommendations'!F:F,"=Low",'Recommendations'!O:O,"=Testing")</f>
        <v>0</v>
      </c>
      <c r="E90" s="42">
        <f>COUNTIFS('Recommendations'!F:F,"=Low",'Recommendations'!O:O,"=Outstanding")</f>
        <v>0</v>
      </c>
      <c r="F90" s="42">
        <f>SUM(C90:E90)</f>
        <v>0</v>
      </c>
    </row>
    <row r="91" spans="2:6" x14ac:dyDescent="0.35">
      <c r="B91" s="41" t="s">
        <v>155</v>
      </c>
      <c r="C91" s="42">
        <f>COUNTIFS('Recommendations'!F:F,"Medium",'Recommendations'!O:O,"=Resolved")</f>
        <v>0</v>
      </c>
      <c r="D91" s="42">
        <f>COUNTIFS('Recommendations'!F:F,"=Medium",'Recommendations'!O:O,"=Testing")</f>
        <v>0</v>
      </c>
      <c r="E91" s="42">
        <f>COUNTIFS('Recommendations'!F:F,"=Medium",'Recommendations'!O:O,"=Outstanding")</f>
        <v>0</v>
      </c>
      <c r="F91" s="42">
        <f>SUM(C91:E91)</f>
        <v>0</v>
      </c>
    </row>
    <row r="92" spans="2:6" x14ac:dyDescent="0.35">
      <c r="B92" s="41" t="s">
        <v>156</v>
      </c>
      <c r="C92" s="42">
        <f>COUNTIFS('Recommendations'!F:F,"High",'Recommendations'!O:O,"=Resolved")</f>
        <v>0</v>
      </c>
      <c r="D92" s="42">
        <f>COUNTIFS('Recommendations'!F:F,"=High",'Recommendations'!O:O,"=Testing")</f>
        <v>0</v>
      </c>
      <c r="E92" s="42">
        <f>COUNTIFS('Recommendations'!F:F,"=High",'Recommendations'!O:O,"=Outstanding")</f>
        <v>0</v>
      </c>
      <c r="F92" s="42">
        <f>SUM(C92:E92)</f>
        <v>0</v>
      </c>
    </row>
    <row r="93" spans="2:6" x14ac:dyDescent="0.35">
      <c r="B93" s="41" t="s">
        <v>21</v>
      </c>
      <c r="C93" s="42">
        <f>COUNTIFS('Recommendations'!F:F,"Unassessed",'Recommendations'!O:O,"=Resolved")</f>
        <v>0</v>
      </c>
      <c r="D93" s="42">
        <f>COUNTIFS('Recommendations'!F:F,"=Unassessed",'Recommendations'!O:O,"=Testing")</f>
        <v>0</v>
      </c>
      <c r="E93" s="42">
        <f>COUNTIFS('Recommendations'!F:F,"=Unassessed",'Recommendations'!O:O,"=Outstanding")</f>
        <v>6</v>
      </c>
      <c r="F93" s="42">
        <f>SUM(C93:E93)</f>
        <v>6</v>
      </c>
    </row>
    <row r="95" spans="2:6" x14ac:dyDescent="0.35">
      <c r="B95" s="51" t="s">
        <v>139</v>
      </c>
    </row>
    <row r="96" spans="2:6" x14ac:dyDescent="0.35">
      <c r="B96" s="52" t="s">
        <v>153</v>
      </c>
      <c r="C96" s="52" t="s">
        <v>134</v>
      </c>
      <c r="D96" s="52" t="s">
        <v>135</v>
      </c>
      <c r="E96" s="52" t="s">
        <v>136</v>
      </c>
      <c r="F96" s="52" t="s">
        <v>23</v>
      </c>
    </row>
    <row r="97" spans="2:15" x14ac:dyDescent="0.35">
      <c r="B97" s="41" t="s">
        <v>154</v>
      </c>
      <c r="C97" s="43">
        <f>IF(F90&gt;0, C90/F90, 0)</f>
        <v>0</v>
      </c>
      <c r="D97" s="43">
        <f>IF(F90&gt;0, D90/F90, 0)</f>
        <v>0</v>
      </c>
      <c r="E97" s="43">
        <f>IF(F90&gt;0, E90/F90, 0)</f>
        <v>0</v>
      </c>
      <c r="F97" s="44" t="s">
        <v>23</v>
      </c>
    </row>
    <row r="98" spans="2:15" x14ac:dyDescent="0.35">
      <c r="B98" s="41" t="s">
        <v>155</v>
      </c>
      <c r="C98" s="43">
        <f>IF(F91&gt;0, C91/F91, 0)</f>
        <v>0</v>
      </c>
      <c r="D98" s="43">
        <f>IF(F91&gt;0, D91/F91, 0)</f>
        <v>0</v>
      </c>
      <c r="E98" s="43">
        <f>IF(F91&gt;0, E91/F91, 0)</f>
        <v>0</v>
      </c>
      <c r="F98" s="44" t="s">
        <v>23</v>
      </c>
    </row>
    <row r="99" spans="2:15" x14ac:dyDescent="0.35">
      <c r="B99" s="41" t="s">
        <v>156</v>
      </c>
      <c r="C99" s="43">
        <f>IF(F92&gt;0, C92/F92, 0)</f>
        <v>0</v>
      </c>
      <c r="D99" s="43">
        <f>IF(F92&gt;0, D92/F92, 0)</f>
        <v>0</v>
      </c>
      <c r="E99" s="43">
        <f>IF(F92&gt;0, E92/F92, 0)</f>
        <v>0</v>
      </c>
      <c r="F99" s="44" t="s">
        <v>23</v>
      </c>
    </row>
    <row r="100" spans="2:15" x14ac:dyDescent="0.35">
      <c r="B100" s="41" t="s">
        <v>21</v>
      </c>
      <c r="C100" s="43">
        <f>IF(F93&gt;0, C93/F93, 0)</f>
        <v>0</v>
      </c>
      <c r="D100" s="43">
        <f>IF(F93&gt;0, D93/F93, 0)</f>
        <v>0</v>
      </c>
      <c r="E100" s="43">
        <f>IF(F93&gt;0, E93/F93, 0)</f>
        <v>1</v>
      </c>
      <c r="F100" s="44" t="s">
        <v>23</v>
      </c>
    </row>
    <row r="105" spans="2:15" ht="18.5" x14ac:dyDescent="0.45">
      <c r="B105" s="37" t="s">
        <v>157</v>
      </c>
      <c r="J105" s="37" t="s">
        <v>158</v>
      </c>
    </row>
    <row r="106" spans="2:15" x14ac:dyDescent="0.35">
      <c r="B106" s="39" t="s">
        <v>6</v>
      </c>
      <c r="C106" s="84" t="s">
        <v>159</v>
      </c>
      <c r="D106" s="84"/>
      <c r="E106" s="39" t="s">
        <v>126</v>
      </c>
      <c r="F106" s="39" t="s">
        <v>134</v>
      </c>
      <c r="G106" s="84" t="s">
        <v>160</v>
      </c>
      <c r="H106" s="84"/>
      <c r="J106" s="39" t="s">
        <v>6</v>
      </c>
      <c r="K106" s="39" t="s">
        <v>148</v>
      </c>
      <c r="L106" s="39" t="s">
        <v>149</v>
      </c>
      <c r="M106" s="39" t="s">
        <v>150</v>
      </c>
      <c r="N106" s="39" t="s">
        <v>151</v>
      </c>
      <c r="O106" s="39" t="s">
        <v>20</v>
      </c>
    </row>
    <row r="107" spans="2:15" x14ac:dyDescent="0.35">
      <c r="B107" s="45" t="s">
        <v>142</v>
      </c>
      <c r="C107" s="85" t="s">
        <v>23</v>
      </c>
      <c r="D107" s="85"/>
      <c r="E107" s="42">
        <f>COUNTIF('Recommendations'!G:G,"Phase1")-COUNTIFS('Recommendations'!G:G,"Phase1",'Recommendations'!H:H,"Risk Accepted")-COUNTIFS('Recommendations'!G:G,"Phase1",'Recommendations'!H:H,"N/A")</f>
        <v>0</v>
      </c>
      <c r="F107" s="42">
        <f>COUNTIFS('Recommendations'!G:G,"Phase1",'Recommendations'!O:O,"Resolved")</f>
        <v>0</v>
      </c>
      <c r="G107" s="86">
        <f t="shared" ref="G107:G112" si="4">IF(E107&gt;0,F107/E107,0)</f>
        <v>0</v>
      </c>
      <c r="H107" s="86"/>
      <c r="J107" s="45" t="s">
        <v>142</v>
      </c>
      <c r="K107" s="42">
        <f>COUNTIFS('Recommendations'!G:G,"Phase1",'Recommendations'!E:E,"Must")</f>
        <v>0</v>
      </c>
      <c r="L107" s="42">
        <f>COUNTIFS('Recommendations'!G:G,"Phase1",'Recommendations'!E:E,"Should")</f>
        <v>0</v>
      </c>
      <c r="M107" s="42">
        <f>COUNTIFS('Recommendations'!G:G,"Phase1",'Recommendations'!E:E,"Could")</f>
        <v>0</v>
      </c>
      <c r="N107" s="42">
        <f>COUNTIFS('Recommendations'!G:G,"Phase1",'Recommendations'!E:E,"Won't")</f>
        <v>0</v>
      </c>
      <c r="O107" s="42">
        <f>COUNTIFS('Recommendations'!G:G,"Phase1",'Recommendations'!E:E,"Unassigned")</f>
        <v>0</v>
      </c>
    </row>
    <row r="108" spans="2:15" x14ac:dyDescent="0.35">
      <c r="B108" s="45" t="s">
        <v>143</v>
      </c>
      <c r="C108" s="85" t="s">
        <v>23</v>
      </c>
      <c r="D108" s="85"/>
      <c r="E108" s="42">
        <f>COUNTIF('Recommendations'!G:G,"Phase2")-COUNTIFS('Recommendations'!G:G,"Phase2",'Recommendations'!H:H,"Risk Accepted")-COUNTIFS('Recommendations'!G:G,"Phase2",'Recommendations'!H:H,"N/A")</f>
        <v>0</v>
      </c>
      <c r="F108" s="42">
        <f>COUNTIFS('Recommendations'!G:G,"Phase2",'Recommendations'!O:O,"Resolved")</f>
        <v>0</v>
      </c>
      <c r="G108" s="86">
        <f t="shared" si="4"/>
        <v>0</v>
      </c>
      <c r="H108" s="86"/>
      <c r="J108" s="45" t="s">
        <v>143</v>
      </c>
      <c r="K108" s="42">
        <f>COUNTIFS('Recommendations'!G:G,"Phase2",'Recommendations'!E:E,"Must")</f>
        <v>0</v>
      </c>
      <c r="L108" s="42">
        <f>COUNTIFS('Recommendations'!G:G,"Phase2",'Recommendations'!E:E,"Should")</f>
        <v>0</v>
      </c>
      <c r="M108" s="42">
        <f>COUNTIFS('Recommendations'!G:G,"Phase2",'Recommendations'!E:E,"Could")</f>
        <v>0</v>
      </c>
      <c r="N108" s="42">
        <f>COUNTIFS('Recommendations'!G:G,"Phase2",'Recommendations'!E:E,"Won't")</f>
        <v>0</v>
      </c>
      <c r="O108" s="42">
        <f>COUNTIFS('Recommendations'!G:G,"Phase2",'Recommendations'!E:E,"Unassigned")</f>
        <v>0</v>
      </c>
    </row>
    <row r="109" spans="2:15" x14ac:dyDescent="0.35">
      <c r="B109" s="45" t="s">
        <v>144</v>
      </c>
      <c r="C109" s="85" t="s">
        <v>23</v>
      </c>
      <c r="D109" s="85"/>
      <c r="E109" s="42">
        <f>COUNTIF('Recommendations'!G:G,"Phase3")-COUNTIFS('Recommendations'!G:G,"Phase3",'Recommendations'!H:H,"Risk Accepted")-COUNTIFS('Recommendations'!G:G,"Phase3",'Recommendations'!H:H,"N/A")</f>
        <v>0</v>
      </c>
      <c r="F109" s="42">
        <f>COUNTIFS('Recommendations'!G:G,"Phase3",'Recommendations'!O:O,"Resolved")</f>
        <v>0</v>
      </c>
      <c r="G109" s="86">
        <f t="shared" si="4"/>
        <v>0</v>
      </c>
      <c r="H109" s="86"/>
      <c r="J109" s="45" t="s">
        <v>144</v>
      </c>
      <c r="K109" s="42">
        <f>COUNTIFS('Recommendations'!G:G,"Phase3",'Recommendations'!E:E,"Must")</f>
        <v>0</v>
      </c>
      <c r="L109" s="42">
        <f>COUNTIFS('Recommendations'!G:G,"Phase3",'Recommendations'!E:E,"Should")</f>
        <v>0</v>
      </c>
      <c r="M109" s="42">
        <f>COUNTIFS('Recommendations'!G:G,"Phase3",'Recommendations'!E:E,"Could")</f>
        <v>0</v>
      </c>
      <c r="N109" s="42">
        <f>COUNTIFS('Recommendations'!G:G,"Phase3",'Recommendations'!E:E,"Won't")</f>
        <v>0</v>
      </c>
      <c r="O109" s="42">
        <f>COUNTIFS('Recommendations'!G:G,"Phase3",'Recommendations'!E:E,"Unassigned")</f>
        <v>0</v>
      </c>
    </row>
    <row r="110" spans="2:15" x14ac:dyDescent="0.35">
      <c r="B110" s="45" t="s">
        <v>145</v>
      </c>
      <c r="C110" s="85" t="s">
        <v>23</v>
      </c>
      <c r="D110" s="85"/>
      <c r="E110" s="42">
        <f>COUNTIF('Recommendations'!G:G,"Phase4")-COUNTIFS('Recommendations'!G:G,"Phase4",'Recommendations'!H:H,"Risk Accepted")-COUNTIFS('Recommendations'!G:G,"Phase4",'Recommendations'!H:H,"N/A")</f>
        <v>0</v>
      </c>
      <c r="F110" s="42">
        <f>COUNTIFS('Recommendations'!G:G,"Phase4",'Recommendations'!O:O,"Resolved")</f>
        <v>0</v>
      </c>
      <c r="G110" s="86">
        <f t="shared" si="4"/>
        <v>0</v>
      </c>
      <c r="H110" s="86"/>
      <c r="J110" s="45" t="s">
        <v>145</v>
      </c>
      <c r="K110" s="42">
        <f>COUNTIFS('Recommendations'!G:G,"Phase4",'Recommendations'!E:E,"Must")</f>
        <v>0</v>
      </c>
      <c r="L110" s="42">
        <f>COUNTIFS('Recommendations'!G:G,"Phase4",'Recommendations'!E:E,"Should")</f>
        <v>0</v>
      </c>
      <c r="M110" s="42">
        <f>COUNTIFS('Recommendations'!G:G,"Phase4",'Recommendations'!E:E,"Could")</f>
        <v>0</v>
      </c>
      <c r="N110" s="42">
        <f>COUNTIFS('Recommendations'!G:G,"Phase4",'Recommendations'!E:E,"Won't")</f>
        <v>0</v>
      </c>
      <c r="O110" s="42">
        <f>COUNTIFS('Recommendations'!G:G,"Phase4",'Recommendations'!E:E,"Unassigned")</f>
        <v>0</v>
      </c>
    </row>
    <row r="111" spans="2:15" x14ac:dyDescent="0.35">
      <c r="B111" s="45" t="s">
        <v>146</v>
      </c>
      <c r="C111" s="85" t="s">
        <v>23</v>
      </c>
      <c r="D111" s="85"/>
      <c r="E111" s="42">
        <f>COUNTIF('Recommendations'!G:G,"Phase5")-COUNTIFS('Recommendations'!G:G,"Phase5",'Recommendations'!H:H,"Risk Accepted")-COUNTIFS('Recommendations'!G:G,"Phase5",'Recommendations'!H:H,"N/A")</f>
        <v>0</v>
      </c>
      <c r="F111" s="42">
        <f>COUNTIFS('Recommendations'!G:G,"Phase5",'Recommendations'!O:O,"Resolved")</f>
        <v>0</v>
      </c>
      <c r="G111" s="86">
        <f t="shared" si="4"/>
        <v>0</v>
      </c>
      <c r="H111" s="86"/>
      <c r="J111" s="45" t="s">
        <v>146</v>
      </c>
      <c r="K111" s="42">
        <f>COUNTIFS('Recommendations'!G:G,"Phase5",'Recommendations'!E:E,"Must")</f>
        <v>0</v>
      </c>
      <c r="L111" s="42">
        <f>COUNTIFS('Recommendations'!G:G,"Phase5",'Recommendations'!E:E,"Should")</f>
        <v>0</v>
      </c>
      <c r="M111" s="42">
        <f>COUNTIFS('Recommendations'!G:G,"Phase5",'Recommendations'!E:E,"Could")</f>
        <v>0</v>
      </c>
      <c r="N111" s="42">
        <f>COUNTIFS('Recommendations'!G:G,"Phase5",'Recommendations'!E:E,"Won't")</f>
        <v>0</v>
      </c>
      <c r="O111" s="42">
        <f>COUNTIFS('Recommendations'!G:G,"Phase5",'Recommendations'!E:E,"Unassigned")</f>
        <v>0</v>
      </c>
    </row>
    <row r="112" spans="2:15" x14ac:dyDescent="0.35">
      <c r="B112" s="45" t="s">
        <v>22</v>
      </c>
      <c r="C112" s="85" t="s">
        <v>23</v>
      </c>
      <c r="D112" s="85"/>
      <c r="E112" s="42">
        <f>COUNTIF('Recommendations'!G:G,"Pending")-COUNTIFS('Recommendations'!G:G,"Pending",'Recommendations'!H:H,"Risk Accepted")-COUNTIFS('Recommendations'!G:G,"Pending",'Recommendations'!H:H,"N/A")</f>
        <v>6</v>
      </c>
      <c r="F112" s="42">
        <f>COUNTIFS('Recommendations'!G:G,"Pending",'Recommendations'!O:O,"Resolved")</f>
        <v>0</v>
      </c>
      <c r="G112" s="86">
        <f t="shared" si="4"/>
        <v>0</v>
      </c>
      <c r="H112" s="86"/>
      <c r="J112" s="45" t="s">
        <v>22</v>
      </c>
      <c r="K112" s="42">
        <f>COUNTIFS('Recommendations'!G:G,"Pending",'Recommendations'!E:E,"Must")</f>
        <v>0</v>
      </c>
      <c r="L112" s="42">
        <f>COUNTIFS('Recommendations'!G:G,"Pending",'Recommendations'!E:E,"Should")</f>
        <v>0</v>
      </c>
      <c r="M112" s="42">
        <f>COUNTIFS('Recommendations'!G:G,"Pending",'Recommendations'!E:E,"Could")</f>
        <v>0</v>
      </c>
      <c r="N112" s="42">
        <f>COUNTIFS('Recommendations'!G:G,"Pending",'Recommendations'!E:E,"Won't")</f>
        <v>0</v>
      </c>
      <c r="O112" s="42">
        <f>COUNTIFS('Recommendations'!G:G,"Pending",'Recommendations'!E:E,"Unassigned")</f>
        <v>6</v>
      </c>
    </row>
    <row r="119" spans="2:24" ht="21" x14ac:dyDescent="0.5">
      <c r="B119" s="37" t="s">
        <v>161</v>
      </c>
      <c r="P119" s="54" t="s">
        <v>162</v>
      </c>
    </row>
    <row r="121" spans="2:24" ht="60" customHeight="1" x14ac:dyDescent="0.35">
      <c r="B121" s="87" t="s">
        <v>163</v>
      </c>
      <c r="C121" s="80"/>
      <c r="D121" s="80"/>
      <c r="E121" s="80"/>
      <c r="F121" s="80"/>
      <c r="P121" s="87" t="s">
        <v>164</v>
      </c>
      <c r="Q121" s="80"/>
      <c r="R121" s="80"/>
      <c r="S121" s="80"/>
      <c r="T121" s="80"/>
      <c r="U121" s="80"/>
      <c r="V121" s="80"/>
      <c r="W121" s="80"/>
    </row>
    <row r="123" spans="2:24" ht="30" customHeight="1" x14ac:dyDescent="0.35">
      <c r="P123" s="55" t="s">
        <v>165</v>
      </c>
      <c r="Q123" s="56">
        <f>C16</f>
        <v>0</v>
      </c>
      <c r="R123" s="57"/>
      <c r="S123" s="56">
        <f>C69</f>
        <v>0</v>
      </c>
      <c r="T123" s="57"/>
      <c r="U123" s="56">
        <f>C70</f>
        <v>0</v>
      </c>
      <c r="V123" s="57"/>
      <c r="W123" s="56">
        <f>C71</f>
        <v>0</v>
      </c>
      <c r="X123" s="57"/>
    </row>
    <row r="124" spans="2:24" ht="35" customHeight="1" x14ac:dyDescent="0.35">
      <c r="P124" s="58" t="s">
        <v>166</v>
      </c>
      <c r="Q124" s="58" t="s">
        <v>167</v>
      </c>
      <c r="R124" s="58" t="s">
        <v>168</v>
      </c>
      <c r="S124" s="58" t="s">
        <v>169</v>
      </c>
      <c r="T124" s="58" t="s">
        <v>170</v>
      </c>
      <c r="U124" s="58" t="s">
        <v>171</v>
      </c>
      <c r="V124" s="58" t="s">
        <v>172</v>
      </c>
      <c r="W124" s="58" t="s">
        <v>173</v>
      </c>
      <c r="X124" s="58" t="s">
        <v>174</v>
      </c>
    </row>
    <row r="125" spans="2:24" x14ac:dyDescent="0.35">
      <c r="O125" s="59" t="s">
        <v>175</v>
      </c>
      <c r="P125" s="60" t="s">
        <v>176</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177</v>
      </c>
      <c r="P160" s="54" t="s">
        <v>178</v>
      </c>
    </row>
    <row r="162" spans="2:22" ht="45" customHeight="1" x14ac:dyDescent="0.35">
      <c r="B162" s="87" t="s">
        <v>179</v>
      </c>
      <c r="C162" s="80"/>
      <c r="D162" s="80"/>
      <c r="E162" s="80"/>
      <c r="F162" s="80"/>
      <c r="P162" s="87" t="s">
        <v>180</v>
      </c>
      <c r="Q162" s="80"/>
      <c r="R162" s="80"/>
      <c r="S162" s="80"/>
      <c r="T162" s="80"/>
      <c r="U162" s="80"/>
    </row>
    <row r="163" spans="2:22" ht="35" customHeight="1" x14ac:dyDescent="0.35">
      <c r="P163" s="84" t="s">
        <v>181</v>
      </c>
      <c r="Q163" s="84"/>
      <c r="R163" s="84" t="s">
        <v>182</v>
      </c>
      <c r="S163" s="84"/>
      <c r="T163" s="84"/>
    </row>
    <row r="164" spans="2:22" ht="30" customHeight="1" x14ac:dyDescent="0.35">
      <c r="P164" s="88">
        <v>0</v>
      </c>
      <c r="Q164" s="89"/>
      <c r="R164" s="90" t="s">
        <v>183</v>
      </c>
      <c r="S164" s="91"/>
      <c r="T164" s="91"/>
    </row>
    <row r="167" spans="2:22" ht="25" customHeight="1" x14ac:dyDescent="0.35">
      <c r="P167" s="63" t="s">
        <v>166</v>
      </c>
      <c r="Q167" s="63" t="s">
        <v>184</v>
      </c>
      <c r="R167" s="63" t="s">
        <v>185</v>
      </c>
      <c r="S167" s="92" t="s">
        <v>8</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63</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07:H112">
    <cfRule type="expression" dxfId="29" priority="4">
      <formula>$G107&gt;=0.8</formula>
    </cfRule>
    <cfRule type="expression" dxfId="28" priority="5">
      <formula>AND($G107&gt;=0.5,$G107&lt;0.8)</formula>
    </cfRule>
    <cfRule type="expression" dxfId="27" priority="6">
      <formula>$G107&lt;0.5</formula>
    </cfRule>
  </conditionalFormatting>
  <conditionalFormatting sqref="K107:K112">
    <cfRule type="cellIs" dxfId="26" priority="7" operator="greaterThan">
      <formula>0</formula>
    </cfRule>
  </conditionalFormatting>
  <conditionalFormatting sqref="L107:L112">
    <cfRule type="cellIs" dxfId="25" priority="8" operator="greaterThan">
      <formula>0</formula>
    </cfRule>
  </conditionalFormatting>
  <conditionalFormatting sqref="M107:M112">
    <cfRule type="cellIs" dxfId="24" priority="9" operator="greaterThan">
      <formula>0</formula>
    </cfRule>
  </conditionalFormatting>
  <conditionalFormatting sqref="N107:N112">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1"/>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26" customWidth="1" outlineLevel="1"/>
    <col min="2" max="2" width="20" customWidth="1"/>
    <col min="3" max="3" width="45" customWidth="1"/>
    <col min="4" max="4" width="10" customWidth="1" outlineLevel="1"/>
    <col min="5"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30" hidden="1" customWidth="1" outlineLevel="1" collapsed="1"/>
    <col min="14" max="14" width="55" hidden="1" customWidth="1" outlineLevel="1" collapsed="1"/>
    <col min="15" max="15" width="18" hidden="1" customWidth="1" outlineLevel="1" collapsed="1"/>
    <col min="16" max="16" width="18" customWidth="1"/>
  </cols>
  <sheetData>
    <row r="1" spans="1:16"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7" t="s">
        <v>15</v>
      </c>
    </row>
    <row r="2" spans="1:16" ht="60" customHeight="1" x14ac:dyDescent="0.35">
      <c r="A2" s="11" t="s">
        <v>16</v>
      </c>
      <c r="B2" s="2" t="s">
        <v>17</v>
      </c>
      <c r="C2" s="3" t="s">
        <v>18</v>
      </c>
      <c r="D2" s="4" t="s">
        <v>19</v>
      </c>
      <c r="E2" s="4" t="s">
        <v>20</v>
      </c>
      <c r="F2" s="4" t="s">
        <v>21</v>
      </c>
      <c r="G2" s="4" t="s">
        <v>22</v>
      </c>
      <c r="H2" s="4" t="s">
        <v>23</v>
      </c>
      <c r="I2" s="1" t="s">
        <v>23</v>
      </c>
      <c r="J2" s="3" t="s">
        <v>24</v>
      </c>
      <c r="K2" s="3" t="s">
        <v>25</v>
      </c>
      <c r="L2" s="3" t="s">
        <v>26</v>
      </c>
      <c r="M2" s="3" t="s">
        <v>27</v>
      </c>
      <c r="N2" s="3" t="s">
        <v>28</v>
      </c>
      <c r="O2" s="5" t="str">
        <f t="shared" ref="O2:O7" si="0">IF(OR(H2="Implemented",H2="Compensated"),"Resolved",IF(OR(H2="Risk Accepted",H2="N/A"),"Excluded",IF(H2="Testing","Testing","Outstanding")))</f>
        <v>Outstanding</v>
      </c>
      <c r="P2" s="13" t="s">
        <v>23</v>
      </c>
    </row>
    <row r="3" spans="1:16" ht="60" customHeight="1" x14ac:dyDescent="0.35">
      <c r="A3" s="11" t="s">
        <v>16</v>
      </c>
      <c r="B3" s="2" t="s">
        <v>29</v>
      </c>
      <c r="C3" s="3" t="s">
        <v>30</v>
      </c>
      <c r="D3" s="4" t="s">
        <v>19</v>
      </c>
      <c r="E3" s="4" t="s">
        <v>20</v>
      </c>
      <c r="F3" s="4" t="s">
        <v>21</v>
      </c>
      <c r="G3" s="4" t="s">
        <v>22</v>
      </c>
      <c r="H3" s="4" t="s">
        <v>23</v>
      </c>
      <c r="I3" s="1" t="s">
        <v>23</v>
      </c>
      <c r="J3" s="3" t="s">
        <v>31</v>
      </c>
      <c r="K3" s="3" t="s">
        <v>32</v>
      </c>
      <c r="L3" s="3" t="s">
        <v>26</v>
      </c>
      <c r="M3" s="3" t="s">
        <v>27</v>
      </c>
      <c r="N3" s="3" t="s">
        <v>28</v>
      </c>
      <c r="O3" s="5" t="str">
        <f t="shared" si="0"/>
        <v>Outstanding</v>
      </c>
      <c r="P3" s="13" t="s">
        <v>23</v>
      </c>
    </row>
    <row r="4" spans="1:16" ht="60" customHeight="1" x14ac:dyDescent="0.35">
      <c r="A4" s="11" t="s">
        <v>33</v>
      </c>
      <c r="B4" s="2" t="s">
        <v>34</v>
      </c>
      <c r="C4" s="3" t="s">
        <v>35</v>
      </c>
      <c r="D4" s="4" t="s">
        <v>36</v>
      </c>
      <c r="E4" s="4" t="s">
        <v>20</v>
      </c>
      <c r="F4" s="4" t="s">
        <v>21</v>
      </c>
      <c r="G4" s="4" t="s">
        <v>22</v>
      </c>
      <c r="H4" s="4" t="s">
        <v>23</v>
      </c>
      <c r="I4" s="1" t="s">
        <v>23</v>
      </c>
      <c r="J4" s="3" t="s">
        <v>37</v>
      </c>
      <c r="K4" s="3" t="s">
        <v>38</v>
      </c>
      <c r="L4" s="3" t="s">
        <v>39</v>
      </c>
      <c r="M4" s="3" t="s">
        <v>27</v>
      </c>
      <c r="N4" s="3" t="s">
        <v>40</v>
      </c>
      <c r="O4" s="5" t="str">
        <f t="shared" si="0"/>
        <v>Outstanding</v>
      </c>
      <c r="P4" s="13" t="s">
        <v>23</v>
      </c>
    </row>
    <row r="5" spans="1:16" ht="60" customHeight="1" x14ac:dyDescent="0.35">
      <c r="A5" s="11" t="s">
        <v>41</v>
      </c>
      <c r="B5" s="2" t="s">
        <v>42</v>
      </c>
      <c r="C5" s="3" t="s">
        <v>43</v>
      </c>
      <c r="D5" s="4" t="s">
        <v>44</v>
      </c>
      <c r="E5" s="4" t="s">
        <v>20</v>
      </c>
      <c r="F5" s="4" t="s">
        <v>21</v>
      </c>
      <c r="G5" s="4" t="s">
        <v>22</v>
      </c>
      <c r="H5" s="4" t="s">
        <v>23</v>
      </c>
      <c r="I5" s="1" t="s">
        <v>23</v>
      </c>
      <c r="J5" s="3" t="s">
        <v>45</v>
      </c>
      <c r="K5" s="3" t="s">
        <v>46</v>
      </c>
      <c r="L5" s="3" t="s">
        <v>47</v>
      </c>
      <c r="M5" s="3" t="s">
        <v>27</v>
      </c>
      <c r="N5" s="3" t="s">
        <v>48</v>
      </c>
      <c r="O5" s="5" t="str">
        <f t="shared" si="0"/>
        <v>Outstanding</v>
      </c>
      <c r="P5" s="13" t="s">
        <v>23</v>
      </c>
    </row>
    <row r="6" spans="1:16" ht="60" customHeight="1" x14ac:dyDescent="0.35">
      <c r="A6" s="11" t="s">
        <v>49</v>
      </c>
      <c r="B6" s="2" t="s">
        <v>50</v>
      </c>
      <c r="C6" s="3" t="s">
        <v>51</v>
      </c>
      <c r="D6" s="4" t="s">
        <v>19</v>
      </c>
      <c r="E6" s="4" t="s">
        <v>20</v>
      </c>
      <c r="F6" s="4" t="s">
        <v>21</v>
      </c>
      <c r="G6" s="4" t="s">
        <v>22</v>
      </c>
      <c r="H6" s="4" t="s">
        <v>23</v>
      </c>
      <c r="I6" s="1" t="s">
        <v>23</v>
      </c>
      <c r="J6" s="3" t="s">
        <v>52</v>
      </c>
      <c r="K6" s="3" t="s">
        <v>53</v>
      </c>
      <c r="L6" s="3" t="s">
        <v>54</v>
      </c>
      <c r="M6" s="3" t="s">
        <v>27</v>
      </c>
      <c r="N6" s="3" t="s">
        <v>55</v>
      </c>
      <c r="O6" s="5" t="str">
        <f t="shared" si="0"/>
        <v>Outstanding</v>
      </c>
      <c r="P6" s="13" t="s">
        <v>23</v>
      </c>
    </row>
    <row r="7" spans="1:16" ht="60" customHeight="1" x14ac:dyDescent="0.35">
      <c r="A7" s="12" t="s">
        <v>56</v>
      </c>
      <c r="B7" s="6" t="s">
        <v>57</v>
      </c>
      <c r="C7" s="7" t="s">
        <v>58</v>
      </c>
      <c r="D7" s="8" t="s">
        <v>19</v>
      </c>
      <c r="E7" s="8" t="s">
        <v>20</v>
      </c>
      <c r="F7" s="8" t="s">
        <v>21</v>
      </c>
      <c r="G7" s="8" t="s">
        <v>22</v>
      </c>
      <c r="H7" s="8" t="s">
        <v>23</v>
      </c>
      <c r="I7" s="9" t="s">
        <v>23</v>
      </c>
      <c r="J7" s="7" t="s">
        <v>59</v>
      </c>
      <c r="K7" s="7" t="s">
        <v>60</v>
      </c>
      <c r="L7" s="7" t="s">
        <v>61</v>
      </c>
      <c r="M7" s="7" t="s">
        <v>27</v>
      </c>
      <c r="N7" s="7" t="s">
        <v>62</v>
      </c>
      <c r="O7" s="10" t="str">
        <f t="shared" si="0"/>
        <v>Outstanding</v>
      </c>
      <c r="P7" s="14" t="s">
        <v>23</v>
      </c>
    </row>
    <row r="11" spans="1:16" ht="32" customHeight="1" x14ac:dyDescent="0.35">
      <c r="A11" s="78" t="s">
        <v>63</v>
      </c>
      <c r="B11" s="78"/>
      <c r="C11" s="78"/>
      <c r="D11" s="78"/>
    </row>
  </sheetData>
  <mergeCells count="1">
    <mergeCell ref="A11:D11"/>
  </mergeCells>
  <conditionalFormatting sqref="E2:E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7" xr:uid="{00000000-0002-0000-0200-000000000000}">
      <formula1>"Must,Should,Could,Won't,Unassigned"</formula1>
    </dataValidation>
    <dataValidation type="list" showErrorMessage="1" errorTitle="Invalid Value" error="Please select a value from the list: Low, Medium, High, Unassessed." sqref="F2:F7" xr:uid="{00000000-0002-0000-0200-000001000000}">
      <formula1>"Low,Medium,High,Unassessed"</formula1>
    </dataValidation>
    <dataValidation type="list" showErrorMessage="1" errorTitle="Invalid Value" error="Please select a value from the list: Phase1, Phase2, Phase3, Phase4, Phase5, Pending." sqref="G2:G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7" xr:uid="{00000000-0002-0000-0200-000003000000}">
      <formula1>"Implemented,Testing,Failed,Compensated,Risk Accepted,N/A"</formula1>
    </dataValidation>
  </dataValidations>
  <hyperlinks>
    <hyperlink ref="A1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5" t="s">
        <v>186</v>
      </c>
      <c r="C2" s="95" t="s">
        <v>186</v>
      </c>
      <c r="D2" s="95" t="s">
        <v>186</v>
      </c>
      <c r="E2" s="95" t="s">
        <v>186</v>
      </c>
      <c r="F2" s="95" t="s">
        <v>186</v>
      </c>
      <c r="G2" s="95" t="s">
        <v>186</v>
      </c>
      <c r="H2" s="99" t="s">
        <v>187</v>
      </c>
      <c r="I2" s="99" t="s">
        <v>187</v>
      </c>
      <c r="J2" s="99" t="s">
        <v>187</v>
      </c>
      <c r="K2" s="99" t="s">
        <v>187</v>
      </c>
      <c r="L2" s="99" t="s">
        <v>187</v>
      </c>
      <c r="M2" s="98" t="s">
        <v>188</v>
      </c>
      <c r="N2" s="98" t="s">
        <v>188</v>
      </c>
      <c r="O2" s="100" t="s">
        <v>189</v>
      </c>
      <c r="P2" s="100" t="s">
        <v>189</v>
      </c>
      <c r="Q2" s="96" t="s">
        <v>14</v>
      </c>
      <c r="R2" s="96" t="s">
        <v>14</v>
      </c>
      <c r="S2" s="96" t="s">
        <v>14</v>
      </c>
      <c r="T2" s="97" t="s">
        <v>190</v>
      </c>
    </row>
    <row r="3" spans="2:20" ht="35" customHeight="1" x14ac:dyDescent="0.35">
      <c r="B3" s="68" t="s">
        <v>191</v>
      </c>
      <c r="C3" s="68" t="s">
        <v>192</v>
      </c>
      <c r="D3" s="68" t="s">
        <v>193</v>
      </c>
      <c r="E3" s="68" t="s">
        <v>194</v>
      </c>
      <c r="F3" s="68" t="s">
        <v>195</v>
      </c>
      <c r="G3" s="68" t="s">
        <v>11</v>
      </c>
      <c r="H3" s="69" t="s">
        <v>196</v>
      </c>
      <c r="I3" s="69" t="s">
        <v>197</v>
      </c>
      <c r="J3" s="69" t="s">
        <v>198</v>
      </c>
      <c r="K3" s="69" t="s">
        <v>199</v>
      </c>
      <c r="L3" s="69" t="s">
        <v>131</v>
      </c>
      <c r="M3" s="70" t="s">
        <v>200</v>
      </c>
      <c r="N3" s="70" t="s">
        <v>201</v>
      </c>
      <c r="O3" s="71" t="s">
        <v>202</v>
      </c>
      <c r="P3" s="71" t="s">
        <v>203</v>
      </c>
      <c r="Q3" s="72" t="s">
        <v>14</v>
      </c>
      <c r="R3" s="72" t="s">
        <v>204</v>
      </c>
      <c r="S3" s="72" t="s">
        <v>205</v>
      </c>
      <c r="T3" s="73" t="s">
        <v>206</v>
      </c>
    </row>
    <row r="4" spans="2:20" ht="60" customHeight="1" x14ac:dyDescent="0.35">
      <c r="B4" s="74" t="s">
        <v>207</v>
      </c>
      <c r="C4" s="74" t="s">
        <v>208</v>
      </c>
      <c r="D4" s="74" t="s">
        <v>209</v>
      </c>
      <c r="E4" s="74" t="s">
        <v>210</v>
      </c>
      <c r="F4" s="74" t="s">
        <v>211</v>
      </c>
      <c r="G4" s="74" t="s">
        <v>212</v>
      </c>
      <c r="H4" s="74" t="s">
        <v>213</v>
      </c>
      <c r="I4" s="74" t="s">
        <v>214</v>
      </c>
      <c r="J4" s="74" t="s">
        <v>215</v>
      </c>
      <c r="K4" s="74" t="s">
        <v>216</v>
      </c>
      <c r="L4" s="74" t="s">
        <v>217</v>
      </c>
      <c r="M4" s="74" t="s">
        <v>218</v>
      </c>
      <c r="N4" s="74" t="s">
        <v>219</v>
      </c>
      <c r="O4" s="74" t="s">
        <v>220</v>
      </c>
      <c r="P4" s="74" t="s">
        <v>221</v>
      </c>
      <c r="Q4" s="74" t="s">
        <v>222</v>
      </c>
      <c r="R4" s="74" t="s">
        <v>223</v>
      </c>
      <c r="S4" s="74" t="s">
        <v>224</v>
      </c>
      <c r="T4" s="74" t="s">
        <v>225</v>
      </c>
    </row>
    <row r="5" spans="2:20" ht="60" customHeight="1" x14ac:dyDescent="0.35">
      <c r="B5" s="36" t="s">
        <v>226</v>
      </c>
      <c r="C5" s="75"/>
      <c r="D5" s="76"/>
      <c r="E5" s="76" t="s">
        <v>23</v>
      </c>
      <c r="F5" s="76" t="str">
        <f>IF(E5&lt;&gt;"", IFERROR(VLOOKUP(E5, Dashboard!$B46:$F51, 5, FALSE), ""), "")</f>
        <v/>
      </c>
      <c r="G5" s="77"/>
      <c r="H5" s="64"/>
      <c r="I5" s="64"/>
      <c r="J5" s="77"/>
      <c r="K5" s="77"/>
      <c r="L5" s="38"/>
      <c r="M5" s="38"/>
      <c r="N5" s="77"/>
      <c r="O5" s="77"/>
      <c r="P5" s="38"/>
      <c r="Q5" s="38" t="s">
        <v>23</v>
      </c>
      <c r="R5" s="77"/>
      <c r="S5" s="64"/>
      <c r="T5" s="77"/>
    </row>
    <row r="6" spans="2:20" ht="60" customHeight="1" x14ac:dyDescent="0.35">
      <c r="B6" s="36" t="s">
        <v>227</v>
      </c>
      <c r="C6" s="75"/>
      <c r="D6" s="76"/>
      <c r="E6" s="76" t="s">
        <v>23</v>
      </c>
      <c r="F6" s="76" t="str">
        <f>IF(E6&lt;&gt;"", IFERROR(VLOOKUP(E6, Dashboard!$B46:$F51, 5, FALSE), ""), "")</f>
        <v/>
      </c>
      <c r="G6" s="77"/>
      <c r="H6" s="64"/>
      <c r="I6" s="64"/>
      <c r="J6" s="77"/>
      <c r="K6" s="77"/>
      <c r="L6" s="38"/>
      <c r="M6" s="38"/>
      <c r="N6" s="77"/>
      <c r="O6" s="77"/>
      <c r="P6" s="38"/>
      <c r="Q6" s="38" t="s">
        <v>23</v>
      </c>
      <c r="R6" s="77"/>
      <c r="S6" s="64"/>
      <c r="T6" s="77"/>
    </row>
    <row r="7" spans="2:20" ht="60" customHeight="1" x14ac:dyDescent="0.35">
      <c r="B7" s="36" t="s">
        <v>228</v>
      </c>
      <c r="C7" s="75"/>
      <c r="D7" s="76"/>
      <c r="E7" s="76" t="s">
        <v>23</v>
      </c>
      <c r="F7" s="76" t="str">
        <f>IF(E7&lt;&gt;"", IFERROR(VLOOKUP(E7, Dashboard!$B46:$F51, 5, FALSE), ""), "")</f>
        <v/>
      </c>
      <c r="G7" s="77"/>
      <c r="H7" s="64"/>
      <c r="I7" s="64"/>
      <c r="J7" s="77"/>
      <c r="K7" s="77"/>
      <c r="L7" s="38"/>
      <c r="M7" s="38"/>
      <c r="N7" s="77"/>
      <c r="O7" s="77"/>
      <c r="P7" s="38"/>
      <c r="Q7" s="38" t="s">
        <v>23</v>
      </c>
      <c r="R7" s="77"/>
      <c r="S7" s="64"/>
      <c r="T7" s="77"/>
    </row>
    <row r="8" spans="2:20" ht="60" customHeight="1" x14ac:dyDescent="0.35">
      <c r="B8" s="36" t="s">
        <v>229</v>
      </c>
      <c r="C8" s="75"/>
      <c r="D8" s="76"/>
      <c r="E8" s="76" t="s">
        <v>23</v>
      </c>
      <c r="F8" s="76" t="str">
        <f>IF(E8&lt;&gt;"", IFERROR(VLOOKUP(E8, Dashboard!$B46:$F51, 5, FALSE), ""), "")</f>
        <v/>
      </c>
      <c r="G8" s="77"/>
      <c r="H8" s="64"/>
      <c r="I8" s="64"/>
      <c r="J8" s="77"/>
      <c r="K8" s="77"/>
      <c r="L8" s="38"/>
      <c r="M8" s="38"/>
      <c r="N8" s="77"/>
      <c r="O8" s="77"/>
      <c r="P8" s="38"/>
      <c r="Q8" s="38" t="s">
        <v>23</v>
      </c>
      <c r="R8" s="77"/>
      <c r="S8" s="64"/>
      <c r="T8" s="77"/>
    </row>
    <row r="9" spans="2:20" ht="60" customHeight="1" x14ac:dyDescent="0.35">
      <c r="B9" s="36" t="s">
        <v>230</v>
      </c>
      <c r="C9" s="75"/>
      <c r="D9" s="76"/>
      <c r="E9" s="76" t="s">
        <v>23</v>
      </c>
      <c r="F9" s="76" t="str">
        <f>IF(E9&lt;&gt;"", IFERROR(VLOOKUP(E9, Dashboard!$B46:$F51, 5, FALSE), ""), "")</f>
        <v/>
      </c>
      <c r="G9" s="77"/>
      <c r="H9" s="64"/>
      <c r="I9" s="64"/>
      <c r="J9" s="77"/>
      <c r="K9" s="77"/>
      <c r="L9" s="38"/>
      <c r="M9" s="38"/>
      <c r="N9" s="77"/>
      <c r="O9" s="77"/>
      <c r="P9" s="38"/>
      <c r="Q9" s="38" t="s">
        <v>23</v>
      </c>
      <c r="R9" s="77"/>
      <c r="S9" s="64"/>
      <c r="T9" s="77"/>
    </row>
    <row r="10" spans="2:20" ht="60" customHeight="1" x14ac:dyDescent="0.35">
      <c r="B10" s="36" t="s">
        <v>231</v>
      </c>
      <c r="C10" s="75"/>
      <c r="D10" s="76"/>
      <c r="E10" s="76" t="s">
        <v>23</v>
      </c>
      <c r="F10" s="76" t="str">
        <f>IF(E10&lt;&gt;"", IFERROR(VLOOKUP(E10, Dashboard!$B46:$F51, 5, FALSE), ""), "")</f>
        <v/>
      </c>
      <c r="G10" s="77"/>
      <c r="H10" s="64"/>
      <c r="I10" s="64"/>
      <c r="J10" s="77"/>
      <c r="K10" s="77"/>
      <c r="L10" s="38"/>
      <c r="M10" s="38"/>
      <c r="N10" s="77"/>
      <c r="O10" s="77"/>
      <c r="P10" s="38"/>
      <c r="Q10" s="38" t="s">
        <v>23</v>
      </c>
      <c r="R10" s="77"/>
      <c r="S10" s="64"/>
      <c r="T10" s="77"/>
    </row>
    <row r="11" spans="2:20" ht="60" customHeight="1" x14ac:dyDescent="0.35">
      <c r="B11" s="36" t="s">
        <v>232</v>
      </c>
      <c r="C11" s="75"/>
      <c r="D11" s="76"/>
      <c r="E11" s="76" t="s">
        <v>23</v>
      </c>
      <c r="F11" s="76" t="str">
        <f>IF(E11&lt;&gt;"", IFERROR(VLOOKUP(E11, Dashboard!$B46:$F51, 5, FALSE), ""), "")</f>
        <v/>
      </c>
      <c r="G11" s="77"/>
      <c r="H11" s="64"/>
      <c r="I11" s="64"/>
      <c r="J11" s="77"/>
      <c r="K11" s="77"/>
      <c r="L11" s="38"/>
      <c r="M11" s="38"/>
      <c r="N11" s="77"/>
      <c r="O11" s="77"/>
      <c r="P11" s="38"/>
      <c r="Q11" s="38" t="s">
        <v>23</v>
      </c>
      <c r="R11" s="77"/>
      <c r="S11" s="64"/>
      <c r="T11" s="77"/>
    </row>
    <row r="12" spans="2:20" ht="60" customHeight="1" x14ac:dyDescent="0.35">
      <c r="B12" s="36" t="s">
        <v>233</v>
      </c>
      <c r="C12" s="75"/>
      <c r="D12" s="76"/>
      <c r="E12" s="76" t="s">
        <v>23</v>
      </c>
      <c r="F12" s="76" t="str">
        <f>IF(E12&lt;&gt;"", IFERROR(VLOOKUP(E12, Dashboard!$B46:$F51, 5, FALSE), ""), "")</f>
        <v/>
      </c>
      <c r="G12" s="77"/>
      <c r="H12" s="64"/>
      <c r="I12" s="64"/>
      <c r="J12" s="77"/>
      <c r="K12" s="77"/>
      <c r="L12" s="38"/>
      <c r="M12" s="38"/>
      <c r="N12" s="77"/>
      <c r="O12" s="77"/>
      <c r="P12" s="38"/>
      <c r="Q12" s="38" t="s">
        <v>23</v>
      </c>
      <c r="R12" s="77"/>
      <c r="S12" s="64"/>
      <c r="T12" s="77"/>
    </row>
    <row r="13" spans="2:20" ht="60" customHeight="1" x14ac:dyDescent="0.35">
      <c r="B13" s="36" t="s">
        <v>234</v>
      </c>
      <c r="C13" s="75"/>
      <c r="D13" s="76"/>
      <c r="E13" s="76" t="s">
        <v>23</v>
      </c>
      <c r="F13" s="76" t="str">
        <f>IF(E13&lt;&gt;"", IFERROR(VLOOKUP(E13, Dashboard!$B46:$F51, 5, FALSE), ""), "")</f>
        <v/>
      </c>
      <c r="G13" s="77"/>
      <c r="H13" s="64"/>
      <c r="I13" s="64"/>
      <c r="J13" s="77"/>
      <c r="K13" s="77"/>
      <c r="L13" s="38"/>
      <c r="M13" s="38"/>
      <c r="N13" s="77"/>
      <c r="O13" s="77"/>
      <c r="P13" s="38"/>
      <c r="Q13" s="38" t="s">
        <v>23</v>
      </c>
      <c r="R13" s="77"/>
      <c r="S13" s="64"/>
      <c r="T13" s="77"/>
    </row>
    <row r="14" spans="2:20" ht="60" customHeight="1" x14ac:dyDescent="0.35">
      <c r="B14" s="36" t="s">
        <v>235</v>
      </c>
      <c r="C14" s="75"/>
      <c r="D14" s="76"/>
      <c r="E14" s="76" t="s">
        <v>23</v>
      </c>
      <c r="F14" s="76" t="str">
        <f>IF(E14&lt;&gt;"", IFERROR(VLOOKUP(E14, Dashboard!$B46:$F51, 5, FALSE), ""), "")</f>
        <v/>
      </c>
      <c r="G14" s="77"/>
      <c r="H14" s="64"/>
      <c r="I14" s="64"/>
      <c r="J14" s="77"/>
      <c r="K14" s="77"/>
      <c r="L14" s="38"/>
      <c r="M14" s="38"/>
      <c r="N14" s="77"/>
      <c r="O14" s="77"/>
      <c r="P14" s="38"/>
      <c r="Q14" s="38" t="s">
        <v>23</v>
      </c>
      <c r="R14" s="77"/>
      <c r="S14" s="64"/>
      <c r="T14" s="77"/>
    </row>
    <row r="15" spans="2:20" ht="60" customHeight="1" x14ac:dyDescent="0.35">
      <c r="B15" s="36" t="s">
        <v>236</v>
      </c>
      <c r="C15" s="75"/>
      <c r="D15" s="76"/>
      <c r="E15" s="76" t="s">
        <v>23</v>
      </c>
      <c r="F15" s="76" t="str">
        <f>IF(E15&lt;&gt;"", IFERROR(VLOOKUP(E15, Dashboard!$B46:$F51, 5, FALSE), ""), "")</f>
        <v/>
      </c>
      <c r="G15" s="77"/>
      <c r="H15" s="64"/>
      <c r="I15" s="64"/>
      <c r="J15" s="77"/>
      <c r="K15" s="77"/>
      <c r="L15" s="38"/>
      <c r="M15" s="38"/>
      <c r="N15" s="77"/>
      <c r="O15" s="77"/>
      <c r="P15" s="38"/>
      <c r="Q15" s="38" t="s">
        <v>23</v>
      </c>
      <c r="R15" s="77"/>
      <c r="S15" s="64"/>
      <c r="T15" s="77"/>
    </row>
    <row r="16" spans="2:20" ht="60" customHeight="1" x14ac:dyDescent="0.35">
      <c r="B16" s="36" t="s">
        <v>237</v>
      </c>
      <c r="C16" s="75"/>
      <c r="D16" s="76"/>
      <c r="E16" s="76" t="s">
        <v>23</v>
      </c>
      <c r="F16" s="76" t="str">
        <f>IF(E16&lt;&gt;"", IFERROR(VLOOKUP(E16, Dashboard!$B46:$F51, 5, FALSE), ""), "")</f>
        <v/>
      </c>
      <c r="G16" s="77"/>
      <c r="H16" s="64"/>
      <c r="I16" s="64"/>
      <c r="J16" s="77"/>
      <c r="K16" s="77"/>
      <c r="L16" s="38"/>
      <c r="M16" s="38"/>
      <c r="N16" s="77"/>
      <c r="O16" s="77"/>
      <c r="P16" s="38"/>
      <c r="Q16" s="38" t="s">
        <v>23</v>
      </c>
      <c r="R16" s="77"/>
      <c r="S16" s="64"/>
      <c r="T16" s="77"/>
    </row>
    <row r="17" spans="2:20" ht="60" customHeight="1" x14ac:dyDescent="0.35">
      <c r="B17" s="36" t="s">
        <v>238</v>
      </c>
      <c r="C17" s="75"/>
      <c r="D17" s="76"/>
      <c r="E17" s="76" t="s">
        <v>23</v>
      </c>
      <c r="F17" s="76" t="str">
        <f>IF(E17&lt;&gt;"", IFERROR(VLOOKUP(E17, Dashboard!$B46:$F51, 5, FALSE), ""), "")</f>
        <v/>
      </c>
      <c r="G17" s="77"/>
      <c r="H17" s="64"/>
      <c r="I17" s="64"/>
      <c r="J17" s="77"/>
      <c r="K17" s="77"/>
      <c r="L17" s="38"/>
      <c r="M17" s="38"/>
      <c r="N17" s="77"/>
      <c r="O17" s="77"/>
      <c r="P17" s="38"/>
      <c r="Q17" s="38" t="s">
        <v>23</v>
      </c>
      <c r="R17" s="77"/>
      <c r="S17" s="64"/>
      <c r="T17" s="77"/>
    </row>
    <row r="18" spans="2:20" ht="60" customHeight="1" x14ac:dyDescent="0.35">
      <c r="B18" s="36" t="s">
        <v>239</v>
      </c>
      <c r="C18" s="75"/>
      <c r="D18" s="76"/>
      <c r="E18" s="76" t="s">
        <v>23</v>
      </c>
      <c r="F18" s="76" t="str">
        <f>IF(E18&lt;&gt;"", IFERROR(VLOOKUP(E18, Dashboard!$B46:$F51, 5, FALSE), ""), "")</f>
        <v/>
      </c>
      <c r="G18" s="77"/>
      <c r="H18" s="64"/>
      <c r="I18" s="64"/>
      <c r="J18" s="77"/>
      <c r="K18" s="77"/>
      <c r="L18" s="38"/>
      <c r="M18" s="38"/>
      <c r="N18" s="77"/>
      <c r="O18" s="77"/>
      <c r="P18" s="38"/>
      <c r="Q18" s="38" t="s">
        <v>23</v>
      </c>
      <c r="R18" s="77"/>
      <c r="S18" s="64"/>
      <c r="T18" s="77"/>
    </row>
    <row r="19" spans="2:20" ht="60" customHeight="1" x14ac:dyDescent="0.35">
      <c r="B19" s="36" t="s">
        <v>240</v>
      </c>
      <c r="C19" s="75"/>
      <c r="D19" s="76"/>
      <c r="E19" s="76" t="s">
        <v>23</v>
      </c>
      <c r="F19" s="76" t="str">
        <f>IF(E19&lt;&gt;"", IFERROR(VLOOKUP(E19, Dashboard!$B46:$F51, 5, FALSE), ""), "")</f>
        <v/>
      </c>
      <c r="G19" s="77"/>
      <c r="H19" s="64"/>
      <c r="I19" s="64"/>
      <c r="J19" s="77"/>
      <c r="K19" s="77"/>
      <c r="L19" s="38"/>
      <c r="M19" s="38"/>
      <c r="N19" s="77"/>
      <c r="O19" s="77"/>
      <c r="P19" s="38"/>
      <c r="Q19" s="38" t="s">
        <v>23</v>
      </c>
      <c r="R19" s="77"/>
      <c r="S19" s="64"/>
      <c r="T19" s="77"/>
    </row>
    <row r="20" spans="2:20" ht="60" customHeight="1" x14ac:dyDescent="0.35">
      <c r="B20" s="36" t="s">
        <v>241</v>
      </c>
      <c r="C20" s="75"/>
      <c r="D20" s="76"/>
      <c r="E20" s="76" t="s">
        <v>23</v>
      </c>
      <c r="F20" s="76" t="str">
        <f>IF(E20&lt;&gt;"", IFERROR(VLOOKUP(E20, Dashboard!$B46:$F51, 5, FALSE), ""), "")</f>
        <v/>
      </c>
      <c r="G20" s="77"/>
      <c r="H20" s="64"/>
      <c r="I20" s="64"/>
      <c r="J20" s="77"/>
      <c r="K20" s="77"/>
      <c r="L20" s="38"/>
      <c r="M20" s="38"/>
      <c r="N20" s="77"/>
      <c r="O20" s="77"/>
      <c r="P20" s="38"/>
      <c r="Q20" s="38" t="s">
        <v>23</v>
      </c>
      <c r="R20" s="77"/>
      <c r="S20" s="64"/>
      <c r="T20" s="77"/>
    </row>
    <row r="21" spans="2:20" ht="60" customHeight="1" x14ac:dyDescent="0.35">
      <c r="B21" s="36" t="s">
        <v>242</v>
      </c>
      <c r="C21" s="75"/>
      <c r="D21" s="76"/>
      <c r="E21" s="76" t="s">
        <v>23</v>
      </c>
      <c r="F21" s="76" t="str">
        <f>IF(E21&lt;&gt;"", IFERROR(VLOOKUP(E21, Dashboard!$B46:$F51, 5, FALSE), ""), "")</f>
        <v/>
      </c>
      <c r="G21" s="77"/>
      <c r="H21" s="64"/>
      <c r="I21" s="64"/>
      <c r="J21" s="77"/>
      <c r="K21" s="77"/>
      <c r="L21" s="38"/>
      <c r="M21" s="38"/>
      <c r="N21" s="77"/>
      <c r="O21" s="77"/>
      <c r="P21" s="38"/>
      <c r="Q21" s="38" t="s">
        <v>23</v>
      </c>
      <c r="R21" s="77"/>
      <c r="S21" s="64"/>
      <c r="T21" s="77"/>
    </row>
    <row r="22" spans="2:20" ht="60" customHeight="1" x14ac:dyDescent="0.35">
      <c r="B22" s="36" t="s">
        <v>243</v>
      </c>
      <c r="C22" s="75"/>
      <c r="D22" s="76"/>
      <c r="E22" s="76" t="s">
        <v>23</v>
      </c>
      <c r="F22" s="76" t="str">
        <f>IF(E22&lt;&gt;"", IFERROR(VLOOKUP(E22, Dashboard!$B46:$F51, 5, FALSE), ""), "")</f>
        <v/>
      </c>
      <c r="G22" s="77"/>
      <c r="H22" s="64"/>
      <c r="I22" s="64"/>
      <c r="J22" s="77"/>
      <c r="K22" s="77"/>
      <c r="L22" s="38"/>
      <c r="M22" s="38"/>
      <c r="N22" s="77"/>
      <c r="O22" s="77"/>
      <c r="P22" s="38"/>
      <c r="Q22" s="38" t="s">
        <v>23</v>
      </c>
      <c r="R22" s="77"/>
      <c r="S22" s="64"/>
      <c r="T22" s="77"/>
    </row>
    <row r="23" spans="2:20" ht="60" customHeight="1" x14ac:dyDescent="0.35">
      <c r="B23" s="36" t="s">
        <v>244</v>
      </c>
      <c r="C23" s="75"/>
      <c r="D23" s="76"/>
      <c r="E23" s="76" t="s">
        <v>23</v>
      </c>
      <c r="F23" s="76" t="str">
        <f>IF(E23&lt;&gt;"", IFERROR(VLOOKUP(E23, Dashboard!$B46:$F51, 5, FALSE), ""), "")</f>
        <v/>
      </c>
      <c r="G23" s="77"/>
      <c r="H23" s="64"/>
      <c r="I23" s="64"/>
      <c r="J23" s="77"/>
      <c r="K23" s="77"/>
      <c r="L23" s="38"/>
      <c r="M23" s="38"/>
      <c r="N23" s="77"/>
      <c r="O23" s="77"/>
      <c r="P23" s="38"/>
      <c r="Q23" s="38" t="s">
        <v>23</v>
      </c>
      <c r="R23" s="77"/>
      <c r="S23" s="64"/>
      <c r="T23" s="77"/>
    </row>
    <row r="24" spans="2:20" ht="60" customHeight="1" x14ac:dyDescent="0.35">
      <c r="B24" s="36" t="s">
        <v>245</v>
      </c>
      <c r="C24" s="75"/>
      <c r="D24" s="76"/>
      <c r="E24" s="76" t="s">
        <v>23</v>
      </c>
      <c r="F24" s="76" t="str">
        <f>IF(E24&lt;&gt;"", IFERROR(VLOOKUP(E24, Dashboard!$B46:$F51, 5, FALSE), ""), "")</f>
        <v/>
      </c>
      <c r="G24" s="77"/>
      <c r="H24" s="64"/>
      <c r="I24" s="64"/>
      <c r="J24" s="77"/>
      <c r="K24" s="77"/>
      <c r="L24" s="38"/>
      <c r="M24" s="38"/>
      <c r="N24" s="77"/>
      <c r="O24" s="77"/>
      <c r="P24" s="38"/>
      <c r="Q24" s="38" t="s">
        <v>23</v>
      </c>
      <c r="R24" s="77"/>
      <c r="S24" s="64"/>
      <c r="T24" s="77"/>
    </row>
    <row r="25" spans="2:20" ht="60" customHeight="1" x14ac:dyDescent="0.35">
      <c r="B25" s="36" t="s">
        <v>246</v>
      </c>
      <c r="C25" s="75"/>
      <c r="D25" s="76"/>
      <c r="E25" s="76" t="s">
        <v>23</v>
      </c>
      <c r="F25" s="76" t="str">
        <f>IF(E25&lt;&gt;"", IFERROR(VLOOKUP(E25, Dashboard!$B46:$F51, 5, FALSE), ""), "")</f>
        <v/>
      </c>
      <c r="G25" s="77"/>
      <c r="H25" s="64"/>
      <c r="I25" s="64"/>
      <c r="J25" s="77"/>
      <c r="K25" s="77"/>
      <c r="L25" s="38"/>
      <c r="M25" s="38"/>
      <c r="N25" s="77"/>
      <c r="O25" s="77"/>
      <c r="P25" s="38"/>
      <c r="Q25" s="38" t="s">
        <v>23</v>
      </c>
      <c r="R25" s="77"/>
      <c r="S25" s="64"/>
      <c r="T25" s="77"/>
    </row>
    <row r="26" spans="2:20" ht="60" customHeight="1" x14ac:dyDescent="0.35">
      <c r="B26" s="36" t="s">
        <v>247</v>
      </c>
      <c r="C26" s="75"/>
      <c r="D26" s="76"/>
      <c r="E26" s="76" t="s">
        <v>23</v>
      </c>
      <c r="F26" s="76" t="str">
        <f>IF(E26&lt;&gt;"", IFERROR(VLOOKUP(E26, Dashboard!$B46:$F51, 5, FALSE), ""), "")</f>
        <v/>
      </c>
      <c r="G26" s="77"/>
      <c r="H26" s="64"/>
      <c r="I26" s="64"/>
      <c r="J26" s="77"/>
      <c r="K26" s="77"/>
      <c r="L26" s="38"/>
      <c r="M26" s="38"/>
      <c r="N26" s="77"/>
      <c r="O26" s="77"/>
      <c r="P26" s="38"/>
      <c r="Q26" s="38" t="s">
        <v>23</v>
      </c>
      <c r="R26" s="77"/>
      <c r="S26" s="64"/>
      <c r="T26" s="77"/>
    </row>
    <row r="27" spans="2:20" ht="60" customHeight="1" x14ac:dyDescent="0.35">
      <c r="B27" s="36" t="s">
        <v>248</v>
      </c>
      <c r="C27" s="75"/>
      <c r="D27" s="76"/>
      <c r="E27" s="76" t="s">
        <v>23</v>
      </c>
      <c r="F27" s="76" t="str">
        <f>IF(E27&lt;&gt;"", IFERROR(VLOOKUP(E27, Dashboard!$B46:$F51, 5, FALSE), ""), "")</f>
        <v/>
      </c>
      <c r="G27" s="77"/>
      <c r="H27" s="64"/>
      <c r="I27" s="64"/>
      <c r="J27" s="77"/>
      <c r="K27" s="77"/>
      <c r="L27" s="38"/>
      <c r="M27" s="38"/>
      <c r="N27" s="77"/>
      <c r="O27" s="77"/>
      <c r="P27" s="38"/>
      <c r="Q27" s="38" t="s">
        <v>23</v>
      </c>
      <c r="R27" s="77"/>
      <c r="S27" s="64"/>
      <c r="T27" s="77"/>
    </row>
    <row r="28" spans="2:20" ht="60" customHeight="1" x14ac:dyDescent="0.35">
      <c r="B28" s="36" t="s">
        <v>249</v>
      </c>
      <c r="C28" s="75"/>
      <c r="D28" s="76"/>
      <c r="E28" s="76" t="s">
        <v>23</v>
      </c>
      <c r="F28" s="76" t="str">
        <f>IF(E28&lt;&gt;"", IFERROR(VLOOKUP(E28, Dashboard!$B46:$F51, 5, FALSE), ""), "")</f>
        <v/>
      </c>
      <c r="G28" s="77"/>
      <c r="H28" s="64"/>
      <c r="I28" s="64"/>
      <c r="J28" s="77"/>
      <c r="K28" s="77"/>
      <c r="L28" s="38"/>
      <c r="M28" s="38"/>
      <c r="N28" s="77"/>
      <c r="O28" s="77"/>
      <c r="P28" s="38"/>
      <c r="Q28" s="38" t="s">
        <v>23</v>
      </c>
      <c r="R28" s="77"/>
      <c r="S28" s="64"/>
      <c r="T28" s="77"/>
    </row>
    <row r="29" spans="2:20" ht="60" customHeight="1" x14ac:dyDescent="0.35">
      <c r="B29" s="36" t="s">
        <v>250</v>
      </c>
      <c r="C29" s="75"/>
      <c r="D29" s="76"/>
      <c r="E29" s="76" t="s">
        <v>23</v>
      </c>
      <c r="F29" s="76" t="str">
        <f>IF(E29&lt;&gt;"", IFERROR(VLOOKUP(E29, Dashboard!$B46:$F51, 5, FALSE), ""), "")</f>
        <v/>
      </c>
      <c r="G29" s="77"/>
      <c r="H29" s="64"/>
      <c r="I29" s="64"/>
      <c r="J29" s="77"/>
      <c r="K29" s="77"/>
      <c r="L29" s="38"/>
      <c r="M29" s="38"/>
      <c r="N29" s="77"/>
      <c r="O29" s="77"/>
      <c r="P29" s="38"/>
      <c r="Q29" s="38" t="s">
        <v>23</v>
      </c>
      <c r="R29" s="77"/>
      <c r="S29" s="64"/>
      <c r="T29" s="77"/>
    </row>
    <row r="30" spans="2:20" ht="60" customHeight="1" x14ac:dyDescent="0.35">
      <c r="B30" s="36" t="s">
        <v>251</v>
      </c>
      <c r="C30" s="75"/>
      <c r="D30" s="76"/>
      <c r="E30" s="76" t="s">
        <v>23</v>
      </c>
      <c r="F30" s="76" t="str">
        <f>IF(E30&lt;&gt;"", IFERROR(VLOOKUP(E30, Dashboard!$B46:$F51, 5, FALSE), ""), "")</f>
        <v/>
      </c>
      <c r="G30" s="77"/>
      <c r="H30" s="64"/>
      <c r="I30" s="64"/>
      <c r="J30" s="77"/>
      <c r="K30" s="77"/>
      <c r="L30" s="38"/>
      <c r="M30" s="38"/>
      <c r="N30" s="77"/>
      <c r="O30" s="77"/>
      <c r="P30" s="38"/>
      <c r="Q30" s="38" t="s">
        <v>23</v>
      </c>
      <c r="R30" s="77"/>
      <c r="S30" s="64"/>
      <c r="T30" s="77"/>
    </row>
    <row r="31" spans="2:20" ht="60" customHeight="1" x14ac:dyDescent="0.35">
      <c r="B31" s="36" t="s">
        <v>252</v>
      </c>
      <c r="C31" s="75"/>
      <c r="D31" s="76"/>
      <c r="E31" s="76" t="s">
        <v>23</v>
      </c>
      <c r="F31" s="76" t="str">
        <f>IF(E31&lt;&gt;"", IFERROR(VLOOKUP(E31, Dashboard!$B46:$F51, 5, FALSE), ""), "")</f>
        <v/>
      </c>
      <c r="G31" s="77"/>
      <c r="H31" s="64"/>
      <c r="I31" s="64"/>
      <c r="J31" s="77"/>
      <c r="K31" s="77"/>
      <c r="L31" s="38"/>
      <c r="M31" s="38"/>
      <c r="N31" s="77"/>
      <c r="O31" s="77"/>
      <c r="P31" s="38"/>
      <c r="Q31" s="38" t="s">
        <v>23</v>
      </c>
      <c r="R31" s="77"/>
      <c r="S31" s="64"/>
      <c r="T31" s="77"/>
    </row>
    <row r="32" spans="2:20" ht="60" customHeight="1" x14ac:dyDescent="0.35">
      <c r="B32" s="36" t="s">
        <v>253</v>
      </c>
      <c r="C32" s="75"/>
      <c r="D32" s="76"/>
      <c r="E32" s="76" t="s">
        <v>23</v>
      </c>
      <c r="F32" s="76" t="str">
        <f>IF(E32&lt;&gt;"", IFERROR(VLOOKUP(E32, Dashboard!$B46:$F51, 5, FALSE), ""), "")</f>
        <v/>
      </c>
      <c r="G32" s="77"/>
      <c r="H32" s="64"/>
      <c r="I32" s="64"/>
      <c r="J32" s="77"/>
      <c r="K32" s="77"/>
      <c r="L32" s="38"/>
      <c r="M32" s="38"/>
      <c r="N32" s="77"/>
      <c r="O32" s="77"/>
      <c r="P32" s="38"/>
      <c r="Q32" s="38" t="s">
        <v>23</v>
      </c>
      <c r="R32" s="77"/>
      <c r="S32" s="64"/>
      <c r="T32" s="77"/>
    </row>
    <row r="33" spans="2:20" ht="60" customHeight="1" x14ac:dyDescent="0.35">
      <c r="B33" s="36" t="s">
        <v>254</v>
      </c>
      <c r="C33" s="75"/>
      <c r="D33" s="76"/>
      <c r="E33" s="76" t="s">
        <v>23</v>
      </c>
      <c r="F33" s="76" t="str">
        <f>IF(E33&lt;&gt;"", IFERROR(VLOOKUP(E33, Dashboard!$B46:$F51, 5, FALSE), ""), "")</f>
        <v/>
      </c>
      <c r="G33" s="77"/>
      <c r="H33" s="64"/>
      <c r="I33" s="64"/>
      <c r="J33" s="77"/>
      <c r="K33" s="77"/>
      <c r="L33" s="38"/>
      <c r="M33" s="38"/>
      <c r="N33" s="77"/>
      <c r="O33" s="77"/>
      <c r="P33" s="38"/>
      <c r="Q33" s="38" t="s">
        <v>23</v>
      </c>
      <c r="R33" s="77"/>
      <c r="S33" s="64"/>
      <c r="T33" s="77"/>
    </row>
    <row r="34" spans="2:20" ht="60" customHeight="1" x14ac:dyDescent="0.35">
      <c r="B34" s="36" t="s">
        <v>255</v>
      </c>
      <c r="C34" s="75"/>
      <c r="D34" s="76"/>
      <c r="E34" s="76" t="s">
        <v>23</v>
      </c>
      <c r="F34" s="76" t="str">
        <f>IF(E34&lt;&gt;"", IFERROR(VLOOKUP(E34, Dashboard!$B46:$F51, 5, FALSE), ""), "")</f>
        <v/>
      </c>
      <c r="G34" s="77"/>
      <c r="H34" s="64"/>
      <c r="I34" s="64"/>
      <c r="J34" s="77"/>
      <c r="K34" s="77"/>
      <c r="L34" s="38"/>
      <c r="M34" s="38"/>
      <c r="N34" s="77"/>
      <c r="O34" s="77"/>
      <c r="P34" s="38"/>
      <c r="Q34" s="38" t="s">
        <v>23</v>
      </c>
      <c r="R34" s="77"/>
      <c r="S34" s="64"/>
      <c r="T34" s="77"/>
    </row>
    <row r="35" spans="2:20" ht="60" customHeight="1" x14ac:dyDescent="0.35">
      <c r="B35" s="36" t="s">
        <v>256</v>
      </c>
      <c r="C35" s="75"/>
      <c r="D35" s="76"/>
      <c r="E35" s="76" t="s">
        <v>23</v>
      </c>
      <c r="F35" s="76" t="str">
        <f>IF(E35&lt;&gt;"", IFERROR(VLOOKUP(E35, Dashboard!$B46:$F51, 5, FALSE), ""), "")</f>
        <v/>
      </c>
      <c r="G35" s="77"/>
      <c r="H35" s="64"/>
      <c r="I35" s="64"/>
      <c r="J35" s="77"/>
      <c r="K35" s="77"/>
      <c r="L35" s="38"/>
      <c r="M35" s="38"/>
      <c r="N35" s="77"/>
      <c r="O35" s="77"/>
      <c r="P35" s="38"/>
      <c r="Q35" s="38" t="s">
        <v>23</v>
      </c>
      <c r="R35" s="77"/>
      <c r="S35" s="64"/>
      <c r="T35" s="77"/>
    </row>
    <row r="36" spans="2:20" ht="60" customHeight="1" x14ac:dyDescent="0.35">
      <c r="B36" s="36" t="s">
        <v>257</v>
      </c>
      <c r="C36" s="75"/>
      <c r="D36" s="76"/>
      <c r="E36" s="76" t="s">
        <v>23</v>
      </c>
      <c r="F36" s="76" t="str">
        <f>IF(E36&lt;&gt;"", IFERROR(VLOOKUP(E36, Dashboard!$B46:$F51, 5, FALSE), ""), "")</f>
        <v/>
      </c>
      <c r="G36" s="77"/>
      <c r="H36" s="64"/>
      <c r="I36" s="64"/>
      <c r="J36" s="77"/>
      <c r="K36" s="77"/>
      <c r="L36" s="38"/>
      <c r="M36" s="38"/>
      <c r="N36" s="77"/>
      <c r="O36" s="77"/>
      <c r="P36" s="38"/>
      <c r="Q36" s="38" t="s">
        <v>23</v>
      </c>
      <c r="R36" s="77"/>
      <c r="S36" s="64"/>
      <c r="T36" s="77"/>
    </row>
    <row r="37" spans="2:20" ht="60" customHeight="1" x14ac:dyDescent="0.35">
      <c r="B37" s="36" t="s">
        <v>258</v>
      </c>
      <c r="C37" s="75"/>
      <c r="D37" s="76"/>
      <c r="E37" s="76" t="s">
        <v>23</v>
      </c>
      <c r="F37" s="76" t="str">
        <f>IF(E37&lt;&gt;"", IFERROR(VLOOKUP(E37, Dashboard!$B46:$F51, 5, FALSE), ""), "")</f>
        <v/>
      </c>
      <c r="G37" s="77"/>
      <c r="H37" s="64"/>
      <c r="I37" s="64"/>
      <c r="J37" s="77"/>
      <c r="K37" s="77"/>
      <c r="L37" s="38"/>
      <c r="M37" s="38"/>
      <c r="N37" s="77"/>
      <c r="O37" s="77"/>
      <c r="P37" s="38"/>
      <c r="Q37" s="38" t="s">
        <v>23</v>
      </c>
      <c r="R37" s="77"/>
      <c r="S37" s="64"/>
      <c r="T37" s="77"/>
    </row>
    <row r="38" spans="2:20" ht="60" customHeight="1" x14ac:dyDescent="0.35">
      <c r="B38" s="36" t="s">
        <v>259</v>
      </c>
      <c r="C38" s="75"/>
      <c r="D38" s="76"/>
      <c r="E38" s="76" t="s">
        <v>23</v>
      </c>
      <c r="F38" s="76" t="str">
        <f>IF(E38&lt;&gt;"", IFERROR(VLOOKUP(E38, Dashboard!$B46:$F51, 5, FALSE), ""), "")</f>
        <v/>
      </c>
      <c r="G38" s="77"/>
      <c r="H38" s="64"/>
      <c r="I38" s="64"/>
      <c r="J38" s="77"/>
      <c r="K38" s="77"/>
      <c r="L38" s="38"/>
      <c r="M38" s="38"/>
      <c r="N38" s="77"/>
      <c r="O38" s="77"/>
      <c r="P38" s="38"/>
      <c r="Q38" s="38" t="s">
        <v>23</v>
      </c>
      <c r="R38" s="77"/>
      <c r="S38" s="64"/>
      <c r="T38" s="77"/>
    </row>
    <row r="39" spans="2:20" ht="60" customHeight="1" x14ac:dyDescent="0.35">
      <c r="B39" s="36" t="s">
        <v>260</v>
      </c>
      <c r="C39" s="75"/>
      <c r="D39" s="76"/>
      <c r="E39" s="76" t="s">
        <v>23</v>
      </c>
      <c r="F39" s="76" t="str">
        <f>IF(E39&lt;&gt;"", IFERROR(VLOOKUP(E39, Dashboard!$B46:$F51, 5, FALSE), ""), "")</f>
        <v/>
      </c>
      <c r="G39" s="77"/>
      <c r="H39" s="64"/>
      <c r="I39" s="64"/>
      <c r="J39" s="77"/>
      <c r="K39" s="77"/>
      <c r="L39" s="38"/>
      <c r="M39" s="38"/>
      <c r="N39" s="77"/>
      <c r="O39" s="77"/>
      <c r="P39" s="38"/>
      <c r="Q39" s="38" t="s">
        <v>23</v>
      </c>
      <c r="R39" s="77"/>
      <c r="S39" s="64"/>
      <c r="T39" s="77"/>
    </row>
    <row r="40" spans="2:20" ht="60" customHeight="1" x14ac:dyDescent="0.35">
      <c r="B40" s="36" t="s">
        <v>261</v>
      </c>
      <c r="C40" s="75"/>
      <c r="D40" s="76"/>
      <c r="E40" s="76" t="s">
        <v>23</v>
      </c>
      <c r="F40" s="76" t="str">
        <f>IF(E40&lt;&gt;"", IFERROR(VLOOKUP(E40, Dashboard!$B46:$F51, 5, FALSE), ""), "")</f>
        <v/>
      </c>
      <c r="G40" s="77"/>
      <c r="H40" s="64"/>
      <c r="I40" s="64"/>
      <c r="J40" s="77"/>
      <c r="K40" s="77"/>
      <c r="L40" s="38"/>
      <c r="M40" s="38"/>
      <c r="N40" s="77"/>
      <c r="O40" s="77"/>
      <c r="P40" s="38"/>
      <c r="Q40" s="38" t="s">
        <v>23</v>
      </c>
      <c r="R40" s="77"/>
      <c r="S40" s="64"/>
      <c r="T40" s="77"/>
    </row>
    <row r="41" spans="2:20" ht="60" customHeight="1" x14ac:dyDescent="0.35">
      <c r="B41" s="36" t="s">
        <v>262</v>
      </c>
      <c r="C41" s="75"/>
      <c r="D41" s="76"/>
      <c r="E41" s="76" t="s">
        <v>23</v>
      </c>
      <c r="F41" s="76" t="str">
        <f>IF(E41&lt;&gt;"", IFERROR(VLOOKUP(E41, Dashboard!$B46:$F51, 5, FALSE), ""), "")</f>
        <v/>
      </c>
      <c r="G41" s="77"/>
      <c r="H41" s="64"/>
      <c r="I41" s="64"/>
      <c r="J41" s="77"/>
      <c r="K41" s="77"/>
      <c r="L41" s="38"/>
      <c r="M41" s="38"/>
      <c r="N41" s="77"/>
      <c r="O41" s="77"/>
      <c r="P41" s="38"/>
      <c r="Q41" s="38" t="s">
        <v>23</v>
      </c>
      <c r="R41" s="77"/>
      <c r="S41" s="64"/>
      <c r="T41" s="77"/>
    </row>
    <row r="42" spans="2:20" ht="60" customHeight="1" x14ac:dyDescent="0.35">
      <c r="B42" s="36" t="s">
        <v>263</v>
      </c>
      <c r="C42" s="75"/>
      <c r="D42" s="76"/>
      <c r="E42" s="76" t="s">
        <v>23</v>
      </c>
      <c r="F42" s="76" t="str">
        <f>IF(E42&lt;&gt;"", IFERROR(VLOOKUP(E42, Dashboard!$B46:$F51, 5, FALSE), ""), "")</f>
        <v/>
      </c>
      <c r="G42" s="77"/>
      <c r="H42" s="64"/>
      <c r="I42" s="64"/>
      <c r="J42" s="77"/>
      <c r="K42" s="77"/>
      <c r="L42" s="38"/>
      <c r="M42" s="38"/>
      <c r="N42" s="77"/>
      <c r="O42" s="77"/>
      <c r="P42" s="38"/>
      <c r="Q42" s="38" t="s">
        <v>23</v>
      </c>
      <c r="R42" s="77"/>
      <c r="S42" s="64"/>
      <c r="T42" s="77"/>
    </row>
    <row r="43" spans="2:20" ht="60" customHeight="1" x14ac:dyDescent="0.35">
      <c r="B43" s="36" t="s">
        <v>264</v>
      </c>
      <c r="C43" s="75"/>
      <c r="D43" s="76"/>
      <c r="E43" s="76" t="s">
        <v>23</v>
      </c>
      <c r="F43" s="76" t="str">
        <f>IF(E43&lt;&gt;"", IFERROR(VLOOKUP(E43, Dashboard!$B46:$F51, 5, FALSE), ""), "")</f>
        <v/>
      </c>
      <c r="G43" s="77"/>
      <c r="H43" s="64"/>
      <c r="I43" s="64"/>
      <c r="J43" s="77"/>
      <c r="K43" s="77"/>
      <c r="L43" s="38"/>
      <c r="M43" s="38"/>
      <c r="N43" s="77"/>
      <c r="O43" s="77"/>
      <c r="P43" s="38"/>
      <c r="Q43" s="38" t="s">
        <v>23</v>
      </c>
      <c r="R43" s="77"/>
      <c r="S43" s="64"/>
      <c r="T43" s="77"/>
    </row>
    <row r="44" spans="2:20" ht="60" customHeight="1" x14ac:dyDescent="0.35">
      <c r="B44" s="36" t="s">
        <v>265</v>
      </c>
      <c r="C44" s="75"/>
      <c r="D44" s="76"/>
      <c r="E44" s="76" t="s">
        <v>23</v>
      </c>
      <c r="F44" s="76" t="str">
        <f>IF(E44&lt;&gt;"", IFERROR(VLOOKUP(E44, Dashboard!$B46:$F51, 5, FALSE), ""), "")</f>
        <v/>
      </c>
      <c r="G44" s="77"/>
      <c r="H44" s="64"/>
      <c r="I44" s="64"/>
      <c r="J44" s="77"/>
      <c r="K44" s="77"/>
      <c r="L44" s="38"/>
      <c r="M44" s="38"/>
      <c r="N44" s="77"/>
      <c r="O44" s="77"/>
      <c r="P44" s="38"/>
      <c r="Q44" s="38" t="s">
        <v>23</v>
      </c>
      <c r="R44" s="77"/>
      <c r="S44" s="64"/>
      <c r="T44" s="77"/>
    </row>
    <row r="45" spans="2:20" ht="60" customHeight="1" x14ac:dyDescent="0.35">
      <c r="B45" s="36" t="s">
        <v>266</v>
      </c>
      <c r="C45" s="75"/>
      <c r="D45" s="76"/>
      <c r="E45" s="76" t="s">
        <v>23</v>
      </c>
      <c r="F45" s="76" t="str">
        <f>IF(E45&lt;&gt;"", IFERROR(VLOOKUP(E45, Dashboard!$B46:$F51, 5, FALSE), ""), "")</f>
        <v/>
      </c>
      <c r="G45" s="77"/>
      <c r="H45" s="64"/>
      <c r="I45" s="64"/>
      <c r="J45" s="77"/>
      <c r="K45" s="77"/>
      <c r="L45" s="38"/>
      <c r="M45" s="38"/>
      <c r="N45" s="77"/>
      <c r="O45" s="77"/>
      <c r="P45" s="38"/>
      <c r="Q45" s="38" t="s">
        <v>23</v>
      </c>
      <c r="R45" s="77"/>
      <c r="S45" s="64"/>
      <c r="T45" s="77"/>
    </row>
    <row r="46" spans="2:20" ht="60" customHeight="1" x14ac:dyDescent="0.35">
      <c r="B46" s="36" t="s">
        <v>267</v>
      </c>
      <c r="C46" s="75"/>
      <c r="D46" s="76"/>
      <c r="E46" s="76" t="s">
        <v>23</v>
      </c>
      <c r="F46" s="76" t="str">
        <f>IF(E46&lt;&gt;"", IFERROR(VLOOKUP(E46, Dashboard!$B46:$F51, 5, FALSE), ""), "")</f>
        <v/>
      </c>
      <c r="G46" s="77"/>
      <c r="H46" s="64"/>
      <c r="I46" s="64"/>
      <c r="J46" s="77"/>
      <c r="K46" s="77"/>
      <c r="L46" s="38"/>
      <c r="M46" s="38"/>
      <c r="N46" s="77"/>
      <c r="O46" s="77"/>
      <c r="P46" s="38"/>
      <c r="Q46" s="38" t="s">
        <v>23</v>
      </c>
      <c r="R46" s="77"/>
      <c r="S46" s="64"/>
      <c r="T46" s="77"/>
    </row>
    <row r="47" spans="2:20" ht="60" customHeight="1" x14ac:dyDescent="0.35">
      <c r="B47" s="36" t="s">
        <v>268</v>
      </c>
      <c r="C47" s="75"/>
      <c r="D47" s="76"/>
      <c r="E47" s="76" t="s">
        <v>23</v>
      </c>
      <c r="F47" s="76" t="str">
        <f>IF(E47&lt;&gt;"", IFERROR(VLOOKUP(E47, Dashboard!$B46:$F51, 5, FALSE), ""), "")</f>
        <v/>
      </c>
      <c r="G47" s="77"/>
      <c r="H47" s="64"/>
      <c r="I47" s="64"/>
      <c r="J47" s="77"/>
      <c r="K47" s="77"/>
      <c r="L47" s="38"/>
      <c r="M47" s="38"/>
      <c r="N47" s="77"/>
      <c r="O47" s="77"/>
      <c r="P47" s="38"/>
      <c r="Q47" s="38" t="s">
        <v>23</v>
      </c>
      <c r="R47" s="77"/>
      <c r="S47" s="64"/>
      <c r="T47" s="77"/>
    </row>
    <row r="48" spans="2:20" ht="60" customHeight="1" x14ac:dyDescent="0.35">
      <c r="B48" s="36" t="s">
        <v>269</v>
      </c>
      <c r="C48" s="75"/>
      <c r="D48" s="76"/>
      <c r="E48" s="76" t="s">
        <v>23</v>
      </c>
      <c r="F48" s="76" t="str">
        <f>IF(E48&lt;&gt;"", IFERROR(VLOOKUP(E48, Dashboard!$B46:$F51, 5, FALSE), ""), "")</f>
        <v/>
      </c>
      <c r="G48" s="77"/>
      <c r="H48" s="64"/>
      <c r="I48" s="64"/>
      <c r="J48" s="77"/>
      <c r="K48" s="77"/>
      <c r="L48" s="38"/>
      <c r="M48" s="38"/>
      <c r="N48" s="77"/>
      <c r="O48" s="77"/>
      <c r="P48" s="38"/>
      <c r="Q48" s="38" t="s">
        <v>23</v>
      </c>
      <c r="R48" s="77"/>
      <c r="S48" s="64"/>
      <c r="T48" s="77"/>
    </row>
    <row r="49" spans="2:20" ht="60" customHeight="1" x14ac:dyDescent="0.35">
      <c r="B49" s="36" t="s">
        <v>270</v>
      </c>
      <c r="C49" s="75"/>
      <c r="D49" s="76"/>
      <c r="E49" s="76" t="s">
        <v>23</v>
      </c>
      <c r="F49" s="76" t="str">
        <f>IF(E49&lt;&gt;"", IFERROR(VLOOKUP(E49, Dashboard!$B46:$F51, 5, FALSE), ""), "")</f>
        <v/>
      </c>
      <c r="G49" s="77"/>
      <c r="H49" s="64"/>
      <c r="I49" s="64"/>
      <c r="J49" s="77"/>
      <c r="K49" s="77"/>
      <c r="L49" s="38"/>
      <c r="M49" s="38"/>
      <c r="N49" s="77"/>
      <c r="O49" s="77"/>
      <c r="P49" s="38"/>
      <c r="Q49" s="38" t="s">
        <v>23</v>
      </c>
      <c r="R49" s="77"/>
      <c r="S49" s="64"/>
      <c r="T49" s="77"/>
    </row>
    <row r="50" spans="2:20" ht="60" customHeight="1" x14ac:dyDescent="0.35">
      <c r="B50" s="36" t="s">
        <v>271</v>
      </c>
      <c r="C50" s="75"/>
      <c r="D50" s="76"/>
      <c r="E50" s="76" t="s">
        <v>23</v>
      </c>
      <c r="F50" s="76" t="str">
        <f>IF(E50&lt;&gt;"", IFERROR(VLOOKUP(E50, Dashboard!$B46:$F51, 5, FALSE), ""), "")</f>
        <v/>
      </c>
      <c r="G50" s="77"/>
      <c r="H50" s="64"/>
      <c r="I50" s="64"/>
      <c r="J50" s="77"/>
      <c r="K50" s="77"/>
      <c r="L50" s="38"/>
      <c r="M50" s="38"/>
      <c r="N50" s="77"/>
      <c r="O50" s="77"/>
      <c r="P50" s="38"/>
      <c r="Q50" s="38" t="s">
        <v>23</v>
      </c>
      <c r="R50" s="77"/>
      <c r="S50" s="64"/>
      <c r="T50" s="77"/>
    </row>
    <row r="51" spans="2:20" ht="60" customHeight="1" x14ac:dyDescent="0.35">
      <c r="B51" s="36" t="s">
        <v>272</v>
      </c>
      <c r="C51" s="75"/>
      <c r="D51" s="76"/>
      <c r="E51" s="76" t="s">
        <v>23</v>
      </c>
      <c r="F51" s="76" t="str">
        <f>IF(E51&lt;&gt;"", IFERROR(VLOOKUP(E51, Dashboard!$B46:$F51, 5, FALSE), ""), "")</f>
        <v/>
      </c>
      <c r="G51" s="77"/>
      <c r="H51" s="64"/>
      <c r="I51" s="64"/>
      <c r="J51" s="77"/>
      <c r="K51" s="77"/>
      <c r="L51" s="38"/>
      <c r="M51" s="38"/>
      <c r="N51" s="77"/>
      <c r="O51" s="77"/>
      <c r="P51" s="38"/>
      <c r="Q51" s="38" t="s">
        <v>23</v>
      </c>
      <c r="R51" s="77"/>
      <c r="S51" s="64"/>
      <c r="T51" s="77"/>
    </row>
    <row r="52" spans="2:20" ht="60" customHeight="1" x14ac:dyDescent="0.35">
      <c r="B52" s="36" t="s">
        <v>273</v>
      </c>
      <c r="C52" s="75"/>
      <c r="D52" s="76"/>
      <c r="E52" s="76" t="s">
        <v>23</v>
      </c>
      <c r="F52" s="76" t="str">
        <f>IF(E52&lt;&gt;"", IFERROR(VLOOKUP(E52, Dashboard!$B46:$F51, 5, FALSE), ""), "")</f>
        <v/>
      </c>
      <c r="G52" s="77"/>
      <c r="H52" s="64"/>
      <c r="I52" s="64"/>
      <c r="J52" s="77"/>
      <c r="K52" s="77"/>
      <c r="L52" s="38"/>
      <c r="M52" s="38"/>
      <c r="N52" s="77"/>
      <c r="O52" s="77"/>
      <c r="P52" s="38"/>
      <c r="Q52" s="38" t="s">
        <v>23</v>
      </c>
      <c r="R52" s="77"/>
      <c r="S52" s="64"/>
      <c r="T52" s="77"/>
    </row>
    <row r="53" spans="2:20" ht="60" customHeight="1" x14ac:dyDescent="0.35">
      <c r="B53" s="36" t="s">
        <v>274</v>
      </c>
      <c r="C53" s="75"/>
      <c r="D53" s="76"/>
      <c r="E53" s="76" t="s">
        <v>23</v>
      </c>
      <c r="F53" s="76" t="str">
        <f>IF(E53&lt;&gt;"", IFERROR(VLOOKUP(E53, Dashboard!$B46:$F51, 5, FALSE), ""), "")</f>
        <v/>
      </c>
      <c r="G53" s="77"/>
      <c r="H53" s="64"/>
      <c r="I53" s="64"/>
      <c r="J53" s="77"/>
      <c r="K53" s="77"/>
      <c r="L53" s="38"/>
      <c r="M53" s="38"/>
      <c r="N53" s="77"/>
      <c r="O53" s="77"/>
      <c r="P53" s="38"/>
      <c r="Q53" s="38" t="s">
        <v>23</v>
      </c>
      <c r="R53" s="77"/>
      <c r="S53" s="64"/>
      <c r="T53" s="77"/>
    </row>
    <row r="54" spans="2:20" ht="60" customHeight="1" x14ac:dyDescent="0.35">
      <c r="B54" s="36" t="s">
        <v>275</v>
      </c>
      <c r="C54" s="75"/>
      <c r="D54" s="76"/>
      <c r="E54" s="76" t="s">
        <v>23</v>
      </c>
      <c r="F54" s="76" t="str">
        <f>IF(E54&lt;&gt;"", IFERROR(VLOOKUP(E54, Dashboard!$B46:$F51, 5, FALSE), ""), "")</f>
        <v/>
      </c>
      <c r="G54" s="77"/>
      <c r="H54" s="64"/>
      <c r="I54" s="64"/>
      <c r="J54" s="77"/>
      <c r="K54" s="77"/>
      <c r="L54" s="38"/>
      <c r="M54" s="38"/>
      <c r="N54" s="77"/>
      <c r="O54" s="77"/>
      <c r="P54" s="38"/>
      <c r="Q54" s="38" t="s">
        <v>23</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63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CISA Google Workspace Secure Configuration Baseline for Google Classroom - SHGIR</dc:title>
  <dc:subject>Generated on: 2026-06-09 11:39:12</dc:subject>
  <dc:creator>Anicet Fopa Tchoffo</dc:creator>
  <cp:keywords>Hardening,Baseline;CISA;SCuBA</cp:keywords>
  <dc:description>Baseline Developed By: Cybersecurity and Infrastructure Security Agency (CISA)</dc:description>
  <cp:lastModifiedBy>Anicet Fopa Tchoffo</cp:lastModifiedBy>
  <dcterms:modified xsi:type="dcterms:W3CDTF">2026-06-09T10:39:20Z</dcterms:modified>
  <cp:category>CISA-SCuBA</cp:category>
  <cp:contentStatus>Draft</cp:contentStatus>
</cp:coreProperties>
</file>