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CuBA/"/>
    </mc:Choice>
  </mc:AlternateContent>
  <xr:revisionPtr revIDLastSave="38" documentId="11_887AE654991B54CE257A0F358360E49C03F23B59" xr6:coauthVersionLast="47" xr6:coauthVersionMax="47" xr10:uidLastSave="{6DFB4B45-A2F8-4837-A6BC-C5E3831BC6E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6" i="1"/>
  <c r="O5" i="1"/>
  <c r="O4" i="1"/>
  <c r="O3" i="1"/>
  <c r="O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C80" i="3" s="1"/>
  <c r="E72" i="3"/>
  <c r="D72" i="3"/>
  <c r="C72" i="3"/>
  <c r="E71" i="3"/>
  <c r="D71" i="3"/>
  <c r="C71" i="3"/>
  <c r="W123" i="3" s="1"/>
  <c r="E70" i="3"/>
  <c r="D70" i="3"/>
  <c r="C70" i="3"/>
  <c r="F70" i="3" s="1"/>
  <c r="E69" i="3"/>
  <c r="D69" i="3"/>
  <c r="C69" i="3"/>
  <c r="F69" i="3" s="1"/>
  <c r="E51" i="3"/>
  <c r="D51" i="3"/>
  <c r="C51" i="3"/>
  <c r="F51" i="3" s="1"/>
  <c r="E50" i="3"/>
  <c r="D50" i="3"/>
  <c r="C50" i="3"/>
  <c r="F50" i="3" s="1"/>
  <c r="E49" i="3"/>
  <c r="D49" i="3"/>
  <c r="C49" i="3"/>
  <c r="F49" i="3" s="1"/>
  <c r="E48" i="3"/>
  <c r="D48" i="3"/>
  <c r="C48" i="3"/>
  <c r="F48" i="3" s="1"/>
  <c r="E47" i="3"/>
  <c r="D47" i="3"/>
  <c r="C47" i="3"/>
  <c r="F47" i="3" s="1"/>
  <c r="E46" i="3"/>
  <c r="D46" i="3"/>
  <c r="C46" i="3"/>
  <c r="F46" i="3" s="1"/>
  <c r="E31" i="3"/>
  <c r="D31" i="3"/>
  <c r="C31" i="3"/>
  <c r="F31" i="3" s="1"/>
  <c r="E30" i="3"/>
  <c r="D30" i="3"/>
  <c r="F30" i="3" s="1"/>
  <c r="C30" i="3"/>
  <c r="E29" i="3"/>
  <c r="D29" i="3"/>
  <c r="F29" i="3" s="1"/>
  <c r="C29" i="3"/>
  <c r="E16" i="3"/>
  <c r="D16" i="3"/>
  <c r="C16" i="3"/>
  <c r="F16" i="3" s="1"/>
  <c r="C9" i="3"/>
  <c r="D9" i="3" s="1"/>
  <c r="C8" i="3"/>
  <c r="D8" i="3" s="1"/>
  <c r="C7" i="3"/>
  <c r="D7" i="3" s="1"/>
  <c r="E99" i="3" l="1"/>
  <c r="D99" i="3"/>
  <c r="C99" i="3"/>
  <c r="E56" i="3"/>
  <c r="D56" i="3"/>
  <c r="C56" i="3"/>
  <c r="E55" i="3"/>
  <c r="C55" i="3"/>
  <c r="D55" i="3"/>
  <c r="E58" i="3"/>
  <c r="D58" i="3"/>
  <c r="C58" i="3"/>
  <c r="E60" i="3"/>
  <c r="D60" i="3"/>
  <c r="C60" i="3"/>
  <c r="E97" i="3"/>
  <c r="D97" i="3"/>
  <c r="C97" i="3"/>
  <c r="E37" i="3"/>
  <c r="D37" i="3"/>
  <c r="C37" i="3"/>
  <c r="V153" i="3"/>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 r="C78" i="3"/>
  <c r="V154" i="3"/>
  <c r="V149" i="3"/>
  <c r="V144" i="3"/>
  <c r="V139" i="3"/>
  <c r="V134" i="3"/>
  <c r="V129" i="3"/>
  <c r="R153" i="3"/>
  <c r="R148" i="3"/>
  <c r="R143" i="3"/>
  <c r="R138" i="3"/>
  <c r="R133" i="3"/>
  <c r="R128" i="3"/>
  <c r="R152" i="3"/>
  <c r="R147" i="3"/>
  <c r="R142" i="3"/>
  <c r="R137" i="3"/>
  <c r="R132" i="3"/>
  <c r="R127" i="3"/>
  <c r="R151" i="3"/>
  <c r="R146" i="3"/>
  <c r="R141" i="3"/>
  <c r="R136" i="3"/>
  <c r="R131" i="3"/>
  <c r="R126" i="3"/>
  <c r="E20" i="3"/>
  <c r="D20" i="3"/>
  <c r="R155" i="3"/>
  <c r="R150" i="3"/>
  <c r="R145" i="3"/>
  <c r="R140" i="3"/>
  <c r="R135" i="3"/>
  <c r="R130" i="3"/>
  <c r="R125" i="3"/>
  <c r="C20" i="3"/>
  <c r="R154" i="3"/>
  <c r="R149" i="3"/>
  <c r="R144" i="3"/>
  <c r="R139" i="3"/>
  <c r="R134" i="3"/>
  <c r="R129" i="3"/>
  <c r="E59" i="3"/>
  <c r="D59" i="3"/>
  <c r="C59" i="3"/>
  <c r="E36" i="3"/>
  <c r="D36" i="3"/>
  <c r="C36"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E100" i="3"/>
  <c r="D100" i="3"/>
  <c r="C100" i="3"/>
  <c r="D57" i="3"/>
  <c r="E57" i="3"/>
  <c r="C57" i="3"/>
  <c r="D35" i="3"/>
  <c r="C35" i="3"/>
  <c r="E35" i="3"/>
  <c r="E98" i="3"/>
  <c r="D98" i="3"/>
  <c r="C98" i="3"/>
  <c r="D80" i="3"/>
  <c r="F71" i="3"/>
  <c r="E80" i="3"/>
  <c r="Q123" i="3"/>
  <c r="C81" i="3"/>
  <c r="S123" i="3"/>
  <c r="D81" i="3"/>
  <c r="U123" i="3"/>
  <c r="D79" i="3" l="1"/>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E79" i="3"/>
  <c r="X153" i="3"/>
  <c r="X148" i="3"/>
  <c r="X143" i="3"/>
  <c r="X138" i="3"/>
  <c r="X133" i="3"/>
  <c r="X128" i="3"/>
</calcChain>
</file>

<file path=xl/sharedStrings.xml><?xml version="1.0" encoding="utf-8"?>
<sst xmlns="http://schemas.openxmlformats.org/spreadsheetml/2006/main" count="1109" uniqueCount="455">
  <si>
    <t>Category</t>
  </si>
  <si>
    <t>Id</t>
  </si>
  <si>
    <t>Title</t>
  </si>
  <si>
    <t>Criticality</t>
  </si>
  <si>
    <t>MoSCoW</t>
  </si>
  <si>
    <t>OpsImpact</t>
  </si>
  <si>
    <t>Phase</t>
  </si>
  <si>
    <t>ImplStatus</t>
  </si>
  <si>
    <t>Notes</t>
  </si>
  <si>
    <t>Remediation</t>
  </si>
  <si>
    <t>Rationale</t>
  </si>
  <si>
    <t>Description</t>
  </si>
  <si>
    <t>Prereqs</t>
  </si>
  <si>
    <t>Resources</t>
  </si>
  <si>
    <t>Status</t>
  </si>
  <si>
    <t>LogID</t>
  </si>
  <si>
    <t>Mail Delegation</t>
  </si>
  <si>
    <t>GWS.GMAIL.1.1v0.6</t>
  </si>
  <si>
    <r>
      <rPr>
        <sz val="11"/>
        <color rgb="FF000000"/>
        <rFont val="Calibri"/>
      </rPr>
      <t>Mail Delegation SHOULD be disabled.</t>
    </r>
  </si>
  <si>
    <t>SHOULD</t>
  </si>
  <si>
    <t>Unassigned</t>
  </si>
  <si>
    <t>Unassessed</t>
  </si>
  <si>
    <t>Pending</t>
  </si>
  <si>
    <t/>
  </si>
  <si>
    <r>
      <rPr>
        <sz val="11"/>
        <color rgb="FF000000"/>
        <rFont val="Calibri"/>
      </rPr>
      <t>To configure the settings for Mail Delegation:</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User Settings -&gt; Mail delegation</t>
    </r>
    <r>
      <rPr>
        <sz val="11"/>
        <color rgb="FF000000"/>
        <rFont val="Calibri"/>
      </rPr>
      <t>.</t>
    </r>
    <r>
      <rPr>
        <sz val="11"/>
        <color rgb="FF000000"/>
        <rFont val="Calibri"/>
      </rPr>
      <t xml:space="preserve">
</t>
    </r>
    <r>
      <rPr>
        <sz val="11"/>
        <color rgb="FF000000"/>
        <rFont val="Calibri"/>
      </rPr>
      <t xml:space="preserve">4. Ensure that the </t>
    </r>
    <r>
      <rPr>
        <b/>
        <sz val="11"/>
        <color rgb="FF000000"/>
        <rFont val="Calibri"/>
      </rPr>
      <t>Let users delegate access to their mailbox to other users in the domain</t>
    </r>
    <r>
      <rPr>
        <sz val="11"/>
        <color rgb="FF000000"/>
        <rFont val="Calibri"/>
      </rPr>
      <t xml:space="preserve"> checkbox is unchecked.</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</si>
  <si>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Granting mail delegation can inadvertently lead to disclosure of sensitive information, impersonation of delegated accounts, or malicious alteration or deletion of emails. By controlling mail delegation, these risks can be significantly reduced, improving the security and integrity of email communications.</t>
    </r>
  </si>
  <si>
    <r>
      <rPr>
        <sz val="11"/>
        <color rgb="FF000000"/>
        <rFont val="Calibri"/>
      </rPr>
      <t>This section determines whether users can delegate access to their mailbox to others within the same domain. This delegation includes access to read, send, and delete messages on the account owner's behalf. This delegation can be done via a command line tool (GAM) if enabled in the admin console.</t>
    </r>
  </si>
  <si>
    <r>
      <rPr>
        <sz val="11"/>
        <color rgb="FF000000"/>
        <rFont val="Calibri"/>
      </rPr>
      <t>None</t>
    </r>
  </si>
  <si>
    <r>
      <rPr>
        <b/>
        <sz val="11"/>
        <color rgb="FF000000"/>
        <rFont val="Calibri"/>
      </rPr>
      <t>Google Workspace Admin Help: Turn Gmail delegation on or off</t>
    </r>
    <r>
      <rPr>
        <sz val="11"/>
        <color rgb="FF000000"/>
        <rFont val="Calibri"/>
      </rPr>
      <t xml:space="preserve">
</t>
    </r>
    <r>
      <rPr>
        <sz val="11"/>
        <color rgb="FF0000FF"/>
        <rFont val="Calibri"/>
      </rPr>
      <t>https://support.google.com/a/answer/7223765?hl=en</t>
    </r>
    <r>
      <rPr>
        <sz val="11"/>
        <color rgb="FF000000"/>
        <rFont val="Calibri"/>
      </rPr>
      <t xml:space="preserve">
</t>
    </r>
    <r>
      <rPr>
        <b/>
        <sz val="11"/>
        <color rgb="FF000000"/>
        <rFont val="Calibri"/>
      </rPr>
      <t>GAM: Example Email Settings - Creating a Gmail delegate</t>
    </r>
    <r>
      <rPr>
        <sz val="11"/>
        <color rgb="FF000000"/>
        <rFont val="Calibri"/>
      </rPr>
      <t xml:space="preserve">
</t>
    </r>
    <r>
      <rPr>
        <sz val="11"/>
        <color rgb="FF0000FF"/>
        <rFont val="Calibri"/>
      </rPr>
      <t>https://github.com/GAM-team/GAM/wiki/ExamplesEmailSettings#creating-a-gmail-delegate</t>
    </r>
    <r>
      <rPr>
        <sz val="11"/>
        <color rgb="FF000000"/>
        <rFont val="Calibri"/>
      </rPr>
      <t xml:space="preserve">
</t>
    </r>
    <r>
      <rPr>
        <b/>
        <sz val="11"/>
        <color rgb="FF000000"/>
        <rFont val="Calibri"/>
      </rPr>
      <t>CIS Google Workspace Foundations Benchmark</t>
    </r>
    <r>
      <rPr>
        <sz val="11"/>
        <color rgb="FF000000"/>
        <rFont val="Calibri"/>
      </rPr>
      <t xml:space="preserve">
</t>
    </r>
    <r>
      <rPr>
        <sz val="11"/>
        <color rgb="FF0000FF"/>
        <rFont val="Calibri"/>
      </rPr>
      <t>https://www.cisecurity.org/benchmark/google_workspace</t>
    </r>
  </si>
  <si>
    <t>DomainKeys Identified Mail</t>
  </si>
  <si>
    <t>GWS.GMAIL.2.1v0.6</t>
  </si>
  <si>
    <r>
      <rPr>
        <sz val="11"/>
        <color rgb="FF000000"/>
        <rFont val="Calibri"/>
      </rPr>
      <t>DKIM SHOULD be enabled for all domains.</t>
    </r>
  </si>
  <si>
    <r>
      <rPr>
        <sz val="11"/>
        <color rgb="FF000000"/>
        <rFont val="Calibri"/>
      </rPr>
      <t>To configure the settings for DKIM:</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Authenticate email -&gt; DKIM authentication</t>
    </r>
    <r>
      <rPr>
        <sz val="11"/>
        <color rgb="FF000000"/>
        <rFont val="Calibri"/>
      </rPr>
      <t>.</t>
    </r>
    <r>
      <rPr>
        <sz val="11"/>
        <color rgb="FF000000"/>
        <rFont val="Calibri"/>
      </rPr>
      <t xml:space="preserve">
</t>
    </r>
    <r>
      <rPr>
        <sz val="11"/>
        <color rgb="FF000000"/>
        <rFont val="Calibri"/>
      </rPr>
      <t xml:space="preserve">4. Select a domain listed in the </t>
    </r>
    <r>
      <rPr>
        <b/>
        <sz val="11"/>
        <color rgb="FF000000"/>
        <rFont val="Calibri"/>
      </rPr>
      <t>Selected</t>
    </r>
    <r>
      <rPr>
        <sz val="11"/>
        <color rgb="FF000000"/>
        <rFont val="Calibri"/>
      </rPr>
      <t xml:space="preserve"> domain drop-down menu.</t>
    </r>
    <r>
      <rPr>
        <sz val="11"/>
        <color rgb="FF000000"/>
        <rFont val="Calibri"/>
      </rPr>
      <t xml:space="preserve">
</t>
    </r>
    <r>
      <rPr>
        <sz val="11"/>
        <color rgb="FF000000"/>
        <rFont val="Calibri"/>
      </rPr>
      <t xml:space="preserve">5. Select </t>
    </r>
    <r>
      <rPr>
        <b/>
        <sz val="11"/>
        <color rgb="FF000000"/>
        <rFont val="Calibri"/>
      </rPr>
      <t>START AUTHENTICATION</t>
    </r>
    <r>
      <rPr>
        <sz val="11"/>
        <color rgb="FF000000"/>
        <rFont val="Calibri"/>
      </rPr>
      <t>.</t>
    </r>
    <r>
      <rPr>
        <sz val="11"/>
        <color rgb="FF000000"/>
        <rFont val="Calibri"/>
      </rPr>
      <t xml:space="preserve">
</t>
    </r>
    <r>
      <rPr>
        <sz val="11"/>
        <color rgb="FF000000"/>
        <rFont val="Calibri"/>
      </rPr>
      <t xml:space="preserve">6. Select </t>
    </r>
    <r>
      <rPr>
        <b/>
        <sz val="11"/>
        <color rgb="FF000000"/>
        <rFont val="Calibri"/>
      </rPr>
      <t>Save</t>
    </r>
    <r>
      <rPr>
        <sz val="11"/>
        <color rgb="FF000000"/>
        <rFont val="Calibri"/>
      </rPr>
      <t>.</t>
    </r>
    <r>
      <rPr>
        <sz val="11"/>
        <color rgb="FF000000"/>
        <rFont val="Calibri"/>
      </rPr>
      <t xml:space="preserve">
</t>
    </r>
    <r>
      <rPr>
        <sz val="11"/>
        <color rgb="FF000000"/>
        <rFont val="Calibri"/>
      </rPr>
      <t>7. Add the DNS TXT record listed in Admin Console to the domain, via the domain provider's DNS settings page. Note that it can take up to 48 hours for DNS changes to fully propagate.</t>
    </r>
    <r>
      <rPr>
        <sz val="11"/>
        <color rgb="FF000000"/>
        <rFont val="Calibri"/>
      </rPr>
      <t xml:space="preserve">
</t>
    </r>
    <r>
      <rPr>
        <sz val="11"/>
        <color rgb="FF000000"/>
        <rFont val="Calibri"/>
      </rPr>
      <t xml:space="preserve">Note that step 7 requires action taken outside of the Google Admin Console, dependent on the agency's domain provider. Thus, the exact final step needed to set up DKIM varies from agency to agency. See Turn on DKIM for your domain </t>
    </r>
    <r>
      <rPr>
        <sz val="11"/>
        <color rgb="FF0000FF"/>
        <rFont val="Calibri"/>
      </rPr>
      <t>(https://support.google.com/a/answer/180504)</t>
    </r>
    <r>
      <rPr>
        <sz val="11"/>
        <color rgb="FF000000"/>
        <rFont val="Calibri"/>
      </rPr>
      <t xml:space="preserve"> for more details.</t>
    </r>
    <r>
      <rPr>
        <sz val="11"/>
        <color rgb="FF000000"/>
        <rFont val="Calibri"/>
      </rPr>
      <t xml:space="preserve">
</t>
    </r>
    <r>
      <rPr>
        <sz val="11"/>
        <color rgb="FF000000"/>
        <rFont val="Calibri"/>
      </rPr>
      <t xml:space="preserve">To test your DKIM configuration, consider using a web-based tool, such as the Google Admin Toolbox </t>
    </r>
    <r>
      <rPr>
        <sz val="11"/>
        <color rgb="FF0000FF"/>
        <rFont val="Calibri"/>
      </rPr>
      <t>(https://toolbox.googleapps.com/apps/checkmx/)</t>
    </r>
    <r>
      <rPr>
        <sz val="11"/>
        <color rgb="FF000000"/>
        <rFont val="Calibri"/>
      </rPr>
      <t>.</t>
    </r>
  </si>
  <si>
    <r>
      <rPr>
        <sz val="11"/>
        <color rgb="FF000000"/>
        <rFont val="Calibri"/>
      </rPr>
      <t>Enabling DKIM for all domains can help prevent email spoofing and phishing attacks. Without DKIM, threat actors could manipulate email headers to appear as if they are from a legitimate source, potentially leading to the disclosure of sensitive information. By enabling DKIM, the authenticity of emails can be verified, reducing this risk.</t>
    </r>
  </si>
  <si>
    <r>
      <rPr>
        <sz val="11"/>
        <color rgb="FF000000"/>
        <rFont val="Calibri"/>
      </rPr>
      <t>This section enables DomainKeys Identified Mail (DKIM) to help prevent spoofing on outgoing messages sent from a specific domain. DKIM allows digital signatures to be added to email messages in the message header, providing a layer of both authenticity and integrity to emails. Without DKIM, messages that are sent from a specific domain are more likely to be marked as spam by receiving mail servers. DKIM relies on Domain Name System (DNS) records, thus, its deployment depends on how an agency manages its DNS.</t>
    </r>
  </si>
  <si>
    <r>
      <rPr>
        <b/>
        <sz val="11"/>
        <color rgb="FF000000"/>
        <rFont val="Calibri"/>
      </rPr>
      <t>Binding Operational Directive 18-01 - Enhance Email and Web Security | DHS</t>
    </r>
    <r>
      <rPr>
        <sz val="11"/>
        <color rgb="FF000000"/>
        <rFont val="Calibri"/>
      </rPr>
      <t xml:space="preserve">
</t>
    </r>
    <r>
      <rPr>
        <sz val="11"/>
        <color rgb="FF0000FF"/>
        <rFont val="Calibri"/>
      </rPr>
      <t>https://cyber.dhs.gov/bod/18-01/</t>
    </r>
    <r>
      <rPr>
        <sz val="11"/>
        <color rgb="FF000000"/>
        <rFont val="Calibri"/>
      </rPr>
      <t xml:space="preserve">
</t>
    </r>
    <r>
      <rPr>
        <b/>
        <sz val="11"/>
        <color rgb="FF000000"/>
        <rFont val="Calibri"/>
      </rPr>
      <t>Trustworthy Email | NIST 800-177 Rev. 1</t>
    </r>
    <r>
      <rPr>
        <sz val="11"/>
        <color rgb="FF000000"/>
        <rFont val="Calibri"/>
      </rPr>
      <t xml:space="preserve">
</t>
    </r>
    <r>
      <rPr>
        <sz val="11"/>
        <color rgb="FF0000FF"/>
        <rFont val="Calibri"/>
      </rPr>
      <t>https://csrc.nist.gov/publications/detail/sp/800-177/rev-1/final</t>
    </r>
    <r>
      <rPr>
        <sz val="11"/>
        <color rgb="FF000000"/>
        <rFont val="Calibri"/>
      </rPr>
      <t xml:space="preserve">
</t>
    </r>
    <r>
      <rPr>
        <b/>
        <sz val="11"/>
        <color rgb="FF000000"/>
        <rFont val="Calibri"/>
      </rPr>
      <t>Google Workspace Admin Help: Help prevent spoofing and spam with DKIM</t>
    </r>
    <r>
      <rPr>
        <sz val="11"/>
        <color rgb="FF000000"/>
        <rFont val="Calibri"/>
      </rPr>
      <t xml:space="preserve">
</t>
    </r>
    <r>
      <rPr>
        <sz val="11"/>
        <color rgb="FF0000FF"/>
        <rFont val="Calibri"/>
      </rPr>
      <t>https://support.google.com/a/answer/174124</t>
    </r>
    <r>
      <rPr>
        <sz val="11"/>
        <color rgb="FF000000"/>
        <rFont val="Calibri"/>
      </rPr>
      <t xml:space="preserve">
</t>
    </r>
    <r>
      <rPr>
        <b/>
        <sz val="11"/>
        <color rgb="FF000000"/>
        <rFont val="Calibri"/>
      </rPr>
      <t>CIS Google Workspace Foundations Benchmark</t>
    </r>
    <r>
      <rPr>
        <sz val="11"/>
        <color rgb="FF000000"/>
        <rFont val="Calibri"/>
      </rPr>
      <t xml:space="preserve">
</t>
    </r>
    <r>
      <rPr>
        <sz val="11"/>
        <color rgb="FF0000FF"/>
        <rFont val="Calibri"/>
      </rPr>
      <t>https://www.cisecurity.org/benchmark/google_workspace</t>
    </r>
  </si>
  <si>
    <t>Sender Policy Framework</t>
  </si>
  <si>
    <t>GWS.GMAIL.3.1v0.6</t>
  </si>
  <si>
    <r>
      <rPr>
        <sz val="11"/>
        <color rgb="FF000000"/>
        <rFont val="Calibri"/>
      </rPr>
      <t>An SPF policy SHALL be published for each domain that fails all non-approved senders.</t>
    </r>
  </si>
  <si>
    <t>SHALL</t>
  </si>
  <si>
    <r>
      <rPr>
        <sz val="11"/>
        <color rgb="FF000000"/>
        <rFont val="Calibri"/>
      </rPr>
      <t xml:space="preserve">First, identify any approved senders specific to your agency (see Identify all email senders for your organization </t>
    </r>
    <r>
      <rPr>
        <sz val="11"/>
        <color rgb="FF0000FF"/>
        <rFont val="Calibri"/>
      </rPr>
      <t>(https://support.google.com/a/answer/10686639#senders)</t>
    </r>
    <r>
      <rPr>
        <sz val="11"/>
        <color rgb="FF000000"/>
        <rFont val="Calibri"/>
      </rPr>
      <t xml:space="preserve"> for tips). SPF allows you to indicate approved senders by IP address or CIDR range. However, note that SPF allows you to include </t>
    </r>
    <r>
      <rPr>
        <sz val="11"/>
        <color rgb="FF0000FF"/>
        <rFont val="Calibri"/>
      </rPr>
      <t>(https://www.rfc-editor.org/rfc/rfc7208#section-5.2)</t>
    </r>
    <r>
      <rPr>
        <sz val="11"/>
        <color rgb="FF000000"/>
        <rFont val="Calibri"/>
      </rPr>
      <t xml:space="preserve"> the IP addresses indicated by a separate SPF policy, refered to by domain name. See Define your SPF record—Basic setup </t>
    </r>
    <r>
      <rPr>
        <sz val="11"/>
        <color rgb="FF0000FF"/>
        <rFont val="Calibri"/>
      </rPr>
      <t>(https://support.google.com/a/answer/10685031)</t>
    </r>
    <r>
      <rPr>
        <sz val="11"/>
        <color rgb="FF000000"/>
        <rFont val="Calibri"/>
      </rPr>
      <t xml:space="preserve"> for inclusions required for Google to send email on behalf of your domain.</t>
    </r>
    <r>
      <rPr>
        <sz val="11"/>
        <color rgb="FF000000"/>
        <rFont val="Calibri"/>
      </rPr>
      <t xml:space="preserve">
</t>
    </r>
    <r>
      <rPr>
        <sz val="11"/>
        <color rgb="FF000000"/>
        <rFont val="Calibri"/>
      </rPr>
      <t xml:space="preserve">SPF is not configured through the Google Workspace admin center, but rather via DNS records hosted by the agency's domain. Thus, the exact steps needed to set up SPF varies from agency to agency. See Add your SPF record at your domain provider </t>
    </r>
    <r>
      <rPr>
        <sz val="11"/>
        <color rgb="FF0000FF"/>
        <rFont val="Calibri"/>
      </rPr>
      <t>(https://support.google.com/a/answer/10684623)</t>
    </r>
    <r>
      <rPr>
        <sz val="11"/>
        <color rgb="FF000000"/>
        <rFont val="Calibri"/>
      </rPr>
      <t xml:space="preserve"> for more details.</t>
    </r>
    <r>
      <rPr>
        <sz val="11"/>
        <color rgb="FF000000"/>
        <rFont val="Calibri"/>
      </rPr>
      <t xml:space="preserve">
</t>
    </r>
    <r>
      <rPr>
        <sz val="11"/>
        <color rgb="FF000000"/>
        <rFont val="Calibri"/>
      </rPr>
      <t xml:space="preserve">To test your SPF configuration, consider using a web-based tool, such as the Google Admin Toolbox </t>
    </r>
    <r>
      <rPr>
        <sz val="11"/>
        <color rgb="FF0000FF"/>
        <rFont val="Calibri"/>
      </rPr>
      <t>(https://toolbox.googleapps.com/apps/checkmx/)</t>
    </r>
    <r>
      <rPr>
        <sz val="11"/>
        <color rgb="FF000000"/>
        <rFont val="Calibri"/>
      </rPr>
      <t xml:space="preserve">. Additionally, SPF records can be requested using the command line tool </t>
    </r>
    <r>
      <rPr>
        <b/>
        <sz val="11"/>
        <color rgb="FF000000"/>
        <rFont val="Calibri"/>
      </rPr>
      <t>dig</t>
    </r>
    <r>
      <rPr>
        <sz val="11"/>
        <color rgb="FF000000"/>
        <rFont val="Calibri"/>
      </rPr>
      <t>. For example:</t>
    </r>
    <r>
      <rPr>
        <sz val="11"/>
        <color rgb="FF000000"/>
        <rFont val="Calibri"/>
      </rPr>
      <t xml:space="preserve">
</t>
    </r>
    <r>
      <rPr>
        <sz val="11"/>
        <color rgb="FF006096"/>
        <rFont val="Roboto Condensed"/>
      </rPr>
      <t>dig example.com txt</t>
    </r>
    <r>
      <rPr>
        <sz val="11"/>
        <color rgb="FF000000"/>
        <rFont val="Calibri"/>
      </rPr>
      <t xml:space="preserve">
</t>
    </r>
    <r>
      <rPr>
        <sz val="11"/>
        <color rgb="FF000000"/>
        <rFont val="Calibri"/>
      </rPr>
      <t xml:space="preserve">If SPF is configured, a response resembling </t>
    </r>
    <r>
      <rPr>
        <b/>
        <sz val="11"/>
        <color rgb="FF000000"/>
        <rFont val="Calibri"/>
      </rPr>
      <t>v=spf1 include:_spf.google.com -all</t>
    </r>
    <r>
      <rPr>
        <sz val="11"/>
        <color rgb="FF000000"/>
        <rFont val="Calibri"/>
      </rPr>
      <t xml:space="preserve"> will be returned; though by necessity, the contents of the SPF policy may vary by agency. In this example, the SPF policy indicates the IP addresses listed by the policy for "_spf.google.com" are the only approved senders for "example.com." These IPs can be determined via additional SPF lookups, starting with "_spf.google.com."</t>
    </r>
    <r>
      <rPr>
        <sz val="11"/>
        <color rgb="FF000000"/>
        <rFont val="Calibri"/>
      </rPr>
      <t xml:space="preserve">
</t>
    </r>
    <r>
      <rPr>
        <sz val="11"/>
        <color rgb="FF000000"/>
        <rFont val="Calibri"/>
      </rPr>
      <t xml:space="preserve">Ensure the IP addresses listed as approved senders for your domains are correct. Additionally, ensure that each policy either ends in </t>
    </r>
    <r>
      <rPr>
        <b/>
        <sz val="11"/>
        <color rgb="FF000000"/>
        <rFont val="Calibri"/>
      </rPr>
      <t>-all</t>
    </r>
    <r>
      <rPr>
        <sz val="11"/>
        <color rgb="FF000000"/>
        <rFont val="Calibri"/>
      </rPr>
      <t xml:space="preserve"> or redirects </t>
    </r>
    <r>
      <rPr>
        <sz val="11"/>
        <color rgb="FF0000FF"/>
        <rFont val="Calibri"/>
      </rPr>
      <t>(https://www.rfc-editor.org/rfc/rfc7208#section-6.1)</t>
    </r>
    <r>
      <rPr>
        <sz val="11"/>
        <color rgb="FF000000"/>
        <rFont val="Calibri"/>
      </rPr>
      <t xml:space="preserve"> to one that does; this directive indicates that all IPs that don't match the policy should fail. See Define your SPF record—Advanced setup </t>
    </r>
    <r>
      <rPr>
        <sz val="11"/>
        <color rgb="FF0000FF"/>
        <rFont val="Calibri"/>
      </rPr>
      <t>(https://support.google.com/a/answer/10683907)</t>
    </r>
    <r>
      <rPr>
        <sz val="11"/>
        <color rgb="FF000000"/>
        <rFont val="Calibri"/>
      </rPr>
      <t xml:space="preserve"> for a more in-depth discussion of SPF record syntax.</t>
    </r>
  </si>
  <si>
    <r>
      <rPr>
        <sz val="11"/>
        <color rgb="FF000000"/>
        <rFont val="Calibri"/>
      </rPr>
      <t>Threat actors could potentially manipulate the 'FROM' field in an email to appear as a legitimate sender, increasing the risk of phishing attacks. By publishing an SPF policy for each domain that fails all non-approved senders, this risk can be reduced as it provides a means to detect and block such deceptive emails. Additionally, an SPF policy is required for Federal civilian executive branch (FCEB) agencies by Binding Operational Directive 18-01, "Enhance Email and Web Security."</t>
    </r>
  </si>
  <si>
    <r>
      <rPr>
        <sz val="11"/>
        <color rgb="FF000000"/>
        <rFont val="Calibri"/>
      </rPr>
      <t>The Sender Policy Framework (SPF) is a mechanism that allows administrators to specify which IP addresses are explicitly approved to send email on behalf of the domain, facilitating detection of spoofed emails. SPF isn't configured through the Google Admin Console, but rather via DNS records hosted by the agency's domain. Thus, the exact steps needed to set up SPF varies from agency to agency, but Google's documentation provides some helpful starting points.</t>
    </r>
  </si>
  <si>
    <r>
      <rPr>
        <sz val="11"/>
        <color rgb="FF000000"/>
        <rFont val="Calibri"/>
      </rPr>
      <t>A list of approved IP addresses for sending mail must be maintained. Failing to maintain an accurate list of authorized IP addresses may result in spoofed email messages or failure to deliver legitimate messages when SPF is enabled. Maintaining such a list helps ensure that unauthorized servers sending spoofed messages can be detected, and permits message delivery from legitimate senders.</t>
    </r>
  </si>
  <si>
    <r>
      <rPr>
        <b/>
        <sz val="11"/>
        <color rgb="FF000000"/>
        <rFont val="Calibri"/>
      </rPr>
      <t>Binding Operational Directive 18-01 - Enhance Email and Web Security | DHS</t>
    </r>
    <r>
      <rPr>
        <sz val="11"/>
        <color rgb="FF000000"/>
        <rFont val="Calibri"/>
      </rPr>
      <t xml:space="preserve">
</t>
    </r>
    <r>
      <rPr>
        <sz val="11"/>
        <color rgb="FF0000FF"/>
        <rFont val="Calibri"/>
      </rPr>
      <t>https://cyber.dhs.gov/bod/18-01/</t>
    </r>
    <r>
      <rPr>
        <sz val="11"/>
        <color rgb="FF000000"/>
        <rFont val="Calibri"/>
      </rPr>
      <t xml:space="preserve">
</t>
    </r>
    <r>
      <rPr>
        <b/>
        <sz val="11"/>
        <color rgb="FF000000"/>
        <rFont val="Calibri"/>
      </rPr>
      <t>Trustworthy Email | NIST 800-177 Rev. 1</t>
    </r>
    <r>
      <rPr>
        <sz val="11"/>
        <color rgb="FF000000"/>
        <rFont val="Calibri"/>
      </rPr>
      <t xml:space="preserve">
</t>
    </r>
    <r>
      <rPr>
        <sz val="11"/>
        <color rgb="FF0000FF"/>
        <rFont val="Calibri"/>
      </rPr>
      <t>https://csrc.nist.gov/publications/detail/sp/800-177/rev-1/final</t>
    </r>
    <r>
      <rPr>
        <sz val="11"/>
        <color rgb="FF000000"/>
        <rFont val="Calibri"/>
      </rPr>
      <t xml:space="preserve">
</t>
    </r>
    <r>
      <rPr>
        <b/>
        <sz val="11"/>
        <color rgb="FF000000"/>
        <rFont val="Calibri"/>
      </rPr>
      <t>Google Workspace Admin Help: Help prevent spoofing and spam with SPF</t>
    </r>
    <r>
      <rPr>
        <sz val="11"/>
        <color rgb="FF000000"/>
        <rFont val="Calibri"/>
      </rPr>
      <t xml:space="preserve">
</t>
    </r>
    <r>
      <rPr>
        <sz val="11"/>
        <color rgb="FF0000FF"/>
        <rFont val="Calibri"/>
      </rPr>
      <t>https://support.google.com/a/answer/33786#to-do</t>
    </r>
  </si>
  <si>
    <t>Domain-based Message Authentication, Reporting, and Conformance</t>
  </si>
  <si>
    <t>GWS.GMAIL.4.1v0.6</t>
  </si>
  <si>
    <r>
      <rPr>
        <sz val="11"/>
        <color rgb="FF000000"/>
        <rFont val="Calibri"/>
      </rPr>
      <t>A DMARC policy SHALL be published at the full domain or the second-level domain for all Google Workspace domains, including user alias domains.</t>
    </r>
  </si>
  <si>
    <r>
      <rPr>
        <sz val="11"/>
        <color rgb="FF000000"/>
        <rFont val="Calibri"/>
      </rPr>
      <t xml:space="preserve">DMARC is not configured through the Google Admin Console, but rather via DNS records hosted by the agency's domain(s). As such, implementation varies depending on how an agency manages its DNS records. See Add your DMARC record </t>
    </r>
    <r>
      <rPr>
        <sz val="11"/>
        <color rgb="FF0000FF"/>
        <rFont val="Calibri"/>
      </rPr>
      <t>(https://support.google.com/a/answer/2466563)</t>
    </r>
    <r>
      <rPr>
        <sz val="11"/>
        <color rgb="FF000000"/>
        <rFont val="Calibri"/>
      </rPr>
      <t xml:space="preserve"> for Google guidance.</t>
    </r>
    <r>
      <rPr>
        <sz val="11"/>
        <color rgb="FF000000"/>
        <rFont val="Calibri"/>
      </rPr>
      <t xml:space="preserve">
</t>
    </r>
    <r>
      <rPr>
        <sz val="11"/>
        <color rgb="FF000000"/>
        <rFont val="Calibri"/>
      </rPr>
      <t xml:space="preserve">To test your DMARC configuration, consider using one of many publicly available web-based tools, such as the Google Admin Toolbox </t>
    </r>
    <r>
      <rPr>
        <sz val="11"/>
        <color rgb="FF0000FF"/>
        <rFont val="Calibri"/>
      </rPr>
      <t>(https://toolbox.googleapps.com/apps/checkmx/)</t>
    </r>
    <r>
      <rPr>
        <sz val="11"/>
        <color rgb="FF000000"/>
        <rFont val="Calibri"/>
      </rPr>
      <t xml:space="preserve">. Additionally, DMARC records can be requested using the command line tool </t>
    </r>
    <r>
      <rPr>
        <b/>
        <sz val="11"/>
        <color rgb="FF000000"/>
        <rFont val="Calibri"/>
      </rPr>
      <t>dig</t>
    </r>
    <r>
      <rPr>
        <sz val="11"/>
        <color rgb="FF000000"/>
        <rFont val="Calibri"/>
      </rPr>
      <t>. For example:</t>
    </r>
    <r>
      <rPr>
        <sz val="11"/>
        <color rgb="FF000000"/>
        <rFont val="Calibri"/>
      </rPr>
      <t xml:space="preserve">
</t>
    </r>
    <r>
      <rPr>
        <sz val="11"/>
        <color rgb="FF006096"/>
        <rFont val="Roboto Condensed"/>
      </rPr>
      <t>dig _dmarc.example.com txt</t>
    </r>
    <r>
      <rPr>
        <sz val="11"/>
        <color rgb="FF000000"/>
        <rFont val="Calibri"/>
      </rPr>
      <t xml:space="preserve">
</t>
    </r>
    <r>
      <rPr>
        <sz val="11"/>
        <color rgb="FF000000"/>
        <rFont val="Calibri"/>
      </rPr>
      <t xml:space="preserve">If DMARC is configured, a response resembling </t>
    </r>
    <r>
      <rPr>
        <b/>
        <sz val="11"/>
        <color rgb="FF000000"/>
        <rFont val="Calibri"/>
      </rPr>
      <t>v=DMARC1; p=reject; pct=100; rua=mailto:reports@dmarc.cyber.dhs.gov, mailto:reports@example.com; ruf=mailto:reports@example.com</t>
    </r>
    <r>
      <rPr>
        <sz val="11"/>
        <color rgb="FF000000"/>
        <rFont val="Calibri"/>
      </rPr>
      <t xml:space="preserve"> will be returned, though by necessity, the contents of the record will vary by agency. In this example, the policy indicates all emails failing the SPF/DKIM checks are to be rejected and aggregate reports sent to reports@dmarc.cyber.dhs.gov and reports@example.com. Failure reports will be sent to reports@example.com.</t>
    </r>
  </si>
  <si>
    <r>
      <rPr>
        <sz val="11"/>
        <color rgb="FF000000"/>
        <rFont val="Calibri"/>
      </rPr>
      <t>Without proper authentication and a DMARC policy available for each domain, recipients may improperly handle SPF and DKIM failures, possibly enabling threat actors to send deceptive emails that appear to be from your domain. Publishing a DMARC policy for every domain further reduces the risk posed by authentication failures.</t>
    </r>
  </si>
  <si>
    <r>
      <rPr>
        <sz val="11"/>
        <color rgb="FF000000"/>
        <rFont val="Calibri"/>
      </rPr>
      <t>Domain-based Message Authentication, Reporting, and Conformance (DMARC) works with SPF and DKIM to authenticate mail senders and ensure that destination email systems can validate messages sent from your domain. DMARC helps receiving mail systems determine what to do with messages sent from your domain that fail SPF or DKIM checks.</t>
    </r>
  </si>
  <si>
    <r>
      <rPr>
        <sz val="11"/>
        <color rgb="FF000000"/>
        <rFont val="Calibri"/>
      </rPr>
      <t>DKIM or SPF must be enabled</t>
    </r>
  </si>
  <si>
    <r>
      <rPr>
        <b/>
        <sz val="11"/>
        <color rgb="FF000000"/>
        <rFont val="Calibri"/>
      </rPr>
      <t>Binding Operational Directive 18-01 - Enhance Email and Web Security | DHS</t>
    </r>
    <r>
      <rPr>
        <sz val="11"/>
        <color rgb="FF000000"/>
        <rFont val="Calibri"/>
      </rPr>
      <t xml:space="preserve">
</t>
    </r>
    <r>
      <rPr>
        <sz val="11"/>
        <color rgb="FF0000FF"/>
        <rFont val="Calibri"/>
      </rPr>
      <t>https://cyber.dhs.gov/bod/18-01/</t>
    </r>
    <r>
      <rPr>
        <sz val="11"/>
        <color rgb="FF000000"/>
        <rFont val="Calibri"/>
      </rPr>
      <t xml:space="preserve">
</t>
    </r>
    <r>
      <rPr>
        <b/>
        <sz val="11"/>
        <color rgb="FF000000"/>
        <rFont val="Calibri"/>
      </rPr>
      <t>Trustworthy Email | NIST 800-177 Rev. 1</t>
    </r>
    <r>
      <rPr>
        <sz val="11"/>
        <color rgb="FF000000"/>
        <rFont val="Calibri"/>
      </rPr>
      <t xml:space="preserve">
</t>
    </r>
    <r>
      <rPr>
        <sz val="11"/>
        <color rgb="FF0000FF"/>
        <rFont val="Calibri"/>
      </rPr>
      <t>https://csrc.nist.gov/publications/detail/sp/800-177/rev-1/final</t>
    </r>
    <r>
      <rPr>
        <sz val="11"/>
        <color rgb="FF000000"/>
        <rFont val="Calibri"/>
      </rPr>
      <t xml:space="preserve">
</t>
    </r>
    <r>
      <rPr>
        <b/>
        <sz val="11"/>
        <color rgb="FF000000"/>
        <rFont val="Calibri"/>
      </rPr>
      <t>Domain-based Message Authentication, Reporting, and Conformance (DMARC) | RFC 7489</t>
    </r>
    <r>
      <rPr>
        <sz val="11"/>
        <color rgb="FF000000"/>
        <rFont val="Calibri"/>
      </rPr>
      <t xml:space="preserve">
</t>
    </r>
    <r>
      <rPr>
        <sz val="11"/>
        <color rgb="FF0000FF"/>
        <rFont val="Calibri"/>
      </rPr>
      <t>https://datatracker.ietf.org/doc/html/rfc7489</t>
    </r>
    <r>
      <rPr>
        <sz val="11"/>
        <color rgb="FF000000"/>
        <rFont val="Calibri"/>
      </rPr>
      <t xml:space="preserve">
</t>
    </r>
    <r>
      <rPr>
        <b/>
        <sz val="11"/>
        <color rgb="FF000000"/>
        <rFont val="Calibri"/>
      </rPr>
      <t>Google Workspace Admin Help: Help prevent spoofing and spam with DMARC</t>
    </r>
    <r>
      <rPr>
        <sz val="11"/>
        <color rgb="FF000000"/>
        <rFont val="Calibri"/>
      </rPr>
      <t xml:space="preserve">
</t>
    </r>
    <r>
      <rPr>
        <sz val="11"/>
        <color rgb="FF0000FF"/>
        <rFont val="Calibri"/>
      </rPr>
      <t>https://support.google.com/a/answer/2466580</t>
    </r>
  </si>
  <si>
    <t>GWS.GMAIL.4.2v0.6</t>
  </si>
  <si>
    <r>
      <rPr>
        <sz val="11"/>
        <color rgb="FF000000"/>
        <rFont val="Calibri"/>
      </rPr>
      <t>The DMARC message rejection option SHALL be p=reject.</t>
    </r>
  </si>
  <si>
    <r>
      <rPr>
        <sz val="11"/>
        <color rgb="FF000000"/>
        <rFont val="Calibri"/>
      </rPr>
      <t xml:space="preserve">See GWS.GMAIL.4.1 instructions </t>
    </r>
    <r>
      <rPr>
        <sz val="11"/>
        <color rgb="FF0000FF"/>
        <rFont val="Calibri"/>
      </rPr>
      <t>(#gmail41-instructions)</t>
    </r>
    <r>
      <rPr>
        <sz val="11"/>
        <color rgb="FF000000"/>
        <rFont val="Calibri"/>
      </rPr>
      <t xml:space="preserve"> for an overview of how to publish and check a DMARC record. Ensure the record published includes </t>
    </r>
    <r>
      <rPr>
        <b/>
        <sz val="11"/>
        <color rgb="FF000000"/>
        <rFont val="Calibri"/>
      </rPr>
      <t>p=reject</t>
    </r>
    <r>
      <rPr>
        <sz val="11"/>
        <color rgb="FF000000"/>
        <rFont val="Calibri"/>
      </rPr>
      <t>.</t>
    </r>
  </si>
  <si>
    <r>
      <rPr>
        <sz val="11"/>
        <color rgb="FF000000"/>
        <rFont val="Calibri"/>
      </rPr>
      <t>Without stringent email authentication, threat actors could potentially send deceptive emails that appear to be from the organization's domain, increasing the risk of phishing attacks. This policy reduces risk as it automatically rejects emails that fail SPF or DKIM checks, preventing potentially harmful emails from reaching recipients. Additionally, "reject" is the level of protection required by BOD 18-01, "Enhance Email and Web Security," for Federal civilian executive branch (FCEB) agencies.</t>
    </r>
  </si>
  <si>
    <t>GWS.GMAIL.4.3v0.6</t>
  </si>
  <si>
    <r>
      <rPr>
        <sz val="11"/>
        <color rgb="FF000000"/>
        <rFont val="Calibri"/>
      </rPr>
      <t xml:space="preserve">The DMARC point of contact for aggregate reports SHALL include </t>
    </r>
    <r>
      <rPr>
        <b/>
        <sz val="11"/>
        <color rgb="FF000000"/>
        <rFont val="Calibri"/>
      </rPr>
      <t>reports@dmarc.cyber.dhs.gov</t>
    </r>
    <r>
      <rPr>
        <sz val="11"/>
        <color rgb="FF000000"/>
        <rFont val="Calibri"/>
      </rPr>
      <t>.</t>
    </r>
  </si>
  <si>
    <r>
      <rPr>
        <sz val="11"/>
        <color rgb="FF000000"/>
        <rFont val="Calibri"/>
      </rPr>
      <t xml:space="preserve">See GWS.GMAIL.4.1 instructions </t>
    </r>
    <r>
      <rPr>
        <sz val="11"/>
        <color rgb="FF0000FF"/>
        <rFont val="Calibri"/>
      </rPr>
      <t>(#gmail41-instructions)</t>
    </r>
    <r>
      <rPr>
        <sz val="11"/>
        <color rgb="FF000000"/>
        <rFont val="Calibri"/>
      </rPr>
      <t xml:space="preserve"> for an overview of how to publish and check a DMARC record. Ensure the record published includes reports@dmarc.cyber.dhs.gov as one of the emails for the </t>
    </r>
    <r>
      <rPr>
        <b/>
        <sz val="11"/>
        <color rgb="FF000000"/>
        <rFont val="Calibri"/>
      </rPr>
      <t>rua</t>
    </r>
    <r>
      <rPr>
        <sz val="11"/>
        <color rgb="FF000000"/>
        <rFont val="Calibri"/>
      </rPr>
      <t xml:space="preserve"> field.</t>
    </r>
  </si>
  <si>
    <r>
      <rPr>
        <sz val="11"/>
        <color rgb="FF000000"/>
        <rFont val="Calibri"/>
      </rPr>
      <t>Without a centralized point of contact for DMARC aggregate reports, potential email security issues may go unnoticed, increasing the risk of phishing attacks. As required by BOD 18-01 for Federal civilian executive branch (FCEB), set reports@dmarc.cyber.dhs.gov as the DMARC aggregate report recipient, which allows the CyberSecurity and Infrastructure Security Agency (CISA) to monitor and address email authentication issues.</t>
    </r>
  </si>
  <si>
    <t>GWS.GMAIL.4.4v0.6</t>
  </si>
  <si>
    <r>
      <rPr>
        <sz val="11"/>
        <color rgb="FF000000"/>
        <rFont val="Calibri"/>
      </rPr>
      <t>An agency point of contact SHOULD be included for aggregate and failure reports.</t>
    </r>
  </si>
  <si>
    <r>
      <rPr>
        <sz val="11"/>
        <color rgb="FF000000"/>
        <rFont val="Calibri"/>
      </rPr>
      <t xml:space="preserve">See GWS.GMAIL.4.1 instructions </t>
    </r>
    <r>
      <rPr>
        <sz val="11"/>
        <color rgb="FF0000FF"/>
        <rFont val="Calibri"/>
      </rPr>
      <t>(#gmail41-instructions)</t>
    </r>
    <r>
      <rPr>
        <sz val="11"/>
        <color rgb="FF000000"/>
        <rFont val="Calibri"/>
      </rPr>
      <t xml:space="preserve"> for an overview of how to publish and check a DMARC record. Ensure the record published includes a point of contact specific to your agency, in addition to reports@dmarc.cyber.dhs.gov, as one of the emails for the </t>
    </r>
    <r>
      <rPr>
        <b/>
        <sz val="11"/>
        <color rgb="FF000000"/>
        <rFont val="Calibri"/>
      </rPr>
      <t>rua</t>
    </r>
    <r>
      <rPr>
        <sz val="11"/>
        <color rgb="FF000000"/>
        <rFont val="Calibri"/>
      </rPr>
      <t xml:space="preserve"> field and one or more agency-defined points of contact for the </t>
    </r>
    <r>
      <rPr>
        <b/>
        <sz val="11"/>
        <color rgb="FF000000"/>
        <rFont val="Calibri"/>
      </rPr>
      <t>ruf</t>
    </r>
    <r>
      <rPr>
        <sz val="11"/>
        <color rgb="FF000000"/>
        <rFont val="Calibri"/>
      </rPr>
      <t xml:space="preserve"> field.</t>
    </r>
  </si>
  <si>
    <r>
      <rPr>
        <sz val="11"/>
        <color rgb="FF000000"/>
        <rFont val="Calibri"/>
      </rPr>
      <t>Without a designated agency point of contact for DMARC aggregate and failure reports, potential email security issues may not be promptly addressed, increasing the risk of phishing attacks. By including an agency point of contact, this risk can be reduced as it facilitates a timely response to email authentication issues, enhancing overall email security.</t>
    </r>
  </si>
  <si>
    <t>Attachment Protections</t>
  </si>
  <si>
    <t>GWS.GMAIL.5.1v0.6</t>
  </si>
  <si>
    <r>
      <rPr>
        <sz val="11"/>
        <color rgb="FF000000"/>
        <rFont val="Calibri"/>
      </rPr>
      <t>"Protect against encrypted attachments from untrusted senders" SHALL be enabled.</t>
    </r>
  </si>
  <si>
    <r>
      <rPr>
        <sz val="11"/>
        <color rgb="FF000000"/>
        <rFont val="Calibri"/>
      </rPr>
      <t>To configure the settings for Attachment Protections: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Attachments</t>
    </r>
    <r>
      <rPr>
        <sz val="11"/>
        <color rgb="FF000000"/>
        <rFont val="Calibri"/>
      </rPr>
      <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Check the </t>
    </r>
    <r>
      <rPr>
        <b/>
        <sz val="11"/>
        <color rgb="FF000000"/>
        <rFont val="Calibri"/>
      </rPr>
      <t>Protect against encrypted attachments from untrusted senders</t>
    </r>
    <r>
      <rPr>
        <sz val="11"/>
        <color rgb="FF000000"/>
        <rFont val="Calibri"/>
      </rPr>
      <t xml:space="preserve"> checkbox.</t>
    </r>
  </si>
  <si>
    <r>
      <rPr>
        <sz val="11"/>
        <color rgb="FF000000"/>
        <rFont val="Calibri"/>
      </rPr>
      <t>Attachments from untrusted senders, especially encrypted ones, may contain malicious content that poses a security risk. By enabling protection against encrypted attachments from untrusted senders, this risk can be reduced, enhancing the safety and integrity of user data and systems.</t>
    </r>
  </si>
  <si>
    <r>
      <rPr>
        <sz val="11"/>
        <color rgb="FF000000"/>
        <rFont val="Calibri"/>
      </rPr>
      <t>This section enables protections against suspicious attachments and scripts from untrusted senders, to include encrypted attachments, documents with malicious scripts, and attachment file types that are uncommon and/or archaic. Through these attachments malware can be spread. These messages can be kept in the inbox with a warning label (default), moved to spam, or quarantined.</t>
    </r>
    <r>
      <rPr>
        <sz val="11"/>
        <color rgb="FF000000"/>
        <rFont val="Calibri"/>
      </rPr>
      <t xml:space="preserve">
</t>
    </r>
    <r>
      <rPr>
        <sz val="11"/>
        <color rgb="FF000000"/>
        <rFont val="Calibri"/>
      </rPr>
      <t>A Google Workspace solution is not strictly required to satisfy this baseline control, but the solution selected by an agency should offer services comparable to those offered by Google.</t>
    </r>
  </si>
  <si>
    <r>
      <rPr>
        <sz val="11"/>
        <color rgb="FF000000"/>
        <rFont val="Calibri"/>
      </rPr>
      <t>N/A</t>
    </r>
  </si>
  <si>
    <r>
      <rPr>
        <b/>
        <sz val="11"/>
        <color rgb="FF000000"/>
        <rFont val="Calibri"/>
      </rPr>
      <t>Google Workspace Admin Help: Advanced phishing and malware protection</t>
    </r>
    <r>
      <rPr>
        <sz val="11"/>
        <color rgb="FF000000"/>
        <rFont val="Calibri"/>
      </rPr>
      <t xml:space="preserve">
</t>
    </r>
    <r>
      <rPr>
        <sz val="11"/>
        <color rgb="FF0000FF"/>
        <rFont val="Calibri"/>
      </rPr>
      <t>https://support.google.com/a/answer/9157861?product_name=UnuFlow&amp;hl=en&amp;visit_id=637831282628458101-2078141803&amp;rd=1&amp;src=supportwidget0&amp;hl=en#zippy=%2Cturn-on-attachment-protection</t>
    </r>
  </si>
  <si>
    <t>GWS.GMAIL.5.2v0.6</t>
  </si>
  <si>
    <r>
      <rPr>
        <sz val="11"/>
        <color rgb="FF000000"/>
        <rFont val="Calibri"/>
      </rPr>
      <t>"Protect against attachments with scripts from untrusted senders" SHALL be enabled.</t>
    </r>
  </si>
  <si>
    <r>
      <rPr>
        <sz val="11"/>
        <color rgb="FF000000"/>
        <rFont val="Calibri"/>
      </rPr>
      <t>To configure the settings for Attachment Protections: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Attachments</t>
    </r>
    <r>
      <rPr>
        <sz val="11"/>
        <color rgb="FF000000"/>
        <rFont val="Calibri"/>
      </rPr>
      <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Check the </t>
    </r>
    <r>
      <rPr>
        <b/>
        <sz val="11"/>
        <color rgb="FF000000"/>
        <rFont val="Calibri"/>
      </rPr>
      <t>Protect against attachments with scripts from untrusted senders</t>
    </r>
    <r>
      <rPr>
        <sz val="11"/>
        <color rgb="FF000000"/>
        <rFont val="Calibri"/>
      </rPr>
      <t xml:space="preserve"> checkbox.</t>
    </r>
  </si>
  <si>
    <r>
      <rPr>
        <sz val="11"/>
        <color rgb="FF000000"/>
        <rFont val="Calibri"/>
      </rPr>
      <t>Attachments with scripts from untrusted senders may contain malicious content that poses a security risk. By enabling protection against such attachments, this risk can be reduced, enhancing the safety and integrity of user data and systems.</t>
    </r>
  </si>
  <si>
    <t>GWS.GMAIL.5.3v0.6</t>
  </si>
  <si>
    <r>
      <rPr>
        <sz val="11"/>
        <color rgb="FF000000"/>
        <rFont val="Calibri"/>
      </rPr>
      <t>"Protect against anomalous attachment types in emails" SHALL be enabled.</t>
    </r>
  </si>
  <si>
    <r>
      <rPr>
        <sz val="11"/>
        <color rgb="FF000000"/>
        <rFont val="Calibri"/>
      </rPr>
      <t>To configure the settings for Attachment Protections: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Attachments</t>
    </r>
    <r>
      <rPr>
        <sz val="11"/>
        <color rgb="FF000000"/>
        <rFont val="Calibri"/>
      </rPr>
      <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Check the </t>
    </r>
    <r>
      <rPr>
        <b/>
        <sz val="11"/>
        <color rgb="FF000000"/>
        <rFont val="Calibri"/>
      </rPr>
      <t>Protect against anomalous attachment types in emails</t>
    </r>
    <r>
      <rPr>
        <sz val="11"/>
        <color rgb="FF000000"/>
        <rFont val="Calibri"/>
      </rPr>
      <t xml:space="preserve"> checkbox.</t>
    </r>
  </si>
  <si>
    <r>
      <rPr>
        <sz val="11"/>
        <color rgb="FF000000"/>
        <rFont val="Calibri"/>
      </rPr>
      <t>Anomalous attachment types in emails may contain malicious content that poses a security risk. By enabling protection against such attachments, this risk can be reduced, enhancing the safety and integrity of the user data and systems.</t>
    </r>
  </si>
  <si>
    <t>GWS.GMAIL.5.4v0.6</t>
  </si>
  <si>
    <r>
      <rPr>
        <sz val="11"/>
        <color rgb="FF000000"/>
        <rFont val="Calibri"/>
      </rPr>
      <t>Google SHOULD be allowed to automatically apply future recommended settings for attachments.</t>
    </r>
  </si>
  <si>
    <r>
      <rPr>
        <sz val="11"/>
        <color rgb="FF000000"/>
        <rFont val="Calibri"/>
      </rPr>
      <t>To configure the settings for Attachment Protections: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Attachments</t>
    </r>
    <r>
      <rPr>
        <sz val="11"/>
        <color rgb="FF000000"/>
        <rFont val="Calibri"/>
      </rPr>
      <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Check the </t>
    </r>
    <r>
      <rPr>
        <b/>
        <sz val="11"/>
        <color rgb="FF000000"/>
        <rFont val="Calibri"/>
      </rPr>
      <t>Apply future recommended settings automatically</t>
    </r>
    <r>
      <rPr>
        <sz val="11"/>
        <color rgb="FF000000"/>
        <rFont val="Calibri"/>
      </rPr>
      <t xml:space="preserve"> checkbox.</t>
    </r>
  </si>
  <si>
    <r>
      <rPr>
        <sz val="11"/>
        <color rgb="FF000000"/>
        <rFont val="Calibri"/>
      </rPr>
      <t>By enabling this feature, the system can automatically stay updated with the latest security measures recommended by Google, reducing the risk of security breaches.</t>
    </r>
  </si>
  <si>
    <t>GWS.GMAIL.5.5v0.6</t>
  </si>
  <si>
    <r>
      <rPr>
        <sz val="11"/>
        <color rgb="FF000000"/>
        <rFont val="Calibri"/>
      </rPr>
      <t>Emails flagged by SCuBA policies GWS.GMAIL.5.1 through GWS.GMAIL.5.3 SHALL NOT be kept in inbox.</t>
    </r>
  </si>
  <si>
    <t>SHALL NOT</t>
  </si>
  <si>
    <r>
      <rPr>
        <sz val="11"/>
        <color rgb="FF000000"/>
        <rFont val="Calibri"/>
      </rPr>
      <t>To configure the settings for Attachment Protections: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Attachments</t>
    </r>
    <r>
      <rPr>
        <sz val="11"/>
        <color rgb="FF000000"/>
        <rFont val="Calibri"/>
      </rPr>
      <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1. Under the setting for Policy 5.1 through Policy 5.3, ensure either "Move email to spam" or "Quarantine" is selected.</t>
    </r>
  </si>
  <si>
    <r>
      <rPr>
        <sz val="11"/>
        <color rgb="FF000000"/>
        <rFont val="Calibri"/>
      </rPr>
      <t>Keeping emails flagged by attachment protection controls in the inbox could potentially expose users to malicious content. Removing these emails from the inbox enhances the safety and integrity of user data and systems.</t>
    </r>
  </si>
  <si>
    <t>GWS.GMAIL.5.6v0.6</t>
  </si>
  <si>
    <r>
      <rPr>
        <sz val="11"/>
        <color rgb="FF000000"/>
        <rFont val="Calibri"/>
      </rPr>
      <t>Any third-party or outside application selected for attachment protection SHOULD offer services comparable to those offered by Google Workspace (GWS).</t>
    </r>
  </si>
  <si>
    <r>
      <rPr>
        <sz val="11"/>
        <color rgb="FF000000"/>
        <rFont val="Calibri"/>
      </rPr>
      <t>To configure the settings for Attachment Protections: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Attachments</t>
    </r>
    <r>
      <rPr>
        <sz val="11"/>
        <color rgb="FF000000"/>
        <rFont val="Calibri"/>
      </rPr>
      <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1. No implementation steps for this policy</t>
    </r>
  </si>
  <si>
    <r>
      <rPr>
        <sz val="11"/>
        <color rgb="FF000000"/>
        <rFont val="Calibri"/>
      </rPr>
      <t>Using third-party or outside applications for attachment protection that do not offer services comparable to those offered by GWS could potentially expose users to security risks. Using applications that offer comparable services reduces this risk, enhancing the safety and integrity of user data and systems.</t>
    </r>
  </si>
  <si>
    <t>Links and External Images Protection</t>
  </si>
  <si>
    <t>GWS.GMAIL.6.1v0.6</t>
  </si>
  <si>
    <r>
      <rPr>
        <sz val="11"/>
        <color rgb="FF000000"/>
        <rFont val="Calibri"/>
      </rPr>
      <t>"Identify links behind shortened URLs" SHALL be enabled.</t>
    </r>
  </si>
  <si>
    <r>
      <rPr>
        <sz val="11"/>
        <color rgb="FF000000"/>
        <rFont val="Calibri"/>
      </rPr>
      <t>To configure the settings for Links and External Images Protection: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Links and external images</t>
    </r>
    <r>
      <rPr>
        <sz val="11"/>
        <color rgb="FF000000"/>
        <rFont val="Calibri"/>
      </rPr>
      <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Check the </t>
    </r>
    <r>
      <rPr>
        <b/>
        <sz val="11"/>
        <color rgb="FF000000"/>
        <rFont val="Calibri"/>
      </rPr>
      <t>Identify links behind shortened URLs</t>
    </r>
    <r>
      <rPr>
        <sz val="11"/>
        <color rgb="FF000000"/>
        <rFont val="Calibri"/>
      </rPr>
      <t xml:space="preserve"> checkbox.</t>
    </r>
  </si>
  <si>
    <r>
      <rPr>
        <sz val="11"/>
        <color rgb="FF000000"/>
        <rFont val="Calibri"/>
      </rPr>
      <t>Shortened URLs can hide malicious links, posing a security risk. This risk can be reduced by identifying links behind shortened URLs, enhancing the safety and integrity of user data and systems.</t>
    </r>
  </si>
  <si>
    <r>
      <rPr>
        <sz val="11"/>
        <color rgb="FF000000"/>
        <rFont val="Calibri"/>
      </rPr>
      <t>This section enables extra protections to prevent email phishing due to links and external images. Specific settings for this control include identifying hidden malicious links behind shortened URLs, scanning linked images to find hidden malicious content, showing a warning prompt when clicking links to untrusted domains, and applying future recommended settings automatically.</t>
    </r>
    <r>
      <rPr>
        <sz val="11"/>
        <color rgb="FF000000"/>
        <rFont val="Calibri"/>
      </rPr>
      <t xml:space="preserve">
</t>
    </r>
    <r>
      <rPr>
        <sz val="11"/>
        <color rgb="FF000000"/>
        <rFont val="Calibri"/>
      </rPr>
      <t>A Google Workspace solution is not strictly required to satisfy this baseline control, but the solution selected by an agency should offer services comparable to those offered by Google.</t>
    </r>
  </si>
  <si>
    <r>
      <rPr>
        <b/>
        <sz val="11"/>
        <color rgb="FF000000"/>
        <rFont val="Calibri"/>
      </rPr>
      <t>Google Workspace Admin Help: Advanced phishing and malware protection</t>
    </r>
    <r>
      <rPr>
        <sz val="11"/>
        <color rgb="FF000000"/>
        <rFont val="Calibri"/>
      </rPr>
      <t xml:space="preserve">
</t>
    </r>
    <r>
      <rPr>
        <sz val="11"/>
        <color rgb="FF0000FF"/>
        <rFont val="Calibri"/>
      </rPr>
      <t>https://support.google.com/a/answer/9157861?product_name=UnuFlow&amp;hl=en&amp;visit_id=637831282628458101-2078141803&amp;rd=1&amp;src=supportwidget0&amp;hl=en#zippy=%2Cturn-on-attachment-protection</t>
    </r>
    <r>
      <rPr>
        <sz val="11"/>
        <color rgb="FF000000"/>
        <rFont val="Calibri"/>
      </rPr>
      <t xml:space="preserve">
</t>
    </r>
    <r>
      <rPr>
        <b/>
        <sz val="11"/>
        <color rgb="FF000000"/>
        <rFont val="Calibri"/>
      </rPr>
      <t>Google Workspace Admin Help: Set up rules to detect harmful attachments</t>
    </r>
    <r>
      <rPr>
        <sz val="11"/>
        <color rgb="FF000000"/>
        <rFont val="Calibri"/>
      </rPr>
      <t xml:space="preserve">
</t>
    </r>
    <r>
      <rPr>
        <sz val="11"/>
        <color rgb="FF0000FF"/>
        <rFont val="Calibri"/>
      </rPr>
      <t>https://support.google.com/a/answer/7676854?product_name=UnuFlow&amp;hl=en&amp;visit_id=637831464632988595-2408633144&amp;rd=1&amp;src=supportwidget0&amp;hl=en</t>
    </r>
    <r>
      <rPr>
        <sz val="11"/>
        <color rgb="FF000000"/>
        <rFont val="Calibri"/>
      </rPr>
      <t xml:space="preserve">
</t>
    </r>
    <r>
      <rPr>
        <b/>
        <sz val="11"/>
        <color rgb="FF000000"/>
        <rFont val="Calibri"/>
      </rPr>
      <t>Google Workspace Admin Help: Monitor the health of your Gmail settings</t>
    </r>
    <r>
      <rPr>
        <sz val="11"/>
        <color rgb="FF000000"/>
        <rFont val="Calibri"/>
      </rPr>
      <t xml:space="preserve">
</t>
    </r>
    <r>
      <rPr>
        <sz val="11"/>
        <color rgb="FF0000FF"/>
        <rFont val="Calibri"/>
      </rPr>
      <t>https://support.google.com/a/answer/7490901?product_name=UnuFlow&amp;hl=en&amp;visit_id=637831464698491311-452219641&amp;rd=1&amp;src=supportwidget0&amp;hl=en</t>
    </r>
    <r>
      <rPr>
        <sz val="11"/>
        <color rgb="FF000000"/>
        <rFont val="Calibri"/>
      </rPr>
      <t xml:space="preserve">
</t>
    </r>
    <r>
      <rPr>
        <b/>
        <sz val="11"/>
        <color rgb="FF000000"/>
        <rFont val="Calibri"/>
      </rPr>
      <t>CIS Google Workspace Foundations Benchmark</t>
    </r>
    <r>
      <rPr>
        <sz val="11"/>
        <color rgb="FF000000"/>
        <rFont val="Calibri"/>
      </rPr>
      <t xml:space="preserve">
</t>
    </r>
    <r>
      <rPr>
        <sz val="11"/>
        <color rgb="FF0000FF"/>
        <rFont val="Calibri"/>
      </rPr>
      <t>https://www.cisecurity.org/benchmark/google_workspace</t>
    </r>
  </si>
  <si>
    <t>GWS.GMAIL.6.2v0.6</t>
  </si>
  <si>
    <r>
      <rPr>
        <sz val="11"/>
        <color rgb="FF000000"/>
        <rFont val="Calibri"/>
      </rPr>
      <t>"Scan linked images" SHALL be enabled.</t>
    </r>
  </si>
  <si>
    <r>
      <rPr>
        <sz val="11"/>
        <color rgb="FF000000"/>
        <rFont val="Calibri"/>
      </rPr>
      <t>To configure the settings for Links and External Images Protection: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Links and external images</t>
    </r>
    <r>
      <rPr>
        <sz val="11"/>
        <color rgb="FF000000"/>
        <rFont val="Calibri"/>
      </rPr>
      <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Check the </t>
    </r>
    <r>
      <rPr>
        <b/>
        <sz val="11"/>
        <color rgb="FF000000"/>
        <rFont val="Calibri"/>
      </rPr>
      <t>Scan linked images</t>
    </r>
    <r>
      <rPr>
        <sz val="11"/>
        <color rgb="FF000000"/>
        <rFont val="Calibri"/>
      </rPr>
      <t xml:space="preserve"> checkbox.</t>
    </r>
  </si>
  <si>
    <r>
      <rPr>
        <sz val="11"/>
        <color rgb="FF000000"/>
        <rFont val="Calibri"/>
      </rPr>
      <t>Linked images in emails can contain malicious content, posing a security risk. By enabling the scanning of linked images, this risk can be reduced, enhancing the safety and integrity of user data and systems.</t>
    </r>
  </si>
  <si>
    <t>GWS.GMAIL.6.3v0.6</t>
  </si>
  <si>
    <r>
      <rPr>
        <sz val="11"/>
        <color rgb="FF000000"/>
        <rFont val="Calibri"/>
      </rPr>
      <t>"Show warning prompt for any click on links to untrusted domains" SHALL be enabled.</t>
    </r>
  </si>
  <si>
    <r>
      <rPr>
        <sz val="11"/>
        <color rgb="FF000000"/>
        <rFont val="Calibri"/>
      </rPr>
      <t>To configure the settings for Links and External Images Protection: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Links and external images</t>
    </r>
    <r>
      <rPr>
        <sz val="11"/>
        <color rgb="FF000000"/>
        <rFont val="Calibri"/>
      </rPr>
      <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Check the </t>
    </r>
    <r>
      <rPr>
        <b/>
        <sz val="11"/>
        <color rgb="FF000000"/>
        <rFont val="Calibri"/>
      </rPr>
      <t>Show warning prompt for any click on links to untrusted domains</t>
    </r>
    <r>
      <rPr>
        <sz val="11"/>
        <color rgb="FF000000"/>
        <rFont val="Calibri"/>
      </rPr>
      <t xml:space="preserve"> checkbox.</t>
    </r>
  </si>
  <si>
    <r>
      <rPr>
        <sz val="11"/>
        <color rgb="FF000000"/>
        <rFont val="Calibri"/>
      </rPr>
      <t>Clicking on links to unfamiliar domains can expose users to malicious content, posing a security risk. This risk can be reduced by enabling a warning prompt for any click on such links, enhancing the safety and integrity of user data and systems.</t>
    </r>
  </si>
  <si>
    <t>GWS.GMAIL.6.4v0.6</t>
  </si>
  <si>
    <r>
      <rPr>
        <sz val="11"/>
        <color rgb="FF000000"/>
        <rFont val="Calibri"/>
      </rPr>
      <t>Google SHOULD be allowed to automatically apply future recommended settings for links and external images.</t>
    </r>
  </si>
  <si>
    <r>
      <rPr>
        <sz val="11"/>
        <color rgb="FF000000"/>
        <rFont val="Calibri"/>
      </rPr>
      <t>To configure the settings for Links and External Images Protection: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Links and external images</t>
    </r>
    <r>
      <rPr>
        <sz val="11"/>
        <color rgb="FF000000"/>
        <rFont val="Calibri"/>
      </rPr>
      <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Check the </t>
    </r>
    <r>
      <rPr>
        <b/>
        <sz val="11"/>
        <color rgb="FF000000"/>
        <rFont val="Calibri"/>
      </rPr>
      <t>Apply future recommended settings automatically</t>
    </r>
    <r>
      <rPr>
        <sz val="11"/>
        <color rgb="FF000000"/>
        <rFont val="Calibri"/>
      </rPr>
      <t xml:space="preserve"> checkbox.</t>
    </r>
  </si>
  <si>
    <r>
      <rPr>
        <sz val="11"/>
        <color rgb="FF000000"/>
        <rFont val="Calibri"/>
      </rPr>
      <t>By enabling this feature, the system can automatically stay updated with the latest recommended security measures from Google, reducing the risk of security breaches and enhancing the safety and integrity of user data and systems.</t>
    </r>
  </si>
  <si>
    <t>GWS.GMAIL.6.5v0.6</t>
  </si>
  <si>
    <r>
      <rPr>
        <sz val="11"/>
        <color rgb="FF000000"/>
        <rFont val="Calibri"/>
      </rPr>
      <t>Any third-party or outside application selected for links and external images protection SHOULD offer services comparable to those offered by Google Workspace (GWS).</t>
    </r>
  </si>
  <si>
    <r>
      <rPr>
        <sz val="11"/>
        <color rgb="FF000000"/>
        <rFont val="Calibri"/>
      </rPr>
      <t>To configure the settings for Links and External Images Protection: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Links and external images</t>
    </r>
    <r>
      <rPr>
        <sz val="11"/>
        <color rgb="FF000000"/>
        <rFont val="Calibri"/>
      </rPr>
      <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1. No implementation steps for this policy</t>
    </r>
  </si>
  <si>
    <r>
      <rPr>
        <sz val="11"/>
        <color rgb="FF000000"/>
        <rFont val="Calibri"/>
      </rPr>
      <t>Using third-party or outside applications for links and external images protection that do not offer services comparable to those offered by GWS could potentially expose users to security risks. Using applications that offer comparable services enhances the safety and integrity of user data and systems.</t>
    </r>
  </si>
  <si>
    <t>Spoofing and Authentication Protection</t>
  </si>
  <si>
    <t>GWS.GMAIL.7.1v0.6</t>
  </si>
  <si>
    <r>
      <rPr>
        <sz val="11"/>
        <color rgb="FF000000"/>
        <rFont val="Calibri"/>
      </rPr>
      <t>"Protect against domain spoofing based on similar domain names" SHALL be enabled.</t>
    </r>
  </si>
  <si>
    <r>
      <rPr>
        <sz val="11"/>
        <color rgb="FF000000"/>
        <rFont val="Calibri"/>
      </rPr>
      <t>To configure the settings for Spoofing and Authentication Protection: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Spoofing and authentication</t>
    </r>
    <r>
      <rPr>
        <sz val="11"/>
        <color rgb="FF000000"/>
        <rFont val="Calibri"/>
      </rPr>
      <t>.</t>
    </r>
    <r>
      <rPr>
        <sz val="11"/>
        <color rgb="FF000000"/>
        <rFont val="Calibri"/>
      </rPr>
      <t xml:space="preserve">
</t>
    </r>
    <r>
      <rPr>
        <sz val="11"/>
        <color rgb="FF000000"/>
        <rFont val="Calibri"/>
      </rPr>
      <t>4. Follow steps for individual policies below.</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Check the </t>
    </r>
    <r>
      <rPr>
        <b/>
        <sz val="11"/>
        <color rgb="FF000000"/>
        <rFont val="Calibri"/>
      </rPr>
      <t>Protect against domain spoofing based on similar domain names</t>
    </r>
    <r>
      <rPr>
        <sz val="11"/>
        <color rgb="FF000000"/>
        <rFont val="Calibri"/>
      </rPr>
      <t xml:space="preserve"> checkbox.</t>
    </r>
  </si>
  <si>
    <r>
      <rPr>
        <sz val="11"/>
        <color rgb="FF000000"/>
        <rFont val="Calibri"/>
      </rPr>
      <t>Emails sent from domains that look similar to the user's domain can deceive users into interacting with malicious content, posing a security risk. Enabling protection against such spoofing can reduce this risk, enhancing the safety and integrity of user data and systems.</t>
    </r>
  </si>
  <si>
    <r>
      <rPr>
        <sz val="11"/>
        <color rgb="FF000000"/>
        <rFont val="Calibri"/>
      </rPr>
      <t>This control enables extra protections to prevent spoofing of a domain name, employee names, email pretending to be from a specific domain, and unauthenticated email from any domain. These messages can be kept in the inbox with a warning label (default), moved to spam, or quarantined.</t>
    </r>
    <r>
      <rPr>
        <sz val="11"/>
        <color rgb="FF000000"/>
        <rFont val="Calibri"/>
      </rPr>
      <t xml:space="preserve">
</t>
    </r>
    <r>
      <rPr>
        <sz val="11"/>
        <color rgb="FF000000"/>
        <rFont val="Calibri"/>
      </rPr>
      <t>A Google Workspace solution is not strictly required to satisfy this baseline control, but the solution selected by an agency should offer services comparable to those offered by Google.</t>
    </r>
  </si>
  <si>
    <t>GWS.GMAIL.7.2v0.6</t>
  </si>
  <si>
    <r>
      <rPr>
        <sz val="11"/>
        <color rgb="FF000000"/>
        <rFont val="Calibri"/>
      </rPr>
      <t>"Protect against spoofing of employee names" SHALL be enabled.</t>
    </r>
  </si>
  <si>
    <r>
      <rPr>
        <sz val="11"/>
        <color rgb="FF000000"/>
        <rFont val="Calibri"/>
      </rPr>
      <t>To configure the settings for Spoofing and Authentication Protection: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Spoofing and authentication</t>
    </r>
    <r>
      <rPr>
        <sz val="11"/>
        <color rgb="FF000000"/>
        <rFont val="Calibri"/>
      </rPr>
      <t>.</t>
    </r>
    <r>
      <rPr>
        <sz val="11"/>
        <color rgb="FF000000"/>
        <rFont val="Calibri"/>
      </rPr>
      <t xml:space="preserve">
</t>
    </r>
    <r>
      <rPr>
        <sz val="11"/>
        <color rgb="FF000000"/>
        <rFont val="Calibri"/>
      </rPr>
      <t>4. Follow steps for individual policies below.</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Check the </t>
    </r>
    <r>
      <rPr>
        <b/>
        <sz val="11"/>
        <color rgb="FF000000"/>
        <rFont val="Calibri"/>
      </rPr>
      <t>Protect against spoofing of employee names</t>
    </r>
    <r>
      <rPr>
        <sz val="11"/>
        <color rgb="FF000000"/>
        <rFont val="Calibri"/>
      </rPr>
      <t xml:space="preserve"> checkbox.</t>
    </r>
  </si>
  <si>
    <r>
      <rPr>
        <sz val="11"/>
        <color rgb="FF000000"/>
        <rFont val="Calibri"/>
      </rPr>
      <t>Spoofing of employee identities (e.g., CEO and IT staff) can deceive users into interacting with malicious content, posing a security risk. Enabling protection against such spoofing can reduce this risk, enhancing the safety and integrity of user data and systems.</t>
    </r>
  </si>
  <si>
    <t>GWS.GMAIL.7.3v0.6</t>
  </si>
  <si>
    <r>
      <rPr>
        <sz val="11"/>
        <color rgb="FF000000"/>
        <rFont val="Calibri"/>
      </rPr>
      <t>"Protect against inbound emails spoofing your domain" SHALL be enabled.</t>
    </r>
  </si>
  <si>
    <r>
      <rPr>
        <sz val="11"/>
        <color rgb="FF000000"/>
        <rFont val="Calibri"/>
      </rPr>
      <t>To configure the settings for Spoofing and Authentication Protection: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Spoofing and authentication</t>
    </r>
    <r>
      <rPr>
        <sz val="11"/>
        <color rgb="FF000000"/>
        <rFont val="Calibri"/>
      </rPr>
      <t>.</t>
    </r>
    <r>
      <rPr>
        <sz val="11"/>
        <color rgb="FF000000"/>
        <rFont val="Calibri"/>
      </rPr>
      <t xml:space="preserve">
</t>
    </r>
    <r>
      <rPr>
        <sz val="11"/>
        <color rgb="FF000000"/>
        <rFont val="Calibri"/>
      </rPr>
      <t>4. Follow steps for individual policies below.</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Check the </t>
    </r>
    <r>
      <rPr>
        <b/>
        <sz val="11"/>
        <color rgb="FF000000"/>
        <rFont val="Calibri"/>
      </rPr>
      <t>Protect against inbound emails spoofing your domain</t>
    </r>
    <r>
      <rPr>
        <sz val="11"/>
        <color rgb="FF000000"/>
        <rFont val="Calibri"/>
      </rPr>
      <t xml:space="preserve"> checkbox.</t>
    </r>
  </si>
  <si>
    <r>
      <rPr>
        <sz val="11"/>
        <color rgb="FF000000"/>
        <rFont val="Calibri"/>
      </rPr>
      <t>Inbound emails appearing to come from the user's domain can deceive users into interacting with malicious content, posing a security risk. This risk can be reduced by enabling protection against such spoofing, enhancing the safety and integrity of user data and systems.</t>
    </r>
  </si>
  <si>
    <t>GWS.GMAIL.7.4v0.6</t>
  </si>
  <si>
    <r>
      <rPr>
        <sz val="11"/>
        <color rgb="FF000000"/>
        <rFont val="Calibri"/>
      </rPr>
      <t>"Protect against any unauthenticated emails" SHALL be enabled.</t>
    </r>
  </si>
  <si>
    <r>
      <rPr>
        <sz val="11"/>
        <color rgb="FF000000"/>
        <rFont val="Calibri"/>
      </rPr>
      <t>To configure the settings for Spoofing and Authentication Protection: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Spoofing and authentication</t>
    </r>
    <r>
      <rPr>
        <sz val="11"/>
        <color rgb="FF000000"/>
        <rFont val="Calibri"/>
      </rPr>
      <t>.</t>
    </r>
    <r>
      <rPr>
        <sz val="11"/>
        <color rgb="FF000000"/>
        <rFont val="Calibri"/>
      </rPr>
      <t xml:space="preserve">
</t>
    </r>
    <r>
      <rPr>
        <sz val="11"/>
        <color rgb="FF000000"/>
        <rFont val="Calibri"/>
      </rPr>
      <t>4. Follow steps for individual policies below.</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Check the </t>
    </r>
    <r>
      <rPr>
        <b/>
        <sz val="11"/>
        <color rgb="FF000000"/>
        <rFont val="Calibri"/>
      </rPr>
      <t>Protect against any unauthenticated emails</t>
    </r>
    <r>
      <rPr>
        <sz val="11"/>
        <color rgb="FF000000"/>
        <rFont val="Calibri"/>
      </rPr>
      <t xml:space="preserve"> checkbox.</t>
    </r>
  </si>
  <si>
    <r>
      <rPr>
        <sz val="11"/>
        <color rgb="FF000000"/>
        <rFont val="Calibri"/>
      </rPr>
      <t>Unauthenticated emails can contain malicious content, posing a security risk. This risk can be reduced by enabling protection against such emails, enhancing the safety and integrity of user data and systems.</t>
    </r>
  </si>
  <si>
    <t>GWS.GMAIL.7.5v0.6</t>
  </si>
  <si>
    <r>
      <rPr>
        <sz val="11"/>
        <color rgb="FF000000"/>
        <rFont val="Calibri"/>
      </rPr>
      <t>"Protect your Groups from inbound emails spoofing your domain" SHALL be enabled.</t>
    </r>
  </si>
  <si>
    <r>
      <rPr>
        <sz val="11"/>
        <color rgb="FF000000"/>
        <rFont val="Calibri"/>
      </rPr>
      <t>To configure the settings for Spoofing and Authentication Protection: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Spoofing and authentication</t>
    </r>
    <r>
      <rPr>
        <sz val="11"/>
        <color rgb="FF000000"/>
        <rFont val="Calibri"/>
      </rPr>
      <t>.</t>
    </r>
    <r>
      <rPr>
        <sz val="11"/>
        <color rgb="FF000000"/>
        <rFont val="Calibri"/>
      </rPr>
      <t xml:space="preserve">
</t>
    </r>
    <r>
      <rPr>
        <sz val="11"/>
        <color rgb="FF000000"/>
        <rFont val="Calibri"/>
      </rPr>
      <t>4. Follow steps for individual policies below.</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Check the </t>
    </r>
    <r>
      <rPr>
        <b/>
        <sz val="11"/>
        <color rgb="FF000000"/>
        <rFont val="Calibri"/>
      </rPr>
      <t>Protect your groups from inbound emails spoofing your domain</t>
    </r>
    <r>
      <rPr>
        <sz val="11"/>
        <color rgb="FF000000"/>
        <rFont val="Calibri"/>
      </rPr>
      <t xml:space="preserve"> checkbox.</t>
    </r>
  </si>
  <si>
    <r>
      <rPr>
        <sz val="11"/>
        <color rgb="FF000000"/>
        <rFont val="Calibri"/>
      </rPr>
      <t>Inbound emails spoofing the user's domain can deceive users into interacting with malicious content, posing a security risk. This risk can be reduced by enabling protection against such spoofing, enhancing the safety and integrity of user data and systems.</t>
    </r>
  </si>
  <si>
    <t>GWS.GMAIL.7.6v0.6</t>
  </si>
  <si>
    <r>
      <rPr>
        <sz val="11"/>
        <color rgb="FF000000"/>
        <rFont val="Calibri"/>
      </rPr>
      <t>Emails flagged by SCuBA policies GWS.GMAIL.7.1 through GWS.GMAIL.7.5 SHALL NOT be kept in inbox.</t>
    </r>
  </si>
  <si>
    <r>
      <rPr>
        <sz val="11"/>
        <color rgb="FF000000"/>
        <rFont val="Calibri"/>
      </rPr>
      <t>To configure the settings for Spoofing and Authentication Protection: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Spoofing and authentication</t>
    </r>
    <r>
      <rPr>
        <sz val="11"/>
        <color rgb="FF000000"/>
        <rFont val="Calibri"/>
      </rPr>
      <t>.</t>
    </r>
    <r>
      <rPr>
        <sz val="11"/>
        <color rgb="FF000000"/>
        <rFont val="Calibri"/>
      </rPr>
      <t xml:space="preserve">
</t>
    </r>
    <r>
      <rPr>
        <sz val="11"/>
        <color rgb="FF000000"/>
        <rFont val="Calibri"/>
      </rPr>
      <t>4. Follow steps for individual policies below.</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1. Under each setting from Policy 7.1 through Policy 7.5, make sure either "Move email to spam" or "Quarantine" is selected.</t>
    </r>
  </si>
  <si>
    <r>
      <rPr>
        <sz val="11"/>
        <color rgb="FF000000"/>
        <rFont val="Calibri"/>
      </rPr>
      <t>Keeping emails flagged by spoofing and authentication controls in the inbox could potentially expose users to malicious content. Moving emails out of the inbox can reduce this risk, enhancing the safety and integrity of the user's data and systems.</t>
    </r>
  </si>
  <si>
    <t>GWS.GMAIL.7.7v0.6</t>
  </si>
  <si>
    <r>
      <rPr>
        <sz val="11"/>
        <color rgb="FF000000"/>
        <rFont val="Calibri"/>
      </rPr>
      <t>Google SHALL be allowed to automatically apply future recommended settings for spoofing and authentication.</t>
    </r>
  </si>
  <si>
    <r>
      <rPr>
        <sz val="11"/>
        <color rgb="FF000000"/>
        <rFont val="Calibri"/>
      </rPr>
      <t>To configure the settings for Spoofing and Authentication Protection: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Spoofing and authentication</t>
    </r>
    <r>
      <rPr>
        <sz val="11"/>
        <color rgb="FF000000"/>
        <rFont val="Calibri"/>
      </rPr>
      <t>.</t>
    </r>
    <r>
      <rPr>
        <sz val="11"/>
        <color rgb="FF000000"/>
        <rFont val="Calibri"/>
      </rPr>
      <t xml:space="preserve">
</t>
    </r>
    <r>
      <rPr>
        <sz val="11"/>
        <color rgb="FF000000"/>
        <rFont val="Calibri"/>
      </rPr>
      <t>4. Follow steps for individual policies below.</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Check the </t>
    </r>
    <r>
      <rPr>
        <b/>
        <sz val="11"/>
        <color rgb="FF000000"/>
        <rFont val="Calibri"/>
      </rPr>
      <t>Apply future recommended settings automatically</t>
    </r>
    <r>
      <rPr>
        <sz val="11"/>
        <color rgb="FF000000"/>
        <rFont val="Calibri"/>
      </rPr>
      <t xml:space="preserve"> checkbox.</t>
    </r>
  </si>
  <si>
    <t>GWS.GMAIL.7.8v0.6</t>
  </si>
  <si>
    <r>
      <rPr>
        <sz val="11"/>
        <color rgb="FF000000"/>
        <rFont val="Calibri"/>
      </rPr>
      <t>Any third-party or outside application selected for spoofing and authentication protection SHOULD offer services comparable to those offered by Google Workspace.</t>
    </r>
  </si>
  <si>
    <r>
      <rPr>
        <sz val="11"/>
        <color rgb="FF000000"/>
        <rFont val="Calibri"/>
      </rPr>
      <t>To configure the settings for Spoofing and Authentication Protection: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Safety -&gt; Spoofing and authentication</t>
    </r>
    <r>
      <rPr>
        <sz val="11"/>
        <color rgb="FF000000"/>
        <rFont val="Calibri"/>
      </rPr>
      <t>.</t>
    </r>
    <r>
      <rPr>
        <sz val="11"/>
        <color rgb="FF000000"/>
        <rFont val="Calibri"/>
      </rPr>
      <t xml:space="preserve">
</t>
    </r>
    <r>
      <rPr>
        <sz val="11"/>
        <color rgb="FF000000"/>
        <rFont val="Calibri"/>
      </rPr>
      <t>4. Follow steps for individual policies below.</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1. There is no implementation for this policy.</t>
    </r>
  </si>
  <si>
    <r>
      <rPr>
        <sz val="11"/>
        <color rgb="FF000000"/>
        <rFont val="Calibri"/>
      </rPr>
      <t>Using third-party or outside applications for spoofing and authentication protection that do not offer services comparable to those offered by GWS could potentially expose users to security risks. Using applications that offer comparable services reduces this risk, enhancing the safety and integrity of user data and systems.</t>
    </r>
  </si>
  <si>
    <t>User Email Uploads</t>
  </si>
  <si>
    <t>GWS.GMAIL.8.1v0.6</t>
  </si>
  <si>
    <r>
      <rPr>
        <sz val="11"/>
        <color rgb="FF000000"/>
        <rFont val="Calibri"/>
      </rPr>
      <t>User email uploads SHALL be disabled to protect against unauthorized files being introduced into the secured environment.</t>
    </r>
  </si>
  <si>
    <r>
      <rPr>
        <sz val="11"/>
        <color rgb="FF000000"/>
        <rFont val="Calibri"/>
      </rPr>
      <t>To configure the settings for User Email Uploads: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Setup -&gt; User email uploads</t>
    </r>
    <r>
      <rPr>
        <sz val="11"/>
        <color rgb="FF000000"/>
        <rFont val="Calibri"/>
      </rPr>
      <t>.</t>
    </r>
    <r>
      <rPr>
        <sz val="11"/>
        <color rgb="FF000000"/>
        <rFont val="Calibri"/>
      </rPr>
      <t xml:space="preserve">
</t>
    </r>
    <r>
      <rPr>
        <sz val="11"/>
        <color rgb="FF000000"/>
        <rFont val="Calibri"/>
      </rPr>
      <t xml:space="preserve">4. Uncheck the </t>
    </r>
    <r>
      <rPr>
        <b/>
        <sz val="11"/>
        <color rgb="FF000000"/>
        <rFont val="Calibri"/>
      </rPr>
      <t>Show users the option to import mail and contacts from Yahoo!, Hotmail, AOL, or other webmail or POP3 accounts from the Gmail settings page</t>
    </r>
    <r>
      <rPr>
        <sz val="11"/>
        <color rgb="FF000000"/>
        <rFont val="Calibri"/>
      </rPr>
      <t xml:space="preserve"> checkbox.</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</si>
  <si>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Allowing user email uploads could potentially introduce unauthorized or malicious files into the secured environment, posing a security risk. By disabling user email uploads, this risk can be reduced, enhancing the safety and integrity of user data and systems.</t>
    </r>
  </si>
  <si>
    <r>
      <rPr>
        <sz val="11"/>
        <color rgb="FF000000"/>
        <rFont val="Calibri"/>
      </rPr>
      <t>This section addresses a feature that enables users to import their email and contacts from non-Google webmail accounts such as Yahoo!, Hotmail, or AOL.</t>
    </r>
  </si>
  <si>
    <r>
      <rPr>
        <b/>
        <sz val="11"/>
        <color rgb="FF000000"/>
        <rFont val="Calibri"/>
      </rPr>
      <t>Google Workspace Admin Help: Advanced Gmail settings reference for admins</t>
    </r>
    <r>
      <rPr>
        <sz val="11"/>
        <color rgb="FF000000"/>
        <rFont val="Calibri"/>
      </rPr>
      <t xml:space="preserve">
</t>
    </r>
    <r>
      <rPr>
        <sz val="11"/>
        <color rgb="FF0000FF"/>
        <rFont val="Calibri"/>
      </rPr>
      <t>https://support.google.com/a/answer/2786758#zippy=%2Csetup-settings</t>
    </r>
    <r>
      <rPr>
        <sz val="11"/>
        <color rgb="FF000000"/>
        <rFont val="Calibri"/>
      </rPr>
      <t xml:space="preserve">
</t>
    </r>
    <r>
      <rPr>
        <b/>
        <sz val="11"/>
        <color rgb="FF000000"/>
        <rFont val="Calibri"/>
      </rPr>
      <t>Google Workspace Admin Help: Turn imports from webmail hosts on or off</t>
    </r>
    <r>
      <rPr>
        <sz val="11"/>
        <color rgb="FF000000"/>
        <rFont val="Calibri"/>
      </rPr>
      <t xml:space="preserve">
</t>
    </r>
    <r>
      <rPr>
        <sz val="11"/>
        <color rgb="FF0000FF"/>
        <rFont val="Calibri"/>
      </rPr>
      <t>https://support.google.com/a/answer/2525613?product_name=UnuFlow&amp;hl=en&amp;visit_id=637832286168108072-385761693&amp;rd=1&amp;src=supportwidget0&amp;hl=en</t>
    </r>
  </si>
  <si>
    <t>POP and IMAP Access for Users</t>
  </si>
  <si>
    <t>GWS.GMAIL.9.1v0.6</t>
  </si>
  <si>
    <r>
      <rPr>
        <sz val="11"/>
        <color rgb="FF000000"/>
        <rFont val="Calibri"/>
      </rPr>
      <t>POP and IMAP access SHALL be disabled to protect sensitive agency or organization emails from being accessed through legacy applications or other third-party mail clients.</t>
    </r>
  </si>
  <si>
    <r>
      <rPr>
        <sz val="11"/>
        <color rgb="FF000000"/>
        <rFont val="Calibri"/>
      </rPr>
      <t>To configure the settings for POP and IMAP access: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End User Access -&gt; POP and IMAP access</t>
    </r>
    <r>
      <rPr>
        <sz val="11"/>
        <color rgb="FF000000"/>
        <rFont val="Calibri"/>
      </rPr>
      <t>.</t>
    </r>
    <r>
      <rPr>
        <sz val="11"/>
        <color rgb="FF000000"/>
        <rFont val="Calibri"/>
      </rPr>
      <t xml:space="preserve">
</t>
    </r>
    <r>
      <rPr>
        <sz val="11"/>
        <color rgb="FF000000"/>
        <rFont val="Calibri"/>
      </rPr>
      <t xml:space="preserve">4. Uncheck the </t>
    </r>
    <r>
      <rPr>
        <b/>
        <sz val="11"/>
        <color rgb="FF000000"/>
        <rFont val="Calibri"/>
      </rPr>
      <t>Enable IMAP access for all users</t>
    </r>
    <r>
      <rPr>
        <sz val="11"/>
        <color rgb="FF000000"/>
        <rFont val="Calibri"/>
      </rPr>
      <t xml:space="preserve"> checkbox.</t>
    </r>
    <r>
      <rPr>
        <sz val="11"/>
        <color rgb="FF000000"/>
        <rFont val="Calibri"/>
      </rPr>
      <t xml:space="preserve">
</t>
    </r>
    <r>
      <rPr>
        <sz val="11"/>
        <color rgb="FF000000"/>
        <rFont val="Calibri"/>
      </rPr>
      <t xml:space="preserve">5. Uncheck the </t>
    </r>
    <r>
      <rPr>
        <b/>
        <sz val="11"/>
        <color rgb="FF000000"/>
        <rFont val="Calibri"/>
      </rPr>
      <t>Enable POP access for all users</t>
    </r>
    <r>
      <rPr>
        <sz val="11"/>
        <color rgb="FF000000"/>
        <rFont val="Calibri"/>
      </rPr>
      <t xml:space="preserve"> checkbox.</t>
    </r>
    <r>
      <rPr>
        <sz val="11"/>
        <color rgb="FF000000"/>
        <rFont val="Calibri"/>
      </rPr>
      <t xml:space="preserve">
</t>
    </r>
    <r>
      <rPr>
        <sz val="11"/>
        <color rgb="FF000000"/>
        <rFont val="Calibri"/>
      </rPr>
      <t xml:space="preserve">6. Select </t>
    </r>
    <r>
      <rPr>
        <b/>
        <sz val="11"/>
        <color rgb="FF000000"/>
        <rFont val="Calibri"/>
      </rPr>
      <t>Save</t>
    </r>
    <r>
      <rPr>
        <sz val="11"/>
        <color rgb="FF000000"/>
        <rFont val="Calibri"/>
      </rPr>
      <t>.</t>
    </r>
  </si>
  <si>
    <r>
      <rPr>
        <sz val="11"/>
        <color rgb="FF000000"/>
        <rFont val="Calibri"/>
      </rPr>
      <t>Enabling POP and IMAP access could potentially expose sensitive agency or organization emails to unauthorized access through legacy applications or third-party mail clients, posing a security risk. This risk can be reduced by disabling POP and IMAP access, enhancing the safety and integrity of user data and systems.</t>
    </r>
  </si>
  <si>
    <r>
      <rPr>
        <sz val="11"/>
        <color rgb="FF000000"/>
        <rFont val="Calibri"/>
      </rPr>
      <t>This section determines whether users have POP3 and IMAP access. Doing so allows the user to access Gmail emails from outside the context of protected/hardened environments and from older versions of Gmail applications or other third-party mail applications.</t>
    </r>
  </si>
  <si>
    <r>
      <rPr>
        <b/>
        <sz val="11"/>
        <color rgb="FF000000"/>
        <rFont val="Calibri"/>
      </rPr>
      <t>Google Workspace Admin Help: Turn POP and IMAP on and off for users</t>
    </r>
    <r>
      <rPr>
        <sz val="11"/>
        <color rgb="FF000000"/>
        <rFont val="Calibri"/>
      </rPr>
      <t xml:space="preserve">
</t>
    </r>
    <r>
      <rPr>
        <sz val="11"/>
        <color rgb="FF0000FF"/>
        <rFont val="Calibri"/>
      </rPr>
      <t>https://support.google.com/a/answer/105694?hl=en</t>
    </r>
  </si>
  <si>
    <t>Google Workspace Sync</t>
  </si>
  <si>
    <t>GWS.GMAIL.10.1v0.6</t>
  </si>
  <si>
    <r>
      <rPr>
        <sz val="11"/>
        <color rgb="FF000000"/>
        <rFont val="Calibri"/>
      </rPr>
      <t>Google Workspace Sync SHOULD be disabled.</t>
    </r>
  </si>
  <si>
    <r>
      <rPr>
        <sz val="11"/>
        <color rgb="FF000000"/>
        <rFont val="Calibri"/>
      </rPr>
      <t>To configure the settings for Google Workspace Sync:</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End User Access -&gt; Google Workspace Sync</t>
    </r>
    <r>
      <rPr>
        <sz val="11"/>
        <color rgb="FF000000"/>
        <rFont val="Calibri"/>
      </rPr>
      <t>.</t>
    </r>
    <r>
      <rPr>
        <sz val="11"/>
        <color rgb="FF000000"/>
        <rFont val="Calibri"/>
      </rPr>
      <t xml:space="preserve">
</t>
    </r>
    <r>
      <rPr>
        <sz val="11"/>
        <color rgb="FF000000"/>
        <rFont val="Calibri"/>
      </rPr>
      <t xml:space="preserve">4. Uncheck the </t>
    </r>
    <r>
      <rPr>
        <b/>
        <sz val="11"/>
        <color rgb="FF000000"/>
        <rFont val="Calibri"/>
      </rPr>
      <t>Enable Google Workspace Sync for Microsoft Outlook for my users</t>
    </r>
    <r>
      <rPr>
        <sz val="11"/>
        <color rgb="FF000000"/>
        <rFont val="Calibri"/>
      </rPr>
      <t xml:space="preserve"> checkbox.</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</si>
  <si>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Enabling Google Workspace Sync could potentially expose sensitive agency or organization data to unauthorized access or loss, posing a security risk. This risk can be reduced by disabling Google Workspace Sync, enhancing the safety and integrity of user data and systems.</t>
    </r>
  </si>
  <si>
    <r>
      <rPr>
        <sz val="11"/>
        <color rgb="FF000000"/>
        <rFont val="Calibri"/>
      </rPr>
      <t>This section determines whether Google Workspace Sync allows data synchronization between Google Workspace and Microsoft Outlook. The data includes email, calendar, and contacts. Data synchronizes each time users start Outlook. This is an additional plugin that must be downloaded.</t>
    </r>
  </si>
  <si>
    <r>
      <rPr>
        <b/>
        <sz val="11"/>
        <color rgb="FF000000"/>
        <rFont val="Calibri"/>
      </rPr>
      <t>Google Workspace Sync for Microsoft Outlook</t>
    </r>
    <r>
      <rPr>
        <sz val="11"/>
        <color rgb="FF000000"/>
        <rFont val="Calibri"/>
      </rPr>
      <t xml:space="preserve">
</t>
    </r>
    <r>
      <rPr>
        <sz val="11"/>
        <color rgb="FF0000FF"/>
        <rFont val="Calibri"/>
      </rPr>
      <t>https://tools.google.com/dlpage/gssmo</t>
    </r>
  </si>
  <si>
    <t>Automatic Forwarding</t>
  </si>
  <si>
    <t>GWS.GMAIL.11.1v0.6</t>
  </si>
  <si>
    <r>
      <rPr>
        <sz val="11"/>
        <color rgb="FF000000"/>
        <rFont val="Calibri"/>
      </rPr>
      <t>Automatic forwarding SHOULD be disabled, especially to external domains.</t>
    </r>
  </si>
  <si>
    <r>
      <rPr>
        <sz val="11"/>
        <color rgb="FF000000"/>
        <rFont val="Calibri"/>
      </rPr>
      <t>To configure the settings for Automatic Forwarding:</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End User Access -&gt; Automatic forwarding</t>
    </r>
    <r>
      <rPr>
        <sz val="11"/>
        <color rgb="FF000000"/>
        <rFont val="Calibri"/>
      </rPr>
      <t>.</t>
    </r>
    <r>
      <rPr>
        <sz val="11"/>
        <color rgb="FF000000"/>
        <rFont val="Calibri"/>
      </rPr>
      <t xml:space="preserve">
</t>
    </r>
    <r>
      <rPr>
        <sz val="11"/>
        <color rgb="FF000000"/>
        <rFont val="Calibri"/>
      </rPr>
      <t xml:space="preserve">4. Uncheck the </t>
    </r>
    <r>
      <rPr>
        <b/>
        <sz val="11"/>
        <color rgb="FF000000"/>
        <rFont val="Calibri"/>
      </rPr>
      <t>Allow users to automatically forward incoming email to another address</t>
    </r>
    <r>
      <rPr>
        <sz val="11"/>
        <color rgb="FF000000"/>
        <rFont val="Calibri"/>
      </rPr>
      <t xml:space="preserve"> checkbox.</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</si>
  <si>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By enabling automatic forwarding, especially to external domains, threat actors could gain persistent access to a victim's email, potentially exposing sensitive agency or organization emails to unauthorized access or loss. This risk can be reduced by disabling automatic forwarding, enhancing the safety and integrity of user data and systems.</t>
    </r>
  </si>
  <si>
    <r>
      <rPr>
        <sz val="11"/>
        <color rgb="FF000000"/>
        <rFont val="Calibri"/>
      </rPr>
      <t>This section determines whether emails can be automatically forwarded from a user's inbox to another of their choosing, possibly to external domains.</t>
    </r>
  </si>
  <si>
    <r>
      <rPr>
        <b/>
        <sz val="11"/>
        <color rgb="FF000000"/>
        <rFont val="Calibri"/>
      </rPr>
      <t>Google Workspace Admin Help: Disable automatic forwarding</t>
    </r>
    <r>
      <rPr>
        <sz val="11"/>
        <color rgb="FF000000"/>
        <rFont val="Calibri"/>
      </rPr>
      <t xml:space="preserve">
</t>
    </r>
    <r>
      <rPr>
        <sz val="11"/>
        <color rgb="FF0000FF"/>
        <rFont val="Calibri"/>
      </rPr>
      <t>https://support.google.com/a/answer/2491924?hl=en</t>
    </r>
  </si>
  <si>
    <t>Per-user Outbound Gateways</t>
  </si>
  <si>
    <t>GWS.GMAIL.12.1v0.6</t>
  </si>
  <si>
    <r>
      <rPr>
        <sz val="11"/>
        <color rgb="FF000000"/>
        <rFont val="Calibri"/>
      </rPr>
      <t>Using a per-user outbound gateway that is a mail server other than the Google Workspace (GWS) mail servers SHALL be disabled.</t>
    </r>
  </si>
  <si>
    <r>
      <rPr>
        <sz val="11"/>
        <color rgb="FF000000"/>
        <rFont val="Calibri"/>
      </rPr>
      <t>To configure the settings for Per-user Outbound Gateways: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End User Access -&gt; Allow per-user outbound gateways</t>
    </r>
    <r>
      <rPr>
        <sz val="11"/>
        <color rgb="FF000000"/>
        <rFont val="Calibri"/>
      </rPr>
      <t>.</t>
    </r>
    <r>
      <rPr>
        <sz val="11"/>
        <color rgb="FF000000"/>
        <rFont val="Calibri"/>
      </rPr>
      <t xml:space="preserve">
</t>
    </r>
    <r>
      <rPr>
        <sz val="11"/>
        <color rgb="FF000000"/>
        <rFont val="Calibri"/>
      </rPr>
      <t xml:space="preserve">4. Uncheck the </t>
    </r>
    <r>
      <rPr>
        <b/>
        <sz val="11"/>
        <color rgb="FF000000"/>
        <rFont val="Calibri"/>
      </rPr>
      <t>Allow users to send mail through an external SMTP server when configuring a "from" address hosted outside your email domain</t>
    </r>
    <r>
      <rPr>
        <sz val="11"/>
        <color rgb="FF000000"/>
        <rFont val="Calibri"/>
      </rPr>
      <t xml:space="preserve"> checkbox.</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</si>
  <si>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Using a per-user outbound gateway that is a mail server other than the GWS mail servers could potentially expose sensitive agency or organization emails to unauthorized access or loss, posing a security risk. This risk can be reduced by disabling this feature, enhancing the safety and integrity of user data and systems.</t>
    </r>
  </si>
  <si>
    <r>
      <rPr>
        <sz val="11"/>
        <color rgb="FF000000"/>
        <rFont val="Calibri"/>
      </rPr>
      <t>This section determines whether outgoing mail is delivered only through the Google Workspace mail servers or another specified external SMTP server. With this setting, a user can choose which email address displays in the "From" field.</t>
    </r>
  </si>
  <si>
    <r>
      <rPr>
        <b/>
        <sz val="11"/>
        <color rgb="FF000000"/>
        <rFont val="Calibri"/>
      </rPr>
      <t>Google Workspace Admin Help: Allow per-user outbound gateways</t>
    </r>
    <r>
      <rPr>
        <sz val="11"/>
        <color rgb="FF000000"/>
        <rFont val="Calibri"/>
      </rPr>
      <t xml:space="preserve">
</t>
    </r>
    <r>
      <rPr>
        <sz val="11"/>
        <color rgb="FF0000FF"/>
        <rFont val="Calibri"/>
      </rPr>
      <t>https://support.google.com/a/answer/176054?hl=en#zippy=%2Cwhy-youd-disallow-use-of-an-outbound-gateway%2Cwhy-youd-allow-use-of-an-outbound-gateway</t>
    </r>
  </si>
  <si>
    <t>Unintended External Reply Warning</t>
  </si>
  <si>
    <t>GWS.GMAIL.13.1v0.6</t>
  </si>
  <si>
    <r>
      <rPr>
        <sz val="11"/>
        <color rgb="FF000000"/>
        <rFont val="Calibri"/>
      </rPr>
      <t>Unintended external reply warnings SHALL be enabled.</t>
    </r>
  </si>
  <si>
    <r>
      <rPr>
        <sz val="11"/>
        <color rgb="FF000000"/>
        <rFont val="Calibri"/>
      </rPr>
      <t>To configure the settings to warn users of external recipients: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End User Access -&gt; Warn for external recipients</t>
    </r>
    <r>
      <rPr>
        <sz val="11"/>
        <color rgb="FF000000"/>
        <rFont val="Calibri"/>
      </rPr>
      <t>.</t>
    </r>
    <r>
      <rPr>
        <sz val="11"/>
        <color rgb="FF000000"/>
        <rFont val="Calibri"/>
      </rPr>
      <t xml:space="preserve">
</t>
    </r>
    <r>
      <rPr>
        <sz val="11"/>
        <color rgb="FF000000"/>
        <rFont val="Calibri"/>
      </rPr>
      <t xml:space="preserve">4. Check the </t>
    </r>
    <r>
      <rPr>
        <b/>
        <sz val="11"/>
        <color rgb="FF000000"/>
        <rFont val="Calibri"/>
      </rPr>
      <t>Highlight any external recipients in a conversation. Warn users before they reply to email with external recipients who aren't in their contacts</t>
    </r>
    <r>
      <rPr>
        <sz val="11"/>
        <color rgb="FF000000"/>
        <rFont val="Calibri"/>
      </rPr>
      <t xml:space="preserve"> checkbox.</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</si>
  <si>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Unintended external reply warnings can help reduce the risk of exposing sensitive information in replies to external messages. Enabling these warnings reminds users to treat external messages with caution, reducing this risk and enhancing the safety and integrity of user data and systems.</t>
    </r>
  </si>
  <si>
    <r>
      <rPr>
        <sz val="11"/>
        <color rgb="FF000000"/>
        <rFont val="Calibri"/>
      </rPr>
      <t>This section determines whether users are prompted with a warning for messages that include external recipients (users with emails addresses that are outside of your organization). However, the warning is not shown if the external recipient is in the organization's Directory, personal Contacts, or other Contacts; or if a secondary domain or domain alias address is used.</t>
    </r>
  </si>
  <si>
    <r>
      <rPr>
        <b/>
        <sz val="11"/>
        <color rgb="FF000000"/>
        <rFont val="Calibri"/>
      </rPr>
      <t>Google Workspace Admin Help: Control Gmail external recipient warnings</t>
    </r>
    <r>
      <rPr>
        <sz val="11"/>
        <color rgb="FF000000"/>
        <rFont val="Calibri"/>
      </rPr>
      <t xml:space="preserve">
</t>
    </r>
    <r>
      <rPr>
        <sz val="11"/>
        <color rgb="FF0000FF"/>
        <rFont val="Calibri"/>
      </rPr>
      <t>https://support.google.com/a/answer/7380041?amp;ref_topic=9974443&amp;product_name=UnuFlow&amp;hl=en&amp;ref_topic=9974443&amp;visit_id=637832389706060412-548862041&amp;rd=1&amp;src=supportwidget0&amp;hl=en</t>
    </r>
    <r>
      <rPr>
        <sz val="11"/>
        <color rgb="FF000000"/>
        <rFont val="Calibri"/>
      </rPr>
      <t xml:space="preserve">
</t>
    </r>
    <r>
      <rPr>
        <b/>
        <sz val="11"/>
        <color rgb="FF000000"/>
        <rFont val="Calibri"/>
      </rPr>
      <t>Capacity Enhancement Guide Counter-Phishing Recommendations for Federal Agencies | CISA</t>
    </r>
    <r>
      <rPr>
        <sz val="11"/>
        <color rgb="FF000000"/>
        <rFont val="Calibri"/>
      </rPr>
      <t xml:space="preserve">
</t>
    </r>
    <r>
      <rPr>
        <sz val="11"/>
        <color rgb="FF0000FF"/>
        <rFont val="Calibri"/>
      </rPr>
      <t>https://www.cisa.gov/sites/default/files/publications/Capacity_Enhancement_Guide-Counter-Phishing_Recommendations_for_Federal_Agencies.pdf</t>
    </r>
    <r>
      <rPr>
        <sz val="11"/>
        <color rgb="FF000000"/>
        <rFont val="Calibri"/>
      </rPr>
      <t xml:space="preserve">
</t>
    </r>
    <r>
      <rPr>
        <b/>
        <sz val="11"/>
        <color rgb="FF000000"/>
        <rFont val="Calibri"/>
      </rPr>
      <t>Actions to Counter Email-Based Attacks on Election-Related Entities | CISA</t>
    </r>
    <r>
      <rPr>
        <sz val="11"/>
        <color rgb="FF000000"/>
        <rFont val="Calibri"/>
      </rPr>
      <t xml:space="preserve">
</t>
    </r>
    <r>
      <rPr>
        <sz val="11"/>
        <color rgb="FF0000FF"/>
        <rFont val="Calibri"/>
      </rPr>
      <t>https://www.cisa.gov/sites/default/files/publications/CISA_Insights_Actions_to_Counter_Email-Based_Attacks_on_Election-Related_S508C.pdf</t>
    </r>
  </si>
  <si>
    <t>Email Allowlist</t>
  </si>
  <si>
    <t>GWS.GMAIL.14.1v0.6</t>
  </si>
  <si>
    <r>
      <rPr>
        <sz val="11"/>
        <color rgb="FF000000"/>
        <rFont val="Calibri"/>
      </rPr>
      <t>An email allowlist SHOULD not be implemented.</t>
    </r>
  </si>
  <si>
    <r>
      <rPr>
        <sz val="11"/>
        <color rgb="FF000000"/>
        <rFont val="Calibri"/>
      </rPr>
      <t>To configure the settings for Email Allowlists: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Spam, phishing, and malware -&gt; Email allowlist</t>
    </r>
    <r>
      <rPr>
        <sz val="11"/>
        <color rgb="FF000000"/>
        <rFont val="Calibri"/>
      </rPr>
      <t>.</t>
    </r>
    <r>
      <rPr>
        <sz val="11"/>
        <color rgb="FF000000"/>
        <rFont val="Calibri"/>
      </rPr>
      <t xml:space="preserve">
</t>
    </r>
    <r>
      <rPr>
        <sz val="11"/>
        <color rgb="FF000000"/>
        <rFont val="Calibri"/>
      </rPr>
      <t xml:space="preserve">4. Under the </t>
    </r>
    <r>
      <rPr>
        <b/>
        <sz val="11"/>
        <color rgb="FF000000"/>
        <rFont val="Calibri"/>
      </rPr>
      <t>Enter the IP addresses for your email allowlist</t>
    </r>
    <r>
      <rPr>
        <sz val="11"/>
        <color rgb="FF000000"/>
        <rFont val="Calibri"/>
      </rPr>
      <t xml:space="preserve"> field, ensure </t>
    </r>
    <r>
      <rPr>
        <b/>
        <sz val="11"/>
        <color rgb="FF000000"/>
        <rFont val="Calibri"/>
      </rPr>
      <t>no IP addresses</t>
    </r>
    <r>
      <rPr>
        <sz val="11"/>
        <color rgb="FF000000"/>
        <rFont val="Calibri"/>
      </rPr>
      <t xml:space="preserve"> are listed.</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</si>
  <si>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Implementing an email allowlist could potentially expose users to security risks as allowlisted senders bypass important security mechanisms, including spam filtering and sender authentication checks. This risk can be reduced by not implementing an allowlist, enhancing the safety and integrity of the user data and systems.</t>
    </r>
  </si>
  <si>
    <r>
      <rPr>
        <sz val="11"/>
        <color rgb="FF000000"/>
        <rFont val="Calibri"/>
      </rPr>
      <t>This section determines whether an email allowlist allows for messages from certain IP addresses to not be marked as spam by Gmail. However, if implemented, emails from these senders will bypass important security mechanisms, such as SPF, DKIM, and DMARC.</t>
    </r>
  </si>
  <si>
    <r>
      <rPr>
        <b/>
        <sz val="11"/>
        <color rgb="FF000000"/>
        <rFont val="Calibri"/>
      </rPr>
      <t>Google Workspace Admin Help: Add IP addresses to allowlists in Gmail</t>
    </r>
    <r>
      <rPr>
        <sz val="11"/>
        <color rgb="FF000000"/>
        <rFont val="Calibri"/>
      </rPr>
      <t xml:space="preserve">
</t>
    </r>
    <r>
      <rPr>
        <sz val="11"/>
        <color rgb="FF0000FF"/>
        <rFont val="Calibri"/>
      </rPr>
      <t>https://support.google.com/a/answer/60751?product_name=UnuFlow&amp;hl=en&amp;visit_id=637832433423162856-2822445044&amp;rd=1&amp;src=supportwidget0&amp;hl=en</t>
    </r>
  </si>
  <si>
    <t>Enhanced Pre-Delivery Message Scanning</t>
  </si>
  <si>
    <t>GWS.GMAIL.15.1v0.6</t>
  </si>
  <si>
    <r>
      <rPr>
        <sz val="11"/>
        <color rgb="FF000000"/>
        <rFont val="Calibri"/>
      </rPr>
      <t>Enhanced pre-delivery message scanning SHALL be enabled to prevent phishing.</t>
    </r>
  </si>
  <si>
    <r>
      <rPr>
        <sz val="11"/>
        <color rgb="FF000000"/>
        <rFont val="Calibri"/>
      </rPr>
      <t>To configure the settings for Enhanced Pre-Delivery Message Scanning:</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Spam, phishing, and malware -&gt; Enhanced pre-delivery message scanning</t>
    </r>
    <r>
      <rPr>
        <sz val="11"/>
        <color rgb="FF000000"/>
        <rFont val="Calibri"/>
      </rPr>
      <t>.</t>
    </r>
    <r>
      <rPr>
        <sz val="11"/>
        <color rgb="FF000000"/>
        <rFont val="Calibri"/>
      </rPr>
      <t xml:space="preserve">
</t>
    </r>
    <r>
      <rPr>
        <sz val="11"/>
        <color rgb="FF000000"/>
        <rFont val="Calibri"/>
      </rPr>
      <t xml:space="preserve">4. Check the </t>
    </r>
    <r>
      <rPr>
        <b/>
        <sz val="11"/>
        <color rgb="FF000000"/>
        <rFont val="Calibri"/>
      </rPr>
      <t>Enables improved detection of suspicious content prior to delivery</t>
    </r>
    <r>
      <rPr>
        <sz val="11"/>
        <color rgb="FF000000"/>
        <rFont val="Calibri"/>
      </rPr>
      <t xml:space="preserve"> checkbox.</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</si>
  <si>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Without enhanced pre-delivery message scanning, users may be exposed to phishing attempts, posing a security risk. By enabling this feature, potential phishing emails can be identified and blocked before reaching the user, reducing this risk and enhancing the safety and integrity of user data and systems.</t>
    </r>
  </si>
  <si>
    <r>
      <rPr>
        <sz val="11"/>
        <color rgb="FF000000"/>
        <rFont val="Calibri"/>
      </rPr>
      <t>This section determines whether Gmail can screen and identify suspicious content that may be phishing attempts. In doing so, Google can either show a warning or move the email to Spam, but email delivery will experience a short delay due to the additional checks.</t>
    </r>
    <r>
      <rPr>
        <sz val="11"/>
        <color rgb="FF000000"/>
        <rFont val="Calibri"/>
      </rPr>
      <t xml:space="preserve">
</t>
    </r>
    <r>
      <rPr>
        <sz val="11"/>
        <color rgb="FF000000"/>
        <rFont val="Calibri"/>
      </rPr>
      <t>A Google Workspace solution is not strictly required to satisfy this baseline control, but the solution selected by an agency should offer services comparable to those offered by Google.</t>
    </r>
  </si>
  <si>
    <r>
      <rPr>
        <b/>
        <sz val="11"/>
        <color rgb="FF000000"/>
        <rFont val="Calibri"/>
      </rPr>
      <t>Google Workspace Admin Help: Help prevent phishing with pre-delivery message scanning</t>
    </r>
    <r>
      <rPr>
        <sz val="11"/>
        <color rgb="FF000000"/>
        <rFont val="Calibri"/>
      </rPr>
      <t xml:space="preserve">
</t>
    </r>
    <r>
      <rPr>
        <sz val="11"/>
        <color rgb="FF0000FF"/>
        <rFont val="Calibri"/>
      </rPr>
      <t>https://support.google.com/a/answer/7380368?product_name=UnuFlow&amp;hl=en&amp;visit_id=637835839970922069-4253681586&amp;rd=1&amp;src=supportwidget0&amp;hl=en</t>
    </r>
  </si>
  <si>
    <t>GWS.GMAIL.15.2v0.6</t>
  </si>
  <si>
    <r>
      <rPr>
        <sz val="11"/>
        <color rgb="FF000000"/>
        <rFont val="Calibri"/>
      </rPr>
      <t>Any third-party or outside application selected for enhanced pre-delivery message scanning SHOULD offer services comparable to those offered by Google Workspace.</t>
    </r>
  </si>
  <si>
    <r>
      <rPr>
        <sz val="11"/>
        <color rgb="FF000000"/>
        <rFont val="Calibri"/>
      </rPr>
      <t>To configure the settings for Enhanced Pre-Delivery Message Scanning:</t>
    </r>
    <r>
      <rPr>
        <sz val="11"/>
        <color rgb="FF000000"/>
        <rFont val="Calibri"/>
      </rPr>
      <t xml:space="preserve">
</t>
    </r>
    <r>
      <rPr>
        <sz val="11"/>
        <color rgb="FF000000"/>
        <rFont val="Calibri"/>
      </rPr>
      <t>---</t>
    </r>
    <r>
      <rPr>
        <sz val="11"/>
        <color rgb="FF000000"/>
        <rFont val="Calibri"/>
      </rPr>
      <t xml:space="preserve">
</t>
    </r>
    <r>
      <rPr>
        <sz val="11"/>
        <color rgb="FF000000"/>
        <rFont val="Calibri"/>
      </rPr>
      <t>1. There is no implementation steps for this policy</t>
    </r>
  </si>
  <si>
    <r>
      <rPr>
        <sz val="11"/>
        <color rgb="FF000000"/>
        <rFont val="Calibri"/>
      </rPr>
      <t>Using third-party or outside applications for enhanced pre-delivery message scanning that do not offer services comparable to those offered by GWS could potentially expose users to security risks. Using applications that offer comparable services reduces this risk, enhancing the safety and integrity of user data and systems.</t>
    </r>
  </si>
  <si>
    <t>Security Sandbox</t>
  </si>
  <si>
    <t>GWS.GMAIL.16.1v0.6</t>
  </si>
  <si>
    <r>
      <rPr>
        <sz val="11"/>
        <color rgb="FF000000"/>
        <rFont val="Calibri"/>
      </rPr>
      <t>Security sandbox SHOULD be enabled to provide additional protections for emails.</t>
    </r>
  </si>
  <si>
    <r>
      <rPr>
        <sz val="11"/>
        <color rgb="FF000000"/>
        <rFont val="Calibri"/>
      </rPr>
      <t>To configure the settings for Security sandbox or Security sandbox rules: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Spam, phishing, and malware -&gt; Security sandbox</t>
    </r>
    <r>
      <rPr>
        <sz val="11"/>
        <color rgb="FF000000"/>
        <rFont val="Calibri"/>
      </rPr>
      <t>.</t>
    </r>
    <r>
      <rPr>
        <sz val="11"/>
        <color rgb="FF000000"/>
        <rFont val="Calibri"/>
      </rPr>
      <t xml:space="preserve">
</t>
    </r>
    <r>
      <rPr>
        <sz val="11"/>
        <color rgb="FF000000"/>
        <rFont val="Calibri"/>
      </rPr>
      <t xml:space="preserve">4. Check the </t>
    </r>
    <r>
      <rPr>
        <b/>
        <sz val="11"/>
        <color rgb="FF000000"/>
        <rFont val="Calibri"/>
      </rPr>
      <t>Enable virtual execution of attachments in a sandbox environment for all the users of the Organizational Unit for protection against malware, ransomware, and zero-day threats</t>
    </r>
    <r>
      <rPr>
        <sz val="11"/>
        <color rgb="FF000000"/>
        <rFont val="Calibri"/>
      </rPr>
      <t xml:space="preserve"> checkbox.</t>
    </r>
    <r>
      <rPr>
        <sz val="11"/>
        <color rgb="FF000000"/>
        <rFont val="Calibri"/>
      </rPr>
      <t xml:space="preserve">
</t>
    </r>
    <r>
      <rPr>
        <sz val="11"/>
        <color rgb="FF000000"/>
        <rFont val="Calibri"/>
      </rPr>
      <t xml:space="preserve">5. Either </t>
    </r>
    <r>
      <rPr>
        <b/>
        <sz val="11"/>
        <color rgb="FF000000"/>
        <rFont val="Calibri"/>
      </rPr>
      <t>Security sandbox</t>
    </r>
    <r>
      <rPr>
        <sz val="11"/>
        <color rgb="FF000000"/>
        <rFont val="Calibri"/>
      </rPr>
      <t xml:space="preserve"> or </t>
    </r>
    <r>
      <rPr>
        <b/>
        <sz val="11"/>
        <color rgb="FF000000"/>
        <rFont val="Calibri"/>
      </rPr>
      <t>Security sandbox rules</t>
    </r>
    <r>
      <rPr>
        <sz val="11"/>
        <color rgb="FF000000"/>
        <rFont val="Calibri"/>
      </rPr>
      <t xml:space="preserve"> may be enabled but enabling </t>
    </r>
    <r>
      <rPr>
        <b/>
        <sz val="11"/>
        <color rgb="FF000000"/>
        <rFont val="Calibri"/>
      </rPr>
      <t>Security sandbox</t>
    </r>
    <r>
      <rPr>
        <sz val="11"/>
        <color rgb="FF000000"/>
        <rFont val="Calibri"/>
      </rPr>
      <t xml:space="preserve"> takes precedence.</t>
    </r>
    <r>
      <rPr>
        <sz val="11"/>
        <color rgb="FF000000"/>
        <rFont val="Calibri"/>
      </rPr>
      <t xml:space="preserve">
</t>
    </r>
    <r>
      <rPr>
        <sz val="11"/>
        <color rgb="FF000000"/>
        <rFont val="Calibri"/>
      </rPr>
      <t xml:space="preserve">6. If </t>
    </r>
    <r>
      <rPr>
        <b/>
        <sz val="11"/>
        <color rgb="FF000000"/>
        <rFont val="Calibri"/>
      </rPr>
      <t>Security sandbox</t>
    </r>
    <r>
      <rPr>
        <sz val="11"/>
        <color rgb="FF000000"/>
        <rFont val="Calibri"/>
      </rPr>
      <t xml:space="preserve"> rules are enabled, then the configuration needs to be completed and consists of the following fields </t>
    </r>
    <r>
      <rPr>
        <b/>
        <sz val="11"/>
        <color rgb="FF000000"/>
        <rFont val="Calibri"/>
      </rPr>
      <t>:</t>
    </r>
    <r>
      <rPr>
        <sz val="11"/>
        <color rgb="FF000000"/>
        <rFont val="Calibri"/>
      </rPr>
      <t xml:space="preserve">
</t>
    </r>
    <r>
      <rPr>
        <sz val="11"/>
        <color rgb="FF000000"/>
        <rFont val="Calibri"/>
      </rPr>
      <t>7. A short description.</t>
    </r>
    <r>
      <rPr>
        <sz val="11"/>
        <color rgb="FF000000"/>
        <rFont val="Calibri"/>
      </rPr>
      <t xml:space="preserve">
</t>
    </r>
    <r>
      <rPr>
        <sz val="11"/>
        <color rgb="FF000000"/>
        <rFont val="Calibri"/>
      </rPr>
      <t>8. Email messages to affect.</t>
    </r>
    <r>
      <rPr>
        <sz val="11"/>
        <color rgb="FF000000"/>
        <rFont val="Calibri"/>
      </rPr>
      <t xml:space="preserve">
</t>
    </r>
    <r>
      <rPr>
        <sz val="11"/>
        <color rgb="FF000000"/>
        <rFont val="Calibri"/>
      </rPr>
      <t>9. Expressions to describe the content to search for in each message.</t>
    </r>
    <r>
      <rPr>
        <sz val="11"/>
        <color rgb="FF000000"/>
        <rFont val="Calibri"/>
      </rPr>
      <t xml:space="preserve">
</t>
    </r>
    <r>
      <rPr>
        <sz val="11"/>
        <color rgb="FF000000"/>
        <rFont val="Calibri"/>
      </rPr>
      <t>10. Action to take if expressions match.</t>
    </r>
    <r>
      <rPr>
        <sz val="11"/>
        <color rgb="FF000000"/>
        <rFont val="Calibri"/>
      </rPr>
      <t xml:space="preserve">
</t>
    </r>
    <r>
      <rPr>
        <sz val="11"/>
        <color rgb="FF000000"/>
        <rFont val="Calibri"/>
      </rPr>
      <t xml:space="preserve">11. Select </t>
    </r>
    <r>
      <rPr>
        <b/>
        <sz val="11"/>
        <color rgb="FF000000"/>
        <rFont val="Calibri"/>
      </rPr>
      <t>Save</t>
    </r>
    <r>
      <rPr>
        <sz val="11"/>
        <color rgb="FF000000"/>
        <rFont val="Calibri"/>
      </rPr>
      <t>.</t>
    </r>
  </si>
  <si>
    <r>
      <rPr>
        <sz val="11"/>
        <color rgb="FF000000"/>
        <rFont val="Calibri"/>
      </rPr>
      <t>Without a security sandbox, emails with malicious content could potentially interact directly with the users' systems, posing a security risk. By enabling the security sandbox, additional protections are provided for email messages, reducing this risk and enhancing the safety and integrity of user data and systems.</t>
    </r>
  </si>
  <si>
    <r>
      <rPr>
        <sz val="11"/>
        <color rgb="FF000000"/>
        <rFont val="Calibri"/>
      </rPr>
      <t>This section determines whether certain messages and their associated attachments are executed in a sandbox environment for protection against malware, ransomware, and zero-day threats. Malicious software may be missed by traditional antivirus programs. However, this may cause some messages to get delayed before final delivery. Some of the file types scanned include Microsoft executables, Microsoft Office, PDF, and archives (zip, rar).</t>
    </r>
    <r>
      <rPr>
        <sz val="11"/>
        <color rgb="FF000000"/>
        <rFont val="Calibri"/>
      </rPr>
      <t xml:space="preserve">
</t>
    </r>
    <r>
      <rPr>
        <sz val="11"/>
        <color rgb="FF000000"/>
        <rFont val="Calibri"/>
      </rPr>
      <t>A Google Workspace solution is not strictly required to satisfy this baseline control, but the solution selected by an agency should offer services comparable to those offered by Google.</t>
    </r>
  </si>
  <si>
    <r>
      <rPr>
        <b/>
        <sz val="11"/>
        <color rgb="FF000000"/>
        <rFont val="Calibri"/>
      </rPr>
      <t>Google Workspace Admin Help: Set up rules to detect harmful attachments</t>
    </r>
    <r>
      <rPr>
        <sz val="11"/>
        <color rgb="FF000000"/>
        <rFont val="Calibri"/>
      </rPr>
      <t xml:space="preserve">
</t>
    </r>
    <r>
      <rPr>
        <sz val="11"/>
        <color rgb="FF0000FF"/>
        <rFont val="Calibri"/>
      </rPr>
      <t>https://support.google.com/a/answer/7676854?amp;visit_id=637866938191629894-2885947509&amp;amp;rd=1&amp;product_name=UnuFlow&amp;hl=en&amp;visit_id=637866938191629894-2885947509&amp;rd=2&amp;src=supportwidget0&amp;hl=en</t>
    </r>
  </si>
  <si>
    <t>GWS.GMAIL.16.2v0.6</t>
  </si>
  <si>
    <r>
      <rPr>
        <sz val="11"/>
        <color rgb="FF000000"/>
        <rFont val="Calibri"/>
      </rPr>
      <t>Any third-party or outside application selected for security sandbox SHOULD offer services comparable to those offered by Google Workspace.</t>
    </r>
  </si>
  <si>
    <r>
      <rPr>
        <sz val="11"/>
        <color rgb="FF000000"/>
        <rFont val="Calibri"/>
      </rPr>
      <t>To configure the settings for Security sandbox or Security sandbox rules:</t>
    </r>
    <r>
      <rPr>
        <sz val="11"/>
        <color rgb="FF000000"/>
        <rFont val="Calibri"/>
      </rPr>
      <t xml:space="preserve">
</t>
    </r>
    <r>
      <rPr>
        <sz val="11"/>
        <color rgb="FF000000"/>
        <rFont val="Calibri"/>
      </rPr>
      <t>---</t>
    </r>
    <r>
      <rPr>
        <sz val="11"/>
        <color rgb="FF000000"/>
        <rFont val="Calibri"/>
      </rPr>
      <t xml:space="preserve">
</t>
    </r>
    <r>
      <rPr>
        <sz val="11"/>
        <color rgb="FF000000"/>
        <rFont val="Calibri"/>
      </rPr>
      <t>1. There is no implementation steps for this policy.</t>
    </r>
  </si>
  <si>
    <r>
      <rPr>
        <sz val="11"/>
        <color rgb="FF000000"/>
        <rFont val="Calibri"/>
      </rPr>
      <t>Using third-party or outside applications for security sandbox that do not offer services comparable to those offered by GWS could potentially expose users to security risks. Using applications that offer comparable services reduces this risk, enhancing the safety and integrity of user data and systems.</t>
    </r>
  </si>
  <si>
    <t>Comprehensive Mail Storage</t>
  </si>
  <si>
    <t>GWS.GMAIL.17.1v0.6</t>
  </si>
  <si>
    <r>
      <rPr>
        <sz val="11"/>
        <color rgb="FF000000"/>
        <rFont val="Calibri"/>
      </rPr>
      <t>Comprehensive mail storage SHOULD be enabled to allow information traceability across applications.</t>
    </r>
  </si>
  <si>
    <r>
      <rPr>
        <sz val="11"/>
        <color rgb="FF000000"/>
        <rFont val="Calibri"/>
      </rPr>
      <t>To configure the settings for Comprehensive Mail Storage: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Compliance -&gt; Comprehensive mail storage</t>
    </r>
    <r>
      <rPr>
        <sz val="11"/>
        <color rgb="FF000000"/>
        <rFont val="Calibri"/>
      </rPr>
      <t>.</t>
    </r>
    <r>
      <rPr>
        <sz val="11"/>
        <color rgb="FF000000"/>
        <rFont val="Calibri"/>
      </rPr>
      <t xml:space="preserve">
</t>
    </r>
    <r>
      <rPr>
        <sz val="11"/>
        <color rgb="FF000000"/>
        <rFont val="Calibri"/>
      </rPr>
      <t xml:space="preserve">4. Check the </t>
    </r>
    <r>
      <rPr>
        <b/>
        <sz val="11"/>
        <color rgb="FF000000"/>
        <rFont val="Calibri"/>
      </rPr>
      <t>Ensure that a copy of all sent and received mail is stored in associated users' mailboxes</t>
    </r>
    <r>
      <rPr>
        <sz val="11"/>
        <color rgb="FF000000"/>
        <rFont val="Calibri"/>
      </rPr>
      <t xml:space="preserve"> checkbox.</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</si>
  <si>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The absence of comprehensive mail storage could compromise the ability for information traceability across applications could be compromised, posing a security risk. Enabling comprehensive mail storage can reduce this risk, enhancing the safety and integrity of user data and systems.</t>
    </r>
  </si>
  <si>
    <r>
      <rPr>
        <sz val="11"/>
        <color rgb="FF000000"/>
        <rFont val="Calibri"/>
      </rPr>
      <t>This section allows for email messages sent through other Google Workspace applications, (i.e., Calendar, Drive, Docs, Sheets, Slides, Drawings, Forms, and Keep) to be stored in the associated users' Gmail mailboxes. This includes a copy of all sent or received messages within a specified domain (including messages sent or received by non-Gmail mailboxes).</t>
    </r>
  </si>
  <si>
    <r>
      <rPr>
        <b/>
        <sz val="11"/>
        <color rgb="FF000000"/>
        <rFont val="Calibri"/>
      </rPr>
      <t>Google Workspace Admin Help: Set up comprehensive mail storage</t>
    </r>
    <r>
      <rPr>
        <sz val="11"/>
        <color rgb="FF000000"/>
        <rFont val="Calibri"/>
      </rPr>
      <t xml:space="preserve">
</t>
    </r>
    <r>
      <rPr>
        <sz val="11"/>
        <color rgb="FF0000FF"/>
        <rFont val="Calibri"/>
      </rPr>
      <t>https://support.google.com/a/answer/3547347?product_name=UnuFlow&amp;hl=en&amp;visit_id=637835896823763789-338955802&amp;rd=1&amp;src=supportwidget0&amp;hl=en</t>
    </r>
  </si>
  <si>
    <t>Spam Filtering</t>
  </si>
  <si>
    <t>GWS.GMAIL.18.1v0.6</t>
  </si>
  <si>
    <r>
      <rPr>
        <sz val="11"/>
        <color rgb="FF000000"/>
        <rFont val="Calibri"/>
      </rPr>
      <t>Domains SHALL NOT be added to lists that bypass spam filters.</t>
    </r>
  </si>
  <si>
    <r>
      <rPr>
        <sz val="11"/>
        <color rgb="FF000000"/>
        <rFont val="Calibri"/>
      </rPr>
      <t>To configure the settings for spam filtering:</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Spam, Phishing, and Malware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For each rule listed under </t>
    </r>
    <r>
      <rPr>
        <b/>
        <sz val="11"/>
        <color rgb="FF000000"/>
        <rFont val="Calibri"/>
      </rPr>
      <t>Spam</t>
    </r>
    <r>
      <rPr>
        <sz val="11"/>
        <color rgb="FF000000"/>
        <rFont val="Calibri"/>
      </rPr>
      <t>:</t>
    </r>
    <r>
      <rPr>
        <sz val="11"/>
        <color rgb="FF000000"/>
        <rFont val="Calibri"/>
      </rPr>
      <t xml:space="preserve">
</t>
    </r>
    <r>
      <rPr>
        <sz val="11"/>
        <color rgb="FF000000"/>
        <rFont val="Calibri"/>
      </rPr>
      <t>1. Ensure that either:</t>
    </r>
    <r>
      <rPr>
        <sz val="11"/>
        <color rgb="FF000000"/>
        <rFont val="Calibri"/>
      </rPr>
      <t xml:space="preserve">
</t>
    </r>
    <r>
      <rPr>
        <sz val="11"/>
        <color rgb="FF000000"/>
        <rFont val="Calibri"/>
      </rPr>
      <t xml:space="preserve">- </t>
    </r>
    <r>
      <rPr>
        <b/>
        <sz val="11"/>
        <color rgb="FF000000"/>
        <rFont val="Calibri"/>
      </rPr>
      <t>Bypass spam filters for messages from senders or domains in selected lists</t>
    </r>
    <r>
      <rPr>
        <sz val="11"/>
        <color rgb="FF000000"/>
        <rFont val="Calibri"/>
      </rPr>
      <t xml:space="preserve"> is not selected, or</t>
    </r>
    <r>
      <rPr>
        <sz val="11"/>
        <color rgb="FF000000"/>
        <rFont val="Calibri"/>
      </rPr>
      <t xml:space="preserve">
</t>
    </r>
    <r>
      <rPr>
        <sz val="11"/>
        <color rgb="FF000000"/>
        <rFont val="Calibri"/>
      </rPr>
      <t xml:space="preserve">- None of the lists shown under </t>
    </r>
    <r>
      <rPr>
        <b/>
        <sz val="11"/>
        <color rgb="FF000000"/>
        <rFont val="Calibri"/>
      </rPr>
      <t>Bypass spam filters for messages from senders or domains in selected lists</t>
    </r>
    <r>
      <rPr>
        <sz val="11"/>
        <color rgb="FF000000"/>
        <rFont val="Calibri"/>
      </rPr>
      <t xml:space="preserve"> contain an entire domain. For example, the entire domain "example.com" is not acceptable, but the specific address, john.doe@example.com, would be.</t>
    </r>
    <r>
      <rPr>
        <sz val="11"/>
        <color rgb="FF000000"/>
        <rFont val="Calibri"/>
      </rPr>
      <t xml:space="preserve">
</t>
    </r>
    <r>
      <rPr>
        <sz val="11"/>
        <color rgb="FF000000"/>
        <rFont val="Calibri"/>
      </rPr>
      <t xml:space="preserve">1. Modify the rule or lists associated with the rule as needed, then select </t>
    </r>
    <r>
      <rPr>
        <b/>
        <sz val="11"/>
        <color rgb="FF000000"/>
        <rFont val="Calibri"/>
      </rPr>
      <t>Save.</t>
    </r>
  </si>
  <si>
    <r>
      <rPr>
        <sz val="11"/>
        <color rgb="FF000000"/>
        <rFont val="Calibri"/>
      </rPr>
      <t>Spam protections may incorrectly filter legitimate emails. Adding allowed senders is an acceptable method of combating these false positives. Allowing an entire domain, especially a common domain like office.com, could enable numerous unknown users to bypass spam protections.</t>
    </r>
  </si>
  <si>
    <r>
      <rPr>
        <sz val="11"/>
        <color rgb="FF000000"/>
        <rFont val="Calibri"/>
      </rPr>
      <t>This section covers the settings relating to bypassing spam filters.</t>
    </r>
  </si>
  <si>
    <r>
      <rPr>
        <b/>
        <sz val="11"/>
        <color rgb="FF000000"/>
        <rFont val="Calibri"/>
      </rPr>
      <t>How to bypass the spam filter for incoming emails using the spam settings</t>
    </r>
    <r>
      <rPr>
        <sz val="11"/>
        <color rgb="FF000000"/>
        <rFont val="Calibri"/>
      </rPr>
      <t xml:space="preserve">
</t>
    </r>
    <r>
      <rPr>
        <sz val="11"/>
        <color rgb="FF0000FF"/>
        <rFont val="Calibri"/>
      </rPr>
      <t>https://knowledge.workspace.google.com/kb/how-to-bypass-the-spam-filter-for-incoming-emails-000006661</t>
    </r>
  </si>
  <si>
    <t>GWS.GMAIL.18.2v0.6</t>
  </si>
  <si>
    <r>
      <rPr>
        <sz val="11"/>
        <color rgb="FF000000"/>
        <rFont val="Calibri"/>
      </rPr>
      <t>Domains SHALL NOT be added to lists that bypass spam filters and hide warnings.</t>
    </r>
  </si>
  <si>
    <r>
      <rPr>
        <sz val="11"/>
        <color rgb="FF000000"/>
        <rFont val="Calibri"/>
      </rPr>
      <t>To configure the settings for spam filtering:</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Spam, Phishing, and Malware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For each rule listed under </t>
    </r>
    <r>
      <rPr>
        <b/>
        <sz val="11"/>
        <color rgb="FF000000"/>
        <rFont val="Calibri"/>
      </rPr>
      <t>Spam</t>
    </r>
    <r>
      <rPr>
        <sz val="11"/>
        <color rgb="FF000000"/>
        <rFont val="Calibri"/>
      </rPr>
      <t>:</t>
    </r>
    <r>
      <rPr>
        <sz val="11"/>
        <color rgb="FF000000"/>
        <rFont val="Calibri"/>
      </rPr>
      <t xml:space="preserve">
</t>
    </r>
    <r>
      <rPr>
        <sz val="11"/>
        <color rgb="FF000000"/>
        <rFont val="Calibri"/>
      </rPr>
      <t>1. Ensure that either:</t>
    </r>
    <r>
      <rPr>
        <sz val="11"/>
        <color rgb="FF000000"/>
        <rFont val="Calibri"/>
      </rPr>
      <t xml:space="preserve">
</t>
    </r>
    <r>
      <rPr>
        <sz val="11"/>
        <color rgb="FF000000"/>
        <rFont val="Calibri"/>
      </rPr>
      <t xml:space="preserve">- </t>
    </r>
    <r>
      <rPr>
        <b/>
        <sz val="11"/>
        <color rgb="FF000000"/>
        <rFont val="Calibri"/>
      </rPr>
      <t>Bypass spam filters and hide warnings for messages from senders or domains in selected lists</t>
    </r>
    <r>
      <rPr>
        <sz val="11"/>
        <color rgb="FF000000"/>
        <rFont val="Calibri"/>
      </rPr>
      <t xml:space="preserve"> is not selected, or</t>
    </r>
    <r>
      <rPr>
        <sz val="11"/>
        <color rgb="FF000000"/>
        <rFont val="Calibri"/>
      </rPr>
      <t xml:space="preserve">
</t>
    </r>
    <r>
      <rPr>
        <sz val="11"/>
        <color rgb="FF000000"/>
        <rFont val="Calibri"/>
      </rPr>
      <t xml:space="preserve">- None of the lists shown under </t>
    </r>
    <r>
      <rPr>
        <b/>
        <sz val="11"/>
        <color rgb="FF000000"/>
        <rFont val="Calibri"/>
      </rPr>
      <t>Bypass spam filters and hide warnings for messages from senders or domains in selected lists</t>
    </r>
    <r>
      <rPr>
        <sz val="11"/>
        <color rgb="FF000000"/>
        <rFont val="Calibri"/>
      </rPr>
      <t xml:space="preserve"> contain an entire domain. For example, the entire domain "example.com" is not acceptable, but the specific address, john.doe@example.com, would be.</t>
    </r>
    <r>
      <rPr>
        <sz val="11"/>
        <color rgb="FF000000"/>
        <rFont val="Calibri"/>
      </rPr>
      <t xml:space="preserve">
</t>
    </r>
    <r>
      <rPr>
        <sz val="11"/>
        <color rgb="FF000000"/>
        <rFont val="Calibri"/>
      </rPr>
      <t xml:space="preserve">1. Modify the rule or lists associated with the rule as needed, then select </t>
    </r>
    <r>
      <rPr>
        <b/>
        <sz val="11"/>
        <color rgb="FF000000"/>
        <rFont val="Calibri"/>
      </rPr>
      <t>Save.</t>
    </r>
  </si>
  <si>
    <t>GWS.GMAIL.18.3v0.6</t>
  </si>
  <si>
    <r>
      <rPr>
        <sz val="11"/>
        <color rgb="FF000000"/>
        <rFont val="Calibri"/>
      </rPr>
      <t>"Bypass spam filters" and "hide warnings for all messages from internal and external senders" SHALL NOT be enabled.</t>
    </r>
  </si>
  <si>
    <r>
      <rPr>
        <sz val="11"/>
        <color rgb="FF000000"/>
        <rFont val="Calibri"/>
      </rPr>
      <t>To configure the settings for spam filtering:</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Gmail</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Spam, Phishing, and Malware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For each rule listed under </t>
    </r>
    <r>
      <rPr>
        <b/>
        <sz val="11"/>
        <color rgb="FF000000"/>
        <rFont val="Calibri"/>
      </rPr>
      <t>Spam</t>
    </r>
    <r>
      <rPr>
        <sz val="11"/>
        <color rgb="FF000000"/>
        <rFont val="Calibri"/>
      </rPr>
      <t>:</t>
    </r>
    <r>
      <rPr>
        <sz val="11"/>
        <color rgb="FF000000"/>
        <rFont val="Calibri"/>
      </rPr>
      <t xml:space="preserve">
</t>
    </r>
    <r>
      <rPr>
        <sz val="11"/>
        <color rgb="FF000000"/>
        <rFont val="Calibri"/>
      </rPr>
      <t>1. Ensure that *</t>
    </r>
    <r>
      <rPr>
        <i/>
        <sz val="11"/>
        <color rgb="FF000000"/>
        <rFont val="Calibri"/>
      </rPr>
      <t>Bypass spam filters and hide warnings for all messages from internal and external sender</t>
    </r>
    <r>
      <rPr>
        <sz val="11"/>
        <color rgb="FF000000"/>
        <rFont val="Calibri"/>
      </rPr>
      <t xml:space="preserve"> is not selected.</t>
    </r>
    <r>
      <rPr>
        <sz val="11"/>
        <color rgb="FF000000"/>
        <rFont val="Calibri"/>
      </rPr>
      <t xml:space="preserve">
</t>
    </r>
    <r>
      <rPr>
        <sz val="11"/>
        <color rgb="FF000000"/>
        <rFont val="Calibri"/>
      </rPr>
      <t xml:space="preserve">2. Select </t>
    </r>
    <r>
      <rPr>
        <b/>
        <sz val="11"/>
        <color rgb="FF000000"/>
        <rFont val="Calibri"/>
      </rPr>
      <t>Save.</t>
    </r>
  </si>
  <si>
    <r>
      <rPr>
        <sz val="11"/>
        <color rgb="FF000000"/>
        <rFont val="Calibri"/>
      </rPr>
      <t>Bypassing spam filters and hiding warning for all messages from internal and external senders creates a security risk because all messages are allowed to bypass filters. Disabling this feature mitigates the risk.</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</si>
  <si>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</si>
  <si>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</si>
  <si>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</si>
  <si>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</si>
  <si>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</si>
  <si>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</si>
  <si>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</si>
  <si>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</si>
  <si>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</si>
  <si>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</si>
  <si>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</si>
  <si>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</si>
  <si>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</si>
  <si>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</si>
  <si>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</si>
  <si>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</si>
  <si>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</si>
  <si>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</si>
  <si>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</si>
  <si>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</si>
  <si>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</si>
  <si>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</si>
  <si>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</si>
  <si>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</si>
  <si>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</si>
  <si>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</si>
  <si>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</si>
  <si>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</si>
  <si>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</si>
  <si>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CISA Google Workspace Secure Configuration Baseline for Gmail</t>
  </si>
  <si>
    <t>Developed By:</t>
  </si>
  <si>
    <t>Cybersecurity and Infrastructure Security Agency (CISA)</t>
  </si>
  <si>
    <t>Release Information:</t>
  </si>
  <si>
    <r>
      <rPr>
        <b/>
        <sz val="11"/>
        <color rgb="FF000000"/>
        <rFont val="Calibri"/>
      </rPr>
      <t>Version:</t>
    </r>
    <r>
      <rPr>
        <sz val="11"/>
        <color rgb="FF000000"/>
        <rFont val="Calibri"/>
      </rPr>
      <t xml:space="preserve"> 0.6.0     </t>
    </r>
    <r>
      <rPr>
        <b/>
        <sz val="11"/>
        <color rgb="FF000000"/>
        <rFont val="Calibri"/>
      </rPr>
      <t>Date:</t>
    </r>
    <r>
      <rPr>
        <sz val="11"/>
        <color rgb="FF000000"/>
        <rFont val="Calibri"/>
      </rPr>
      <t xml:space="preserve"> 14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41</t>
    </r>
  </si>
  <si>
    <t>Development Url:</t>
  </si>
  <si>
    <t>https://github.com/cisagov/ScubaGoggles/blob/v0.6.0/scubagoggles/baselines/gmail.md</t>
  </si>
  <si>
    <t>Guide Overview:</t>
  </si>
  <si>
    <r>
      <rPr>
        <sz val="11"/>
        <color rgb="FF000000"/>
        <rFont val="Calibri"/>
      </rPr>
      <t>Gmail is the Google Workspace offering for sending and receiving email. Users can upload attachments to emails and send them to a given email address. Additional Gmail features include integrating with other Google applications, such as Meet and Chat. This Secure Configuration Baseline (SCB) provides specific policies to strengthen Gmail security.</t>
    </r>
    <r>
      <rPr>
        <sz val="11"/>
        <color rgb="FF000000"/>
        <rFont val="Calibri"/>
      </rPr>
      <t xml:space="preserve">
</t>
    </r>
    <r>
      <rPr>
        <sz val="11"/>
        <color rgb="FF000000"/>
        <rFont val="Calibri"/>
      </rPr>
      <t>The Secure Cloud Business Applications (SCuBA) project, run by the Cybersecurity and Infrastructure Security Agency (CISA), provides guidance and capabilities to secure federal civilian executive branch (FCEB) agencies' cloud business application environments and protect federal information that is created, accessed, shared, and stored in those environments.</t>
    </r>
    <r>
      <rPr>
        <sz val="11"/>
        <color rgb="FF000000"/>
        <rFont val="Calibri"/>
      </rPr>
      <t xml:space="preserve">
</t>
    </r>
    <r>
      <rPr>
        <sz val="11"/>
        <color rgb="FF000000"/>
        <rFont val="Calibri"/>
      </rPr>
      <t>The CISA SCuBA SCBs for GWS help secure federal information assets stored within GWS cloud business application environments through consistent, effective, and manageable security configurations. CISA created baselines tailored to the federal government's threats and risk tolerance. Organizations outside of the Federal Government may also find these baselines to be useful references to help reduce risks even if such organizations have different risk tolerances or face different threats.</t>
    </r>
    <r>
      <rPr>
        <sz val="11"/>
        <color rgb="FF000000"/>
        <rFont val="Calibri"/>
      </rPr>
      <t xml:space="preserve">
</t>
    </r>
    <r>
      <rPr>
        <sz val="11"/>
        <color rgb="FF000000"/>
        <rFont val="Calibri"/>
      </rPr>
      <t>For non-federal users, the information in this document is being provided "as is" for INFORMATIONAL PURPOSES ONLY. CISA does not endorse any commercial product or service, including any subjects of analysis. Any reference to specific commercial entities or commercial products, processes, or services by service mark, trademark, manufacturer, or otherwise, does not constitute or imply endorsement, recommendation, or favoritism by CISA. Without limiting the generality of the foregoing, some controls and settings are not available in all products; CISA has no control over vendor changes to products offerings or features. Accordingly, these SCuBA SCBs for GWS may not be applicable to the products available to you. 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r>
      <rPr>
        <sz val="11"/>
        <color rgb="FF000000"/>
        <rFont val="Calibri"/>
      </rPr>
      <t xml:space="preserve">
</t>
    </r>
    <r>
      <rPr>
        <sz val="11"/>
        <color rgb="FF000000"/>
        <rFont val="Calibri"/>
      </rPr>
      <t xml:space="preserve">This baseline is based on Google documentation available at the Gmail Google Workspace Admin Help Center </t>
    </r>
    <r>
      <rPr>
        <sz val="11"/>
        <color rgb="FF0000FF"/>
        <rFont val="Calibri"/>
      </rPr>
      <t>(https://support.google.com/a/topic/9202?hl=en&amp;ref_topic=9197)</t>
    </r>
    <r>
      <rPr>
        <sz val="11"/>
        <color rgb="FF000000"/>
        <rFont val="Calibri"/>
      </rPr>
      <t xml:space="preserve"> and addresses the following:.</t>
    </r>
    <r>
      <rPr>
        <sz val="11"/>
        <color rgb="FF000000"/>
        <rFont val="Calibri"/>
      </rPr>
      <t xml:space="preserve">
</t>
    </r>
    <r>
      <rPr>
        <sz val="11"/>
        <color rgb="FF000000"/>
        <rFont val="Calibri"/>
      </rPr>
      <t xml:space="preserve">- Mail Delegation </t>
    </r>
    <r>
      <rPr>
        <sz val="11"/>
        <color rgb="FF0000FF"/>
        <rFont val="Calibri"/>
      </rPr>
      <t>(#1-mail-delegation)</t>
    </r>
    <r>
      <rPr>
        <sz val="11"/>
        <color rgb="FF000000"/>
        <rFont val="Calibri"/>
      </rPr>
      <t xml:space="preserve">
</t>
    </r>
    <r>
      <rPr>
        <sz val="11"/>
        <color rgb="FF000000"/>
        <rFont val="Calibri"/>
      </rPr>
      <t xml:space="preserve">- Domain Keys Identified Mail </t>
    </r>
    <r>
      <rPr>
        <sz val="11"/>
        <color rgb="FF0000FF"/>
        <rFont val="Calibri"/>
      </rPr>
      <t>(#2-domainkeys-identified-mail)</t>
    </r>
    <r>
      <rPr>
        <sz val="11"/>
        <color rgb="FF000000"/>
        <rFont val="Calibri"/>
      </rPr>
      <t xml:space="preserve">
</t>
    </r>
    <r>
      <rPr>
        <sz val="11"/>
        <color rgb="FF000000"/>
        <rFont val="Calibri"/>
      </rPr>
      <t xml:space="preserve">- Sender Policy Framework </t>
    </r>
    <r>
      <rPr>
        <sz val="11"/>
        <color rgb="FF0000FF"/>
        <rFont val="Calibri"/>
      </rPr>
      <t>(#3-sender-policy-framework)</t>
    </r>
    <r>
      <rPr>
        <sz val="11"/>
        <color rgb="FF000000"/>
        <rFont val="Calibri"/>
      </rPr>
      <t xml:space="preserve">
</t>
    </r>
    <r>
      <rPr>
        <sz val="11"/>
        <color rgb="FF000000"/>
        <rFont val="Calibri"/>
      </rPr>
      <t xml:space="preserve">- Domain Based Message Authentication, Reporting, and Conformance </t>
    </r>
    <r>
      <rPr>
        <sz val="11"/>
        <color rgb="FF0000FF"/>
        <rFont val="Calibri"/>
      </rPr>
      <t>(#4-domain-based-message-authentication-reporting-and-conformance)</t>
    </r>
    <r>
      <rPr>
        <sz val="11"/>
        <color rgb="FF000000"/>
        <rFont val="Calibri"/>
      </rPr>
      <t xml:space="preserve">
</t>
    </r>
    <r>
      <rPr>
        <sz val="11"/>
        <color rgb="FF000000"/>
        <rFont val="Calibri"/>
      </rPr>
      <t xml:space="preserve">- Attachment Protections </t>
    </r>
    <r>
      <rPr>
        <sz val="11"/>
        <color rgb="FF0000FF"/>
        <rFont val="Calibri"/>
      </rPr>
      <t>(#5-attachment-protections)</t>
    </r>
    <r>
      <rPr>
        <sz val="11"/>
        <color rgb="FF000000"/>
        <rFont val="Calibri"/>
      </rPr>
      <t xml:space="preserve">
</t>
    </r>
    <r>
      <rPr>
        <sz val="11"/>
        <color rgb="FF000000"/>
        <rFont val="Calibri"/>
      </rPr>
      <t xml:space="preserve">- Links and External Images Protections </t>
    </r>
    <r>
      <rPr>
        <sz val="11"/>
        <color rgb="FF0000FF"/>
        <rFont val="Calibri"/>
      </rPr>
      <t>(#6-links-and-external-images-protection)</t>
    </r>
    <r>
      <rPr>
        <sz val="11"/>
        <color rgb="FF000000"/>
        <rFont val="Calibri"/>
      </rPr>
      <t xml:space="preserve">
</t>
    </r>
    <r>
      <rPr>
        <sz val="11"/>
        <color rgb="FF000000"/>
        <rFont val="Calibri"/>
      </rPr>
      <t xml:space="preserve">- Spoofing and Authentication Protection </t>
    </r>
    <r>
      <rPr>
        <sz val="11"/>
        <color rgb="FF0000FF"/>
        <rFont val="Calibri"/>
      </rPr>
      <t>(#7-spoofing-and-authentication-protection)</t>
    </r>
    <r>
      <rPr>
        <sz val="11"/>
        <color rgb="FF000000"/>
        <rFont val="Calibri"/>
      </rPr>
      <t xml:space="preserve">
</t>
    </r>
    <r>
      <rPr>
        <sz val="11"/>
        <color rgb="FF000000"/>
        <rFont val="Calibri"/>
      </rPr>
      <t xml:space="preserve">- User Email Uploads </t>
    </r>
    <r>
      <rPr>
        <sz val="11"/>
        <color rgb="FF0000FF"/>
        <rFont val="Calibri"/>
      </rPr>
      <t>(#8-user-email-uploads)</t>
    </r>
    <r>
      <rPr>
        <sz val="11"/>
        <color rgb="FF000000"/>
        <rFont val="Calibri"/>
      </rPr>
      <t xml:space="preserve">
</t>
    </r>
    <r>
      <rPr>
        <sz val="11"/>
        <color rgb="FF000000"/>
        <rFont val="Calibri"/>
      </rPr>
      <t xml:space="preserve">- POP and IMAP Access </t>
    </r>
    <r>
      <rPr>
        <sz val="11"/>
        <color rgb="FF0000FF"/>
        <rFont val="Calibri"/>
      </rPr>
      <t>(#9-pop-and-imap-access-for-users)</t>
    </r>
    <r>
      <rPr>
        <sz val="11"/>
        <color rgb="FF000000"/>
        <rFont val="Calibri"/>
      </rPr>
      <t xml:space="preserve">
</t>
    </r>
    <r>
      <rPr>
        <sz val="11"/>
        <color rgb="FF000000"/>
        <rFont val="Calibri"/>
      </rPr>
      <t xml:space="preserve">- Workspace Sync </t>
    </r>
    <r>
      <rPr>
        <sz val="11"/>
        <color rgb="FF0000FF"/>
        <rFont val="Calibri"/>
      </rPr>
      <t>(#10-google-workspace-sync)</t>
    </r>
    <r>
      <rPr>
        <sz val="11"/>
        <color rgb="FF000000"/>
        <rFont val="Calibri"/>
      </rPr>
      <t xml:space="preserve">
</t>
    </r>
    <r>
      <rPr>
        <sz val="11"/>
        <color rgb="FF000000"/>
        <rFont val="Calibri"/>
      </rPr>
      <t xml:space="preserve">- Automatic Forwarding </t>
    </r>
    <r>
      <rPr>
        <sz val="11"/>
        <color rgb="FF0000FF"/>
        <rFont val="Calibri"/>
      </rPr>
      <t>(#11-automatic-forwarding)</t>
    </r>
    <r>
      <rPr>
        <sz val="11"/>
        <color rgb="FF000000"/>
        <rFont val="Calibri"/>
      </rPr>
      <t xml:space="preserve">
</t>
    </r>
    <r>
      <rPr>
        <sz val="11"/>
        <color rgb="FF000000"/>
        <rFont val="Calibri"/>
      </rPr>
      <t xml:space="preserve">- Per User Outbound Gateways </t>
    </r>
    <r>
      <rPr>
        <sz val="11"/>
        <color rgb="FF0000FF"/>
        <rFont val="Calibri"/>
      </rPr>
      <t>(#12-per-user-outbound-gateways)</t>
    </r>
    <r>
      <rPr>
        <sz val="11"/>
        <color rgb="FF000000"/>
        <rFont val="Calibri"/>
      </rPr>
      <t xml:space="preserve">
</t>
    </r>
    <r>
      <rPr>
        <sz val="11"/>
        <color rgb="FF000000"/>
        <rFont val="Calibri"/>
      </rPr>
      <t xml:space="preserve">- Unintended External Reply Warning </t>
    </r>
    <r>
      <rPr>
        <sz val="11"/>
        <color rgb="FF0000FF"/>
        <rFont val="Calibri"/>
      </rPr>
      <t>(#13-unintended-external-reply-warning)</t>
    </r>
    <r>
      <rPr>
        <sz val="11"/>
        <color rgb="FF000000"/>
        <rFont val="Calibri"/>
      </rPr>
      <t xml:space="preserve">
</t>
    </r>
    <r>
      <rPr>
        <sz val="11"/>
        <color rgb="FF000000"/>
        <rFont val="Calibri"/>
      </rPr>
      <t xml:space="preserve">- Email Allowlist </t>
    </r>
    <r>
      <rPr>
        <sz val="11"/>
        <color rgb="FF0000FF"/>
        <rFont val="Calibri"/>
      </rPr>
      <t>(#14-email-allowlist)</t>
    </r>
    <r>
      <rPr>
        <sz val="11"/>
        <color rgb="FF000000"/>
        <rFont val="Calibri"/>
      </rPr>
      <t xml:space="preserve">
</t>
    </r>
    <r>
      <rPr>
        <sz val="11"/>
        <color rgb="FF000000"/>
        <rFont val="Calibri"/>
      </rPr>
      <t xml:space="preserve">- Enhanced Pre-Delivery Message Scanning </t>
    </r>
    <r>
      <rPr>
        <sz val="11"/>
        <color rgb="FF0000FF"/>
        <rFont val="Calibri"/>
      </rPr>
      <t>(#15-enhanced-pre-delivery-message-scanning)</t>
    </r>
    <r>
      <rPr>
        <sz val="11"/>
        <color rgb="FF000000"/>
        <rFont val="Calibri"/>
      </rPr>
      <t xml:space="preserve">
</t>
    </r>
    <r>
      <rPr>
        <sz val="11"/>
        <color rgb="FF000000"/>
        <rFont val="Calibri"/>
      </rPr>
      <t xml:space="preserve">- Security Sandbox </t>
    </r>
    <r>
      <rPr>
        <sz val="11"/>
        <color rgb="FF0000FF"/>
        <rFont val="Calibri"/>
      </rPr>
      <t>(#16-security-sandbox)</t>
    </r>
    <r>
      <rPr>
        <sz val="11"/>
        <color rgb="FF000000"/>
        <rFont val="Calibri"/>
      </rPr>
      <t xml:space="preserve">
</t>
    </r>
    <r>
      <rPr>
        <sz val="11"/>
        <color rgb="FF000000"/>
        <rFont val="Calibri"/>
      </rPr>
      <t xml:space="preserve">- Comprehensive Mail Storage </t>
    </r>
    <r>
      <rPr>
        <sz val="11"/>
        <color rgb="FF0000FF"/>
        <rFont val="Calibri"/>
      </rPr>
      <t>(#17-comprehensive-mail-storage)</t>
    </r>
    <r>
      <rPr>
        <sz val="11"/>
        <color rgb="FF000000"/>
        <rFont val="Calibri"/>
      </rPr>
      <t xml:space="preserve">
</t>
    </r>
    <r>
      <rPr>
        <sz val="11"/>
        <color rgb="FF000000"/>
        <rFont val="Calibri"/>
      </rPr>
      <t xml:space="preserve">- Spam Filtering </t>
    </r>
    <r>
      <rPr>
        <sz val="11"/>
        <color rgb="FF0000FF"/>
        <rFont val="Calibri"/>
      </rPr>
      <t>(#18-spam-filtering)</t>
    </r>
    <r>
      <rPr>
        <sz val="11"/>
        <color rgb="FF000000"/>
        <rFont val="Calibri"/>
      </rPr>
      <t xml:space="preserve">
</t>
    </r>
    <r>
      <rPr>
        <sz val="11"/>
        <color rgb="FF000000"/>
        <rFont val="Calibri"/>
      </rPr>
      <t>Within Google Workspace, settings can be assigned to users through organizational units, configuration groups, or individually. Before changing a setting, the user can select the organizational unit, configuration group, or individual users to which they want to apply changes.</t>
    </r>
  </si>
  <si>
    <t>Assumptions</t>
  </si>
  <si>
    <r>
      <rPr>
        <sz val="11"/>
        <color rgb="FF000000"/>
        <rFont val="Calibri"/>
      </rPr>
      <t>This document assumes the organization is using GWS Enterprise Plus.</t>
    </r>
    <r>
      <rPr>
        <sz val="11"/>
        <color rgb="FF000000"/>
        <rFont val="Calibri"/>
      </rPr>
      <t xml:space="preserve">
</t>
    </r>
    <r>
      <rPr>
        <sz val="11"/>
        <color rgb="FF000000"/>
        <rFont val="Calibri"/>
      </rPr>
      <t>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</si>
  <si>
    <t>Key Terminology</t>
  </si>
  <si>
    <r>
      <rPr>
        <sz val="11"/>
        <color rgb="FF000000"/>
        <rFont val="Calibri"/>
      </rPr>
      <t>The key words "MUST," "MUST NOT," "REQUIRED," "SHALL," "SHALL NOT," "SHOULD," "SHOULD NOT," "RECOMMENDED," "MAY," and "OPTIONAL" in this document are to be interpreted as described in RFC 2119.</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</si>
  <si>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</si>
  <si>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</si>
  <si>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</si>
  <si>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</si>
  <si>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</si>
  <si>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</si>
  <si>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</si>
  <si>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</si>
  <si>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</si>
  <si>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</si>
  <si>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</si>
  <si>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</si>
  <si>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</si>
  <si>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</si>
  <si>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</si>
  <si>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</si>
  <si>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</si>
  <si>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CISA Google Workspace Secure Configuration Baseline for Gmail 0.6.0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</si>
  <si>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</si>
  <si>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</si>
  <si>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</si>
  <si>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</si>
  <si>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</si>
  <si>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</si>
  <si>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</si>
  <si>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</si>
  <si>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</si>
  <si>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</si>
  <si>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</si>
  <si>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</si>
  <si>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</si>
  <si>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</si>
  <si>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</si>
  <si>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</si>
  <si>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</si>
  <si>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Criticality</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</si>
  <si>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</si>
  <si>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</si>
  <si>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</si>
  <si>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</si>
  <si>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</si>
  <si>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</si>
  <si>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</si>
  <si>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</si>
  <si>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</si>
  <si>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</si>
  <si>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</si>
  <si>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</si>
  <si>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</si>
  <si>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</si>
  <si>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</si>
  <si>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</si>
  <si>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</si>
  <si>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</si>
  <si>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</si>
  <si>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</si>
  <si>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</si>
  <si>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</si>
  <si>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</si>
  <si>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</si>
  <si>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</si>
  <si>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</si>
  <si>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</si>
  <si>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</si>
  <si>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</si>
  <si>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</si>
  <si>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</si>
  <si>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</si>
  <si>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</si>
  <si>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</si>
  <si>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</si>
  <si>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2026-05-10</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</si>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</sst>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29"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wrapText="1"/>
    </xf>
    <xf numFmtId="0" fontId="0" fillId="0" borderId="6" xfId="0" applyNumberFormat="1" applyFont="1" applyBorder="1" applyAlignment="1" applyProtection="1">
      <alignment horizontal="center" vertical="center" wrapText="1"/>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9"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9"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ACD-409D-AE98-F8BCAE81583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ACD-409D-AE98-F8BCAE81583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41</c:v>
                </c:pt>
              </c:numCache>
            </c:numRef>
          </c:val>
          <c:extLst>
            <c:ext xmlns:c16="http://schemas.microsoft.com/office/drawing/2014/chart" uri="{C3380CC4-5D6E-409C-BE32-E72D297353CC}">
              <c16:uniqueId val="{00000002-AACD-409D-AE98-F8BCAE81583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Criticality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SHALL NOT</c:v>
                </c:pt>
                <c:pt idx="2">
                  <c:v>SHOULD</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F8D9-4560-B772-B49DB4313AA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SHALL NOT</c:v>
                </c:pt>
                <c:pt idx="2">
                  <c:v>SHOULD</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F8D9-4560-B772-B49DB4313AA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SHALL NOT</c:v>
                </c:pt>
                <c:pt idx="2">
                  <c:v>SHOULD</c:v>
                </c:pt>
              </c:strCache>
            </c:strRef>
          </c:cat>
          <c:val>
            <c:numRef>
              <c:f>Dashboard!$E$29:$E$31</c:f>
              <c:numCache>
                <c:formatCode>General</c:formatCode>
                <c:ptCount val="3"/>
                <c:pt idx="0">
                  <c:v>21</c:v>
                </c:pt>
                <c:pt idx="1">
                  <c:v>5</c:v>
                </c:pt>
                <c:pt idx="2">
                  <c:v>15</c:v>
                </c:pt>
              </c:numCache>
            </c:numRef>
          </c:val>
          <c:extLst>
            <c:ext xmlns:c16="http://schemas.microsoft.com/office/drawing/2014/chart" uri="{C3380CC4-5D6E-409C-BE32-E72D297353CC}">
              <c16:uniqueId val="{00000002-F8D9-4560-B772-B49DB4313AA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D82-45E7-BF30-283F5A39CEB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D82-45E7-BF30-283F5A39CEB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41</c:v>
                </c:pt>
              </c:numCache>
            </c:numRef>
          </c:val>
          <c:extLst>
            <c:ext xmlns:c16="http://schemas.microsoft.com/office/drawing/2014/chart" uri="{C3380CC4-5D6E-409C-BE32-E72D297353CC}">
              <c16:uniqueId val="{00000002-7D82-45E7-BF30-283F5A39CEB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3CE-42D4-B34D-B99BC976269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3CE-42D4-B34D-B99BC976269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41</c:v>
                </c:pt>
              </c:numCache>
            </c:numRef>
          </c:val>
          <c:extLst>
            <c:ext xmlns:c16="http://schemas.microsoft.com/office/drawing/2014/chart" uri="{C3380CC4-5D6E-409C-BE32-E72D297353CC}">
              <c16:uniqueId val="{00000002-63CE-42D4-B34D-B99BC976269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67B-4D95-86CD-131B7BECBA9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67B-4D95-86CD-131B7BECBA9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41</c:v>
                </c:pt>
              </c:numCache>
            </c:numRef>
          </c:val>
          <c:extLst>
            <c:ext xmlns:c16="http://schemas.microsoft.com/office/drawing/2014/chart" uri="{C3380CC4-5D6E-409C-BE32-E72D297353CC}">
              <c16:uniqueId val="{00000002-B67B-4D95-86CD-131B7BECBA9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A9A-45E5-A2B9-2D7D97B6ECE0}"/>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A9A-45E5-A2B9-2D7D97B6ECE0}"/>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A9A-45E5-A2B9-2D7D97B6ECE0}"/>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A9A-45E5-A2B9-2D7D97B6ECE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FA2-4F7F-8BC1-7D940552F4F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iwtzn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ib1kv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zqcat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flbyue">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y3uzqw">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31rhsr">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ydetj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P42">
  <autoFilter ref="A1:P42" xr:uid="{00000000-0009-0000-0100-000001000000}"/>
  <tableColumns count="16">
    <tableColumn id="1" xr3:uid="{00000000-0010-0000-0000-000001000000}" name="Category"/>
    <tableColumn id="2" xr3:uid="{00000000-0010-0000-0000-000002000000}" name="Id"/>
    <tableColumn id="3" xr3:uid="{00000000-0010-0000-0000-000003000000}" name="Title"/>
    <tableColumn id="4" xr3:uid="{00000000-0010-0000-0000-000004000000}" name="Criticality"/>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Rationale"/>
    <tableColumn id="12" xr3:uid="{00000000-0010-0000-0000-00000C000000}" name="Description"/>
    <tableColumn id="13" xr3:uid="{00000000-0010-0000-0000-00000D000000}" name="Prereqs"/>
    <tableColumn id="14" xr3:uid="{00000000-0010-0000-0000-00000E000000}" name="Resources"/>
    <tableColumn id="15" xr3:uid="{00000000-0010-0000-0000-00000F000000}" name="Status"/>
    <tableColumn id="16" xr3:uid="{00000000-0010-0000-0000-000010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hub.com/cisagov/ScubaGoggles/blob/v0.6.0/scubagoggles/baselines/gmail.md"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243</v>
      </c>
    </row>
    <row r="3" spans="2:3" ht="15" customHeight="1" x14ac:dyDescent="0.35"/>
    <row r="4" spans="2:3" ht="58" x14ac:dyDescent="0.35">
      <c r="B4" s="20" t="s">
        <v>244</v>
      </c>
      <c r="C4" s="21" t="s">
        <v>245</v>
      </c>
    </row>
    <row r="5" spans="2:3" x14ac:dyDescent="0.35">
      <c r="C5" s="21" t="s">
        <v>246</v>
      </c>
    </row>
    <row r="6" spans="2:3" x14ac:dyDescent="0.35">
      <c r="C6" s="18" t="s">
        <v>247</v>
      </c>
    </row>
    <row r="7" spans="2:3" ht="10" customHeight="1" x14ac:dyDescent="0.35"/>
    <row r="8" spans="2:3" ht="232" x14ac:dyDescent="0.35">
      <c r="B8" s="22" t="s">
        <v>248</v>
      </c>
      <c r="C8" s="21" t="s">
        <v>249</v>
      </c>
    </row>
    <row r="9" spans="2:3" ht="10" customHeight="1" x14ac:dyDescent="0.35"/>
    <row r="10" spans="2:3" ht="35" customHeight="1" x14ac:dyDescent="0.35">
      <c r="B10" s="22" t="s">
        <v>250</v>
      </c>
      <c r="C10" s="21" t="s">
        <v>251</v>
      </c>
    </row>
    <row r="11" spans="2:3" ht="75" customHeight="1" x14ac:dyDescent="0.35">
      <c r="B11" s="18" t="s">
        <v>23</v>
      </c>
      <c r="C11" s="21" t="s">
        <v>252</v>
      </c>
    </row>
    <row r="12" spans="2:3" ht="47" customHeight="1" x14ac:dyDescent="0.35">
      <c r="B12" s="18" t="s">
        <v>23</v>
      </c>
      <c r="C12" s="21" t="s">
        <v>253</v>
      </c>
    </row>
    <row r="13" spans="2:3" ht="35" customHeight="1" x14ac:dyDescent="0.35">
      <c r="B13" s="18" t="s">
        <v>23</v>
      </c>
      <c r="C13" s="21" t="s">
        <v>254</v>
      </c>
    </row>
    <row r="14" spans="2:3" ht="32" customHeight="1" x14ac:dyDescent="0.35">
      <c r="B14" s="18" t="s">
        <v>23</v>
      </c>
      <c r="C14" s="21" t="s">
        <v>255</v>
      </c>
    </row>
    <row r="15" spans="2:3" ht="30" customHeight="1" x14ac:dyDescent="0.35">
      <c r="B15" s="18" t="s">
        <v>23</v>
      </c>
      <c r="C15" s="21" t="s">
        <v>256</v>
      </c>
    </row>
    <row r="16" spans="2:3" ht="10" customHeight="1" x14ac:dyDescent="0.35"/>
    <row r="17" spans="1:3" ht="145" customHeight="1" x14ac:dyDescent="0.35">
      <c r="B17" s="22" t="s">
        <v>257</v>
      </c>
      <c r="C17" s="21" t="s">
        <v>258</v>
      </c>
    </row>
    <row r="18" spans="1:3" ht="10" customHeight="1" x14ac:dyDescent="0.35"/>
    <row r="19" spans="1:3" ht="3" customHeight="1" x14ac:dyDescent="0.35">
      <c r="B19" s="23"/>
      <c r="C19" s="23"/>
    </row>
    <row r="20" spans="1:3" ht="12" customHeight="1" x14ac:dyDescent="0.35"/>
    <row r="21" spans="1:3" ht="35" customHeight="1" x14ac:dyDescent="0.35">
      <c r="A21" s="25"/>
      <c r="B21" s="26" t="s">
        <v>259</v>
      </c>
      <c r="C21" s="27" t="s">
        <v>260</v>
      </c>
    </row>
    <row r="22" spans="1:3" ht="18" customHeight="1" x14ac:dyDescent="0.35">
      <c r="A22" s="25"/>
      <c r="B22" s="25" t="s">
        <v>23</v>
      </c>
      <c r="C22" s="27" t="s">
        <v>261</v>
      </c>
    </row>
    <row r="23" spans="1:3" ht="18" customHeight="1" x14ac:dyDescent="0.35">
      <c r="A23" s="25"/>
      <c r="B23" s="25" t="s">
        <v>23</v>
      </c>
      <c r="C23" s="27" t="s">
        <v>262</v>
      </c>
    </row>
    <row r="24" spans="1:3" ht="18" customHeight="1" x14ac:dyDescent="0.35">
      <c r="A24" s="25"/>
      <c r="B24" s="25" t="s">
        <v>23</v>
      </c>
      <c r="C24" s="27" t="s">
        <v>263</v>
      </c>
    </row>
    <row r="25" spans="1:3" ht="18" customHeight="1" x14ac:dyDescent="0.35">
      <c r="A25" s="25"/>
      <c r="B25" s="25" t="s">
        <v>23</v>
      </c>
      <c r="C25" s="27" t="s">
        <v>264</v>
      </c>
    </row>
    <row r="26" spans="1:3" ht="18" customHeight="1" x14ac:dyDescent="0.35">
      <c r="A26" s="25"/>
      <c r="B26" s="25" t="s">
        <v>23</v>
      </c>
      <c r="C26" s="27" t="s">
        <v>265</v>
      </c>
    </row>
    <row r="27" spans="1:3" ht="18" customHeight="1" x14ac:dyDescent="0.35">
      <c r="A27" s="25"/>
      <c r="B27" s="25" t="s">
        <v>23</v>
      </c>
      <c r="C27" s="27" t="s">
        <v>266</v>
      </c>
    </row>
    <row r="28" spans="1:3" ht="18" customHeight="1" x14ac:dyDescent="0.35">
      <c r="A28" s="25"/>
      <c r="B28" s="25" t="s">
        <v>23</v>
      </c>
      <c r="C28" s="27" t="s">
        <v>267</v>
      </c>
    </row>
    <row r="29" spans="1:3" ht="18" customHeight="1" x14ac:dyDescent="0.35">
      <c r="A29" s="25"/>
      <c r="B29" s="25" t="s">
        <v>23</v>
      </c>
      <c r="C29" s="27" t="s">
        <v>268</v>
      </c>
    </row>
    <row r="30" spans="1:3" ht="44" customHeight="1" x14ac:dyDescent="0.35">
      <c r="A30" s="25"/>
      <c r="B30" s="25" t="s">
        <v>23</v>
      </c>
      <c r="C30" s="28" t="s">
        <v>269</v>
      </c>
    </row>
    <row r="31" spans="1:3" ht="10" customHeight="1" x14ac:dyDescent="0.35"/>
    <row r="32" spans="1:3" ht="3" customHeight="1" x14ac:dyDescent="0.35">
      <c r="B32" s="23"/>
      <c r="C32" s="23"/>
    </row>
    <row r="33" spans="2:3" ht="12" customHeight="1" x14ac:dyDescent="0.35"/>
    <row r="34" spans="2:3" ht="24" customHeight="1" x14ac:dyDescent="0.35">
      <c r="B34" s="29" t="s">
        <v>270</v>
      </c>
      <c r="C34" s="30" t="s">
        <v>271</v>
      </c>
    </row>
    <row r="35" spans="2:3" ht="18.5" x14ac:dyDescent="0.35">
      <c r="B35" s="29" t="s">
        <v>272</v>
      </c>
      <c r="C35" s="31" t="s">
        <v>273</v>
      </c>
    </row>
    <row r="36" spans="2:3" ht="27" customHeight="1" x14ac:dyDescent="0.35">
      <c r="B36" s="32" t="s">
        <v>274</v>
      </c>
      <c r="C36" s="24" t="s">
        <v>275</v>
      </c>
    </row>
    <row r="37" spans="2:3" x14ac:dyDescent="0.35">
      <c r="B37" s="29" t="s">
        <v>276</v>
      </c>
      <c r="C37" s="33" t="s">
        <v>277</v>
      </c>
    </row>
    <row r="38" spans="2:3" ht="10" customHeight="1" x14ac:dyDescent="0.35"/>
    <row r="39" spans="2:3" ht="220" customHeight="1" x14ac:dyDescent="0.35">
      <c r="B39" s="29" t="s">
        <v>278</v>
      </c>
      <c r="C39" s="34" t="s">
        <v>279</v>
      </c>
    </row>
    <row r="40" spans="2:3" x14ac:dyDescent="0.35">
      <c r="C40" s="35" t="s">
        <v>280</v>
      </c>
    </row>
    <row r="41" spans="2:3" ht="101.5" x14ac:dyDescent="0.35">
      <c r="C41" s="34" t="s">
        <v>281</v>
      </c>
    </row>
    <row r="42" spans="2:3" ht="6" customHeight="1" x14ac:dyDescent="0.35"/>
    <row r="43" spans="2:3" x14ac:dyDescent="0.35">
      <c r="C43" s="35" t="s">
        <v>282</v>
      </c>
    </row>
    <row r="44" spans="2:3" ht="43.5" x14ac:dyDescent="0.35">
      <c r="C44" s="34" t="s">
        <v>283</v>
      </c>
    </row>
    <row r="46" spans="2:3" ht="10" customHeight="1" x14ac:dyDescent="0.35"/>
    <row r="47" spans="2:3" ht="3" customHeight="1" x14ac:dyDescent="0.35">
      <c r="B47" s="23"/>
      <c r="C47" s="23"/>
    </row>
    <row r="48" spans="2:3" ht="12" customHeight="1" x14ac:dyDescent="0.35"/>
    <row r="49" spans="2:3" ht="130.5" x14ac:dyDescent="0.35">
      <c r="B49" s="20" t="s">
        <v>284</v>
      </c>
      <c r="C49" s="21" t="s">
        <v>285</v>
      </c>
    </row>
    <row r="50" spans="2:3" ht="6" customHeight="1" x14ac:dyDescent="0.35"/>
    <row r="51" spans="2:3" ht="217.5" x14ac:dyDescent="0.35">
      <c r="C51" s="21" t="s">
        <v>286</v>
      </c>
    </row>
    <row r="52" spans="2:3" ht="6" customHeight="1" x14ac:dyDescent="0.35"/>
    <row r="53" spans="2:3" ht="43.5" x14ac:dyDescent="0.35">
      <c r="C53" s="21" t="s">
        <v>287</v>
      </c>
    </row>
    <row r="54" spans="2:3" ht="10" customHeight="1" x14ac:dyDescent="0.35"/>
    <row r="55" spans="2:3" ht="3" customHeight="1" x14ac:dyDescent="0.35">
      <c r="B55" s="23"/>
      <c r="C55" s="23"/>
    </row>
    <row r="56" spans="2:3" ht="12" customHeight="1" x14ac:dyDescent="0.35"/>
    <row r="57" spans="2:3" ht="145" x14ac:dyDescent="0.35">
      <c r="B57" s="20" t="s">
        <v>288</v>
      </c>
      <c r="C57" s="21" t="s">
        <v>289</v>
      </c>
    </row>
    <row r="58" spans="2:3" ht="6" customHeight="1" x14ac:dyDescent="0.35"/>
    <row r="59" spans="2:3" ht="203" x14ac:dyDescent="0.35">
      <c r="C59" s="21" t="s">
        <v>290</v>
      </c>
    </row>
    <row r="60" spans="2:3" ht="6" customHeight="1" x14ac:dyDescent="0.35"/>
    <row r="61" spans="2:3" ht="43.5" x14ac:dyDescent="0.35">
      <c r="C61" s="21" t="s">
        <v>291</v>
      </c>
    </row>
    <row r="62" spans="2:3" ht="10" customHeight="1" x14ac:dyDescent="0.35"/>
    <row r="63" spans="2:3" ht="3" customHeight="1" x14ac:dyDescent="0.35">
      <c r="B63" s="23"/>
      <c r="C63" s="23"/>
    </row>
    <row r="64" spans="2:3" ht="12" customHeight="1" x14ac:dyDescent="0.35"/>
    <row r="65" spans="2:3" ht="101.5" x14ac:dyDescent="0.35">
      <c r="B65" s="20" t="s">
        <v>292</v>
      </c>
      <c r="C65" s="21" t="s">
        <v>293</v>
      </c>
    </row>
    <row r="66" spans="2:3" ht="6" customHeight="1" x14ac:dyDescent="0.35"/>
    <row r="67" spans="2:3" ht="145" x14ac:dyDescent="0.35">
      <c r="C67" s="21" t="s">
        <v>294</v>
      </c>
    </row>
    <row r="68" spans="2:3" ht="6" customHeight="1" x14ac:dyDescent="0.35"/>
    <row r="69" spans="2:3" ht="43.5" x14ac:dyDescent="0.35">
      <c r="C69" s="21" t="s">
        <v>295</v>
      </c>
    </row>
    <row r="73" spans="2:3" ht="32" customHeight="1" x14ac:dyDescent="0.35">
      <c r="B73" s="78" t="s">
        <v>242</v>
      </c>
      <c r="C73" s="78"/>
    </row>
  </sheetData>
  <sheetProtection password="90EA" sheet="1"/>
  <mergeCells count="1">
    <mergeCell ref="B73:C73"/>
  </mergeCells>
  <hyperlinks>
    <hyperlink ref="C5" r:id="rId1" xr:uid="{00000000-0004-0000-0000-000000000000}"/>
    <hyperlink ref="C6" r:id="rId2" xr:uid="{00000000-0004-0000-0000-000001000000}"/>
    <hyperlink ref="C37" r:id="rId3" xr:uid="{00000000-0004-0000-0000-000002000000}"/>
    <hyperlink ref="B7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79" t="s">
        <v>296</v>
      </c>
      <c r="C2" s="80"/>
      <c r="D2" s="80"/>
      <c r="E2" s="80"/>
      <c r="F2" s="80"/>
      <c r="G2" s="80"/>
      <c r="H2" s="80"/>
      <c r="I2" s="80"/>
    </row>
    <row r="4" spans="2:15" ht="18.5" x14ac:dyDescent="0.45">
      <c r="B4" s="37" t="s">
        <v>297</v>
      </c>
    </row>
    <row r="5" spans="2:15" x14ac:dyDescent="0.35">
      <c r="B5" s="39" t="s">
        <v>23</v>
      </c>
      <c r="C5" s="39" t="s">
        <v>298</v>
      </c>
      <c r="D5" s="39" t="s">
        <v>299</v>
      </c>
      <c r="F5" s="81" t="s">
        <v>300</v>
      </c>
      <c r="G5" s="81"/>
      <c r="H5" s="81"/>
      <c r="I5" s="82" t="s">
        <v>301</v>
      </c>
      <c r="J5" s="82"/>
      <c r="K5" s="82"/>
      <c r="L5" s="82"/>
      <c r="M5" s="82"/>
      <c r="N5" s="82"/>
      <c r="O5" s="82"/>
    </row>
    <row r="6" spans="2:15" x14ac:dyDescent="0.35">
      <c r="B6" s="45" t="s">
        <v>302</v>
      </c>
      <c r="C6" s="46">
        <v>41</v>
      </c>
      <c r="D6" s="47" t="s">
        <v>23</v>
      </c>
      <c r="F6" s="81" t="s">
        <v>303</v>
      </c>
      <c r="G6" s="81"/>
      <c r="H6" s="81"/>
      <c r="I6" s="83" t="s">
        <v>304</v>
      </c>
      <c r="J6" s="83"/>
      <c r="K6" s="83"/>
      <c r="L6" s="83"/>
      <c r="M6" s="83"/>
      <c r="N6" s="83"/>
      <c r="O6" s="83"/>
    </row>
    <row r="7" spans="2:15" x14ac:dyDescent="0.35">
      <c r="B7" s="48" t="s">
        <v>305</v>
      </c>
      <c r="C7" s="49">
        <f>C6-C8-C9</f>
        <v>41</v>
      </c>
      <c r="D7" s="50">
        <f>IF(C6&gt;0,C7/C6,0)</f>
        <v>1</v>
      </c>
      <c r="F7" s="81" t="s">
        <v>306</v>
      </c>
      <c r="G7" s="81"/>
      <c r="H7" s="81"/>
      <c r="I7" s="83" t="s">
        <v>304</v>
      </c>
      <c r="J7" s="83"/>
      <c r="K7" s="83"/>
      <c r="L7" s="83"/>
      <c r="M7" s="83"/>
      <c r="N7" s="83"/>
      <c r="O7" s="83"/>
    </row>
    <row r="8" spans="2:15" x14ac:dyDescent="0.35">
      <c r="B8" s="41" t="s">
        <v>307</v>
      </c>
      <c r="C8" s="42">
        <f>COUNTIF('Recommendations'!H:H,"Risk Accepted")</f>
        <v>0</v>
      </c>
      <c r="D8" s="43">
        <f>IF(C6&gt;0,C8/C6,0)</f>
        <v>0</v>
      </c>
      <c r="F8" s="81" t="s">
        <v>308</v>
      </c>
      <c r="G8" s="81"/>
      <c r="H8" s="81"/>
      <c r="I8" s="83" t="s">
        <v>304</v>
      </c>
      <c r="J8" s="83"/>
      <c r="K8" s="83"/>
      <c r="L8" s="83"/>
      <c r="M8" s="83"/>
      <c r="N8" s="83"/>
      <c r="O8" s="83"/>
    </row>
    <row r="9" spans="2:15" x14ac:dyDescent="0.35">
      <c r="B9" s="41" t="s">
        <v>309</v>
      </c>
      <c r="C9" s="42">
        <f>COUNTIF('Recommendations'!H:H,"N/A")</f>
        <v>0</v>
      </c>
      <c r="D9" s="43">
        <f>IF(C6&gt;0,C9/C6,0)</f>
        <v>0</v>
      </c>
      <c r="F9" s="81" t="s">
        <v>310</v>
      </c>
      <c r="G9" s="81"/>
      <c r="H9" s="81"/>
      <c r="I9" s="83" t="s">
        <v>304</v>
      </c>
      <c r="J9" s="83"/>
      <c r="K9" s="83"/>
      <c r="L9" s="83"/>
      <c r="M9" s="83"/>
      <c r="N9" s="83"/>
      <c r="O9" s="83"/>
    </row>
    <row r="12" spans="2:15" ht="18.5" x14ac:dyDescent="0.45">
      <c r="B12" s="37" t="s">
        <v>311</v>
      </c>
    </row>
    <row r="14" spans="2:15" x14ac:dyDescent="0.35">
      <c r="B14" s="51" t="s">
        <v>312</v>
      </c>
    </row>
    <row r="15" spans="2:15" x14ac:dyDescent="0.35">
      <c r="B15" s="39" t="s">
        <v>23</v>
      </c>
      <c r="C15" s="39" t="s">
        <v>313</v>
      </c>
      <c r="D15" s="39" t="s">
        <v>314</v>
      </c>
      <c r="E15" s="39" t="s">
        <v>315</v>
      </c>
      <c r="F15" s="39" t="s">
        <v>316</v>
      </c>
    </row>
    <row r="16" spans="2:15" x14ac:dyDescent="0.35">
      <c r="B16" s="41" t="s">
        <v>317</v>
      </c>
      <c r="C16" s="42">
        <f>COUNTIF('Recommendations'!O:O,"Resolved")</f>
        <v>0</v>
      </c>
      <c r="D16" s="42">
        <f>COUNTIF('Recommendations'!O:O,"Testing")</f>
        <v>0</v>
      </c>
      <c r="E16" s="42">
        <f>COUNTIF('Recommendations'!O:O,"Outstanding")</f>
        <v>41</v>
      </c>
      <c r="F16" s="42">
        <f>SUM(C16:E16)</f>
        <v>41</v>
      </c>
    </row>
    <row r="18" spans="2:6" x14ac:dyDescent="0.35">
      <c r="B18" s="51" t="s">
        <v>318</v>
      </c>
    </row>
    <row r="19" spans="2:6" x14ac:dyDescent="0.35">
      <c r="B19" s="52" t="s">
        <v>23</v>
      </c>
      <c r="C19" s="52" t="s">
        <v>313</v>
      </c>
      <c r="D19" s="52" t="s">
        <v>314</v>
      </c>
      <c r="E19" s="52" t="s">
        <v>315</v>
      </c>
      <c r="F19" s="52" t="s">
        <v>23</v>
      </c>
    </row>
    <row r="20" spans="2:6" x14ac:dyDescent="0.35">
      <c r="B20" s="41" t="s">
        <v>317</v>
      </c>
      <c r="C20" s="43">
        <f>IF(F16&gt;0, C16/F16, 0)</f>
        <v>0</v>
      </c>
      <c r="D20" s="43">
        <f>IF(F16&gt;0, D16/F16, 0)</f>
        <v>0</v>
      </c>
      <c r="E20" s="43">
        <f>IF(F16&gt;0, E16/F16, 0)</f>
        <v>1</v>
      </c>
      <c r="F20" s="44" t="s">
        <v>23</v>
      </c>
    </row>
    <row r="25" spans="2:6" ht="18.5" x14ac:dyDescent="0.45">
      <c r="B25" s="37" t="s">
        <v>319</v>
      </c>
    </row>
    <row r="27" spans="2:6" x14ac:dyDescent="0.35">
      <c r="B27" s="51" t="s">
        <v>312</v>
      </c>
    </row>
    <row r="28" spans="2:6" x14ac:dyDescent="0.35">
      <c r="B28" s="39" t="s">
        <v>3</v>
      </c>
      <c r="C28" s="39" t="s">
        <v>313</v>
      </c>
      <c r="D28" s="39" t="s">
        <v>314</v>
      </c>
      <c r="E28" s="39" t="s">
        <v>315</v>
      </c>
      <c r="F28" s="39" t="s">
        <v>316</v>
      </c>
    </row>
    <row r="29" spans="2:6" x14ac:dyDescent="0.35">
      <c r="B29" s="41" t="s">
        <v>39</v>
      </c>
      <c r="C29" s="42">
        <f>COUNTIFS('Recommendations'!D:D,"SHALL",'Recommendations'!O:O,"=Resolved")</f>
        <v>0</v>
      </c>
      <c r="D29" s="42">
        <f>COUNTIFS('Recommendations'!D:D,"=SHALL",'Recommendations'!O:O,"=Testing")</f>
        <v>0</v>
      </c>
      <c r="E29" s="42">
        <f>COUNTIFS('Recommendations'!D:D,"=SHALL",'Recommendations'!O:O,"=Outstanding")</f>
        <v>21</v>
      </c>
      <c r="F29" s="42">
        <f>SUM(C29:E29)</f>
        <v>21</v>
      </c>
    </row>
    <row r="30" spans="2:6" x14ac:dyDescent="0.35">
      <c r="B30" s="41" t="s">
        <v>87</v>
      </c>
      <c r="C30" s="42">
        <f>COUNTIFS('Recommendations'!D:D,"SHALL NOT",'Recommendations'!O:O,"=Resolved")</f>
        <v>0</v>
      </c>
      <c r="D30" s="42">
        <f>COUNTIFS('Recommendations'!D:D,"=SHALL NOT",'Recommendations'!O:O,"=Testing")</f>
        <v>0</v>
      </c>
      <c r="E30" s="42">
        <f>COUNTIFS('Recommendations'!D:D,"=SHALL NOT",'Recommendations'!O:O,"=Outstanding")</f>
        <v>5</v>
      </c>
      <c r="F30" s="42">
        <f>SUM(C30:E30)</f>
        <v>5</v>
      </c>
    </row>
    <row r="31" spans="2:6" x14ac:dyDescent="0.35">
      <c r="B31" s="41" t="s">
        <v>19</v>
      </c>
      <c r="C31" s="42">
        <f>COUNTIFS('Recommendations'!D:D,"SHOULD",'Recommendations'!O:O,"=Resolved")</f>
        <v>0</v>
      </c>
      <c r="D31" s="42">
        <f>COUNTIFS('Recommendations'!D:D,"=SHOULD",'Recommendations'!O:O,"=Testing")</f>
        <v>0</v>
      </c>
      <c r="E31" s="42">
        <f>COUNTIFS('Recommendations'!D:D,"=SHOULD",'Recommendations'!O:O,"=Outstanding")</f>
        <v>15</v>
      </c>
      <c r="F31" s="42">
        <f>SUM(C31:E31)</f>
        <v>15</v>
      </c>
    </row>
    <row r="33" spans="2:6" x14ac:dyDescent="0.35">
      <c r="B33" s="51" t="s">
        <v>318</v>
      </c>
    </row>
    <row r="34" spans="2:6" x14ac:dyDescent="0.35">
      <c r="B34" s="52" t="s">
        <v>3</v>
      </c>
      <c r="C34" s="52" t="s">
        <v>313</v>
      </c>
      <c r="D34" s="52" t="s">
        <v>314</v>
      </c>
      <c r="E34" s="52" t="s">
        <v>315</v>
      </c>
      <c r="F34" s="52" t="s">
        <v>23</v>
      </c>
    </row>
    <row r="35" spans="2:6" x14ac:dyDescent="0.35">
      <c r="B35" s="41" t="s">
        <v>39</v>
      </c>
      <c r="C35" s="43">
        <f>IF(F29&gt;0, C29/F29, 0)</f>
        <v>0</v>
      </c>
      <c r="D35" s="43">
        <f>IF(F29&gt;0, D29/F29, 0)</f>
        <v>0</v>
      </c>
      <c r="E35" s="43">
        <f>IF(F29&gt;0, E29/F29, 0)</f>
        <v>1</v>
      </c>
      <c r="F35" s="44" t="s">
        <v>23</v>
      </c>
    </row>
    <row r="36" spans="2:6" x14ac:dyDescent="0.35">
      <c r="B36" s="41" t="s">
        <v>87</v>
      </c>
      <c r="C36" s="43">
        <f>IF(F30&gt;0, C30/F30, 0)</f>
        <v>0</v>
      </c>
      <c r="D36" s="43">
        <f>IF(F30&gt;0, D30/F30, 0)</f>
        <v>0</v>
      </c>
      <c r="E36" s="43">
        <f>IF(F30&gt;0, E30/F30, 0)</f>
        <v>1</v>
      </c>
      <c r="F36" s="44" t="s">
        <v>23</v>
      </c>
    </row>
    <row r="37" spans="2:6" x14ac:dyDescent="0.35">
      <c r="B37" s="41" t="s">
        <v>19</v>
      </c>
      <c r="C37" s="43">
        <f>IF(F31&gt;0, C31/F31, 0)</f>
        <v>0</v>
      </c>
      <c r="D37" s="43">
        <f>IF(F31&gt;0, D31/F31, 0)</f>
        <v>0</v>
      </c>
      <c r="E37" s="43">
        <f>IF(F31&gt;0, E31/F31, 0)</f>
        <v>1</v>
      </c>
      <c r="F37" s="44" t="s">
        <v>23</v>
      </c>
    </row>
    <row r="42" spans="2:6" ht="18.5" x14ac:dyDescent="0.45">
      <c r="B42" s="37" t="s">
        <v>320</v>
      </c>
    </row>
    <row r="44" spans="2:6" x14ac:dyDescent="0.35">
      <c r="B44" s="51" t="s">
        <v>312</v>
      </c>
    </row>
    <row r="45" spans="2:6" x14ac:dyDescent="0.35">
      <c r="B45" s="39" t="s">
        <v>6</v>
      </c>
      <c r="C45" s="39" t="s">
        <v>313</v>
      </c>
      <c r="D45" s="39" t="s">
        <v>314</v>
      </c>
      <c r="E45" s="39" t="s">
        <v>315</v>
      </c>
      <c r="F45" s="39" t="s">
        <v>316</v>
      </c>
    </row>
    <row r="46" spans="2:6" x14ac:dyDescent="0.35">
      <c r="B46" s="41" t="s">
        <v>321</v>
      </c>
      <c r="C46" s="42">
        <f>COUNTIFS('Recommendations'!G:G,"Phase1",'Recommendations'!O:O,"=Resolved")</f>
        <v>0</v>
      </c>
      <c r="D46" s="42">
        <f>COUNTIFS('Recommendations'!G:G,"=Phase1",'Recommendations'!O:O,"=Testing")</f>
        <v>0</v>
      </c>
      <c r="E46" s="42">
        <f>COUNTIFS('Recommendations'!G:G,"=Phase1",'Recommendations'!O:O,"=Outstanding")</f>
        <v>0</v>
      </c>
      <c r="F46" s="42">
        <f t="shared" ref="F46:F51" si="0">SUM(C46:E46)</f>
        <v>0</v>
      </c>
    </row>
    <row r="47" spans="2:6" x14ac:dyDescent="0.35">
      <c r="B47" s="41" t="s">
        <v>322</v>
      </c>
      <c r="C47" s="42">
        <f>COUNTIFS('Recommendations'!G:G,"Phase2",'Recommendations'!O:O,"=Resolved")</f>
        <v>0</v>
      </c>
      <c r="D47" s="42">
        <f>COUNTIFS('Recommendations'!G:G,"=Phase2",'Recommendations'!O:O,"=Testing")</f>
        <v>0</v>
      </c>
      <c r="E47" s="42">
        <f>COUNTIFS('Recommendations'!G:G,"=Phase2",'Recommendations'!O:O,"=Outstanding")</f>
        <v>0</v>
      </c>
      <c r="F47" s="42">
        <f t="shared" si="0"/>
        <v>0</v>
      </c>
    </row>
    <row r="48" spans="2:6" x14ac:dyDescent="0.35">
      <c r="B48" s="41" t="s">
        <v>323</v>
      </c>
      <c r="C48" s="42">
        <f>COUNTIFS('Recommendations'!G:G,"Phase3",'Recommendations'!O:O,"=Resolved")</f>
        <v>0</v>
      </c>
      <c r="D48" s="42">
        <f>COUNTIFS('Recommendations'!G:G,"=Phase3",'Recommendations'!O:O,"=Testing")</f>
        <v>0</v>
      </c>
      <c r="E48" s="42">
        <f>COUNTIFS('Recommendations'!G:G,"=Phase3",'Recommendations'!O:O,"=Outstanding")</f>
        <v>0</v>
      </c>
      <c r="F48" s="42">
        <f t="shared" si="0"/>
        <v>0</v>
      </c>
    </row>
    <row r="49" spans="2:6" x14ac:dyDescent="0.35">
      <c r="B49" s="41" t="s">
        <v>324</v>
      </c>
      <c r="C49" s="42">
        <f>COUNTIFS('Recommendations'!G:G,"Phase4",'Recommendations'!O:O,"=Resolved")</f>
        <v>0</v>
      </c>
      <c r="D49" s="42">
        <f>COUNTIFS('Recommendations'!G:G,"=Phase4",'Recommendations'!O:O,"=Testing")</f>
        <v>0</v>
      </c>
      <c r="E49" s="42">
        <f>COUNTIFS('Recommendations'!G:G,"=Phase4",'Recommendations'!O:O,"=Outstanding")</f>
        <v>0</v>
      </c>
      <c r="F49" s="42">
        <f t="shared" si="0"/>
        <v>0</v>
      </c>
    </row>
    <row r="50" spans="2:6" x14ac:dyDescent="0.35">
      <c r="B50" s="41" t="s">
        <v>325</v>
      </c>
      <c r="C50" s="42">
        <f>COUNTIFS('Recommendations'!G:G,"Phase5",'Recommendations'!O:O,"=Resolved")</f>
        <v>0</v>
      </c>
      <c r="D50" s="42">
        <f>COUNTIFS('Recommendations'!G:G,"=Phase5",'Recommendations'!O:O,"=Testing")</f>
        <v>0</v>
      </c>
      <c r="E50" s="42">
        <f>COUNTIFS('Recommendations'!G:G,"=Phase5",'Recommendations'!O:O,"=Outstanding")</f>
        <v>0</v>
      </c>
      <c r="F50" s="42">
        <f t="shared" si="0"/>
        <v>0</v>
      </c>
    </row>
    <row r="51" spans="2:6" x14ac:dyDescent="0.35">
      <c r="B51" s="41" t="s">
        <v>22</v>
      </c>
      <c r="C51" s="42">
        <f>COUNTIFS('Recommendations'!G:G,"Pending",'Recommendations'!O:O,"=Resolved")</f>
        <v>0</v>
      </c>
      <c r="D51" s="42">
        <f>COUNTIFS('Recommendations'!G:G,"=Pending",'Recommendations'!O:O,"=Testing")</f>
        <v>0</v>
      </c>
      <c r="E51" s="42">
        <f>COUNTIFS('Recommendations'!G:G,"=Pending",'Recommendations'!O:O,"=Outstanding")</f>
        <v>41</v>
      </c>
      <c r="F51" s="42">
        <f t="shared" si="0"/>
        <v>41</v>
      </c>
    </row>
    <row r="53" spans="2:6" x14ac:dyDescent="0.35">
      <c r="B53" s="51" t="s">
        <v>318</v>
      </c>
    </row>
    <row r="54" spans="2:6" x14ac:dyDescent="0.35">
      <c r="B54" s="52" t="s">
        <v>6</v>
      </c>
      <c r="C54" s="52" t="s">
        <v>313</v>
      </c>
      <c r="D54" s="52" t="s">
        <v>314</v>
      </c>
      <c r="E54" s="52" t="s">
        <v>315</v>
      </c>
      <c r="F54" s="52" t="s">
        <v>23</v>
      </c>
    </row>
    <row r="55" spans="2:6" x14ac:dyDescent="0.35">
      <c r="B55" s="41" t="s">
        <v>321</v>
      </c>
      <c r="C55" s="43">
        <f t="shared" ref="C55:C60" si="1">IF(F46&gt;0, C46/F46, 0)</f>
        <v>0</v>
      </c>
      <c r="D55" s="43">
        <f t="shared" ref="D55:D60" si="2">IF(F46&gt;0, D46/F46, 0)</f>
        <v>0</v>
      </c>
      <c r="E55" s="43">
        <f t="shared" ref="E55:E60" si="3">IF(F46&gt;0, E46/F46, 0)</f>
        <v>0</v>
      </c>
      <c r="F55" s="44" t="s">
        <v>23</v>
      </c>
    </row>
    <row r="56" spans="2:6" x14ac:dyDescent="0.35">
      <c r="B56" s="41" t="s">
        <v>322</v>
      </c>
      <c r="C56" s="43">
        <f t="shared" si="1"/>
        <v>0</v>
      </c>
      <c r="D56" s="43">
        <f t="shared" si="2"/>
        <v>0</v>
      </c>
      <c r="E56" s="43">
        <f t="shared" si="3"/>
        <v>0</v>
      </c>
      <c r="F56" s="44" t="s">
        <v>23</v>
      </c>
    </row>
    <row r="57" spans="2:6" x14ac:dyDescent="0.35">
      <c r="B57" s="41" t="s">
        <v>323</v>
      </c>
      <c r="C57" s="43">
        <f t="shared" si="1"/>
        <v>0</v>
      </c>
      <c r="D57" s="43">
        <f t="shared" si="2"/>
        <v>0</v>
      </c>
      <c r="E57" s="43">
        <f t="shared" si="3"/>
        <v>0</v>
      </c>
      <c r="F57" s="44" t="s">
        <v>23</v>
      </c>
    </row>
    <row r="58" spans="2:6" x14ac:dyDescent="0.35">
      <c r="B58" s="41" t="s">
        <v>324</v>
      </c>
      <c r="C58" s="43">
        <f t="shared" si="1"/>
        <v>0</v>
      </c>
      <c r="D58" s="43">
        <f t="shared" si="2"/>
        <v>0</v>
      </c>
      <c r="E58" s="43">
        <f t="shared" si="3"/>
        <v>0</v>
      </c>
      <c r="F58" s="44" t="s">
        <v>23</v>
      </c>
    </row>
    <row r="59" spans="2:6" x14ac:dyDescent="0.35">
      <c r="B59" s="41" t="s">
        <v>325</v>
      </c>
      <c r="C59" s="43">
        <f t="shared" si="1"/>
        <v>0</v>
      </c>
      <c r="D59" s="43">
        <f t="shared" si="2"/>
        <v>0</v>
      </c>
      <c r="E59" s="43">
        <f t="shared" si="3"/>
        <v>0</v>
      </c>
      <c r="F59" s="44" t="s">
        <v>23</v>
      </c>
    </row>
    <row r="60" spans="2:6" x14ac:dyDescent="0.35">
      <c r="B60" s="41" t="s">
        <v>22</v>
      </c>
      <c r="C60" s="43">
        <f t="shared" si="1"/>
        <v>0</v>
      </c>
      <c r="D60" s="43">
        <f t="shared" si="2"/>
        <v>0</v>
      </c>
      <c r="E60" s="43">
        <f t="shared" si="3"/>
        <v>1</v>
      </c>
      <c r="F60" s="44" t="s">
        <v>23</v>
      </c>
    </row>
    <row r="65" spans="2:6" ht="18.5" x14ac:dyDescent="0.45">
      <c r="B65" s="37" t="s">
        <v>326</v>
      </c>
    </row>
    <row r="67" spans="2:6" x14ac:dyDescent="0.35">
      <c r="B67" s="51" t="s">
        <v>312</v>
      </c>
    </row>
    <row r="68" spans="2:6" x14ac:dyDescent="0.35">
      <c r="B68" s="39" t="s">
        <v>4</v>
      </c>
      <c r="C68" s="39" t="s">
        <v>313</v>
      </c>
      <c r="D68" s="39" t="s">
        <v>314</v>
      </c>
      <c r="E68" s="39" t="s">
        <v>315</v>
      </c>
      <c r="F68" s="39" t="s">
        <v>316</v>
      </c>
    </row>
    <row r="69" spans="2:6" x14ac:dyDescent="0.35">
      <c r="B69" s="41" t="s">
        <v>327</v>
      </c>
      <c r="C69" s="42">
        <f>COUNTIFS('Recommendations'!E:E,"Must",'Recommendations'!O:O,"=Resolved")</f>
        <v>0</v>
      </c>
      <c r="D69" s="42">
        <f>COUNTIFS('Recommendations'!E:E,"=Must",'Recommendations'!O:O,"=Testing")</f>
        <v>0</v>
      </c>
      <c r="E69" s="42">
        <f>COUNTIFS('Recommendations'!E:E,"=Must",'Recommendations'!O:O,"=Outstanding")</f>
        <v>0</v>
      </c>
      <c r="F69" s="42">
        <f>SUM(C69:E69)</f>
        <v>0</v>
      </c>
    </row>
    <row r="70" spans="2:6" x14ac:dyDescent="0.35">
      <c r="B70" s="41" t="s">
        <v>328</v>
      </c>
      <c r="C70" s="42">
        <f>COUNTIFS('Recommendations'!E:E,"Should",'Recommendations'!O:O,"=Resolved")</f>
        <v>0</v>
      </c>
      <c r="D70" s="42">
        <f>COUNTIFS('Recommendations'!E:E,"=Should",'Recommendations'!O:O,"=Testing")</f>
        <v>0</v>
      </c>
      <c r="E70" s="42">
        <f>COUNTIFS('Recommendations'!E:E,"=Should",'Recommendations'!O:O,"=Outstanding")</f>
        <v>0</v>
      </c>
      <c r="F70" s="42">
        <f>SUM(C70:E70)</f>
        <v>0</v>
      </c>
    </row>
    <row r="71" spans="2:6" x14ac:dyDescent="0.35">
      <c r="B71" s="41" t="s">
        <v>329</v>
      </c>
      <c r="C71" s="42">
        <f>COUNTIFS('Recommendations'!E:E,"Could",'Recommendations'!O:O,"=Resolved")</f>
        <v>0</v>
      </c>
      <c r="D71" s="42">
        <f>COUNTIFS('Recommendations'!E:E,"=Could",'Recommendations'!O:O,"=Testing")</f>
        <v>0</v>
      </c>
      <c r="E71" s="42">
        <f>COUNTIFS('Recommendations'!E:E,"=Could",'Recommendations'!O:O,"=Outstanding")</f>
        <v>0</v>
      </c>
      <c r="F71" s="42">
        <f>SUM(C71:E71)</f>
        <v>0</v>
      </c>
    </row>
    <row r="72" spans="2:6" x14ac:dyDescent="0.35">
      <c r="B72" s="41" t="s">
        <v>330</v>
      </c>
      <c r="C72" s="42">
        <f>COUNTIFS('Recommendations'!E:E,"Won't",'Recommendations'!O:O,"=Resolved")</f>
        <v>0</v>
      </c>
      <c r="D72" s="42">
        <f>COUNTIFS('Recommendations'!E:E,"=Won't",'Recommendations'!O:O,"=Testing")</f>
        <v>0</v>
      </c>
      <c r="E72" s="42">
        <f>COUNTIFS('Recommendations'!E:E,"=Won't",'Recommendations'!O:O,"=Outstanding")</f>
        <v>0</v>
      </c>
      <c r="F72" s="42">
        <f>SUM(C72:E72)</f>
        <v>0</v>
      </c>
    </row>
    <row r="73" spans="2:6" x14ac:dyDescent="0.35">
      <c r="B73" s="41" t="s">
        <v>20</v>
      </c>
      <c r="C73" s="42">
        <f>COUNTIFS('Recommendations'!E:E,"Unassigned",'Recommendations'!O:O,"=Resolved")</f>
        <v>0</v>
      </c>
      <c r="D73" s="42">
        <f>COUNTIFS('Recommendations'!E:E,"=Unassigned",'Recommendations'!O:O,"=Testing")</f>
        <v>0</v>
      </c>
      <c r="E73" s="42">
        <f>COUNTIFS('Recommendations'!E:E,"=Unassigned",'Recommendations'!O:O,"=Outstanding")</f>
        <v>41</v>
      </c>
      <c r="F73" s="42">
        <f>SUM(C73:E73)</f>
        <v>41</v>
      </c>
    </row>
    <row r="75" spans="2:6" x14ac:dyDescent="0.35">
      <c r="B75" s="51" t="s">
        <v>318</v>
      </c>
    </row>
    <row r="76" spans="2:6" x14ac:dyDescent="0.35">
      <c r="B76" s="52" t="s">
        <v>4</v>
      </c>
      <c r="C76" s="52" t="s">
        <v>313</v>
      </c>
      <c r="D76" s="52" t="s">
        <v>314</v>
      </c>
      <c r="E76" s="52" t="s">
        <v>315</v>
      </c>
      <c r="F76" s="52" t="s">
        <v>23</v>
      </c>
    </row>
    <row r="77" spans="2:6" x14ac:dyDescent="0.35">
      <c r="B77" s="41" t="s">
        <v>327</v>
      </c>
      <c r="C77" s="43">
        <f>IF(F69&gt;0, C69/F69, 0)</f>
        <v>0</v>
      </c>
      <c r="D77" s="43">
        <f>IF(F69&gt;0, D69/F69, 0)</f>
        <v>0</v>
      </c>
      <c r="E77" s="43">
        <f>IF(F69&gt;0, E69/F69, 0)</f>
        <v>0</v>
      </c>
      <c r="F77" s="44" t="s">
        <v>23</v>
      </c>
    </row>
    <row r="78" spans="2:6" x14ac:dyDescent="0.35">
      <c r="B78" s="41" t="s">
        <v>328</v>
      </c>
      <c r="C78" s="43">
        <f>IF(F70&gt;0, C70/F70, 0)</f>
        <v>0</v>
      </c>
      <c r="D78" s="43">
        <f>IF(F70&gt;0, D70/F70, 0)</f>
        <v>0</v>
      </c>
      <c r="E78" s="43">
        <f>IF(F70&gt;0, E70/F70, 0)</f>
        <v>0</v>
      </c>
      <c r="F78" s="44" t="s">
        <v>23</v>
      </c>
    </row>
    <row r="79" spans="2:6" x14ac:dyDescent="0.35">
      <c r="B79" s="41" t="s">
        <v>329</v>
      </c>
      <c r="C79" s="43">
        <f>IF(F71&gt;0, C71/F71, 0)</f>
        <v>0</v>
      </c>
      <c r="D79" s="43">
        <f>IF(F71&gt;0, D71/F71, 0)</f>
        <v>0</v>
      </c>
      <c r="E79" s="43">
        <f>IF(F71&gt;0, E71/F71, 0)</f>
        <v>0</v>
      </c>
      <c r="F79" s="44" t="s">
        <v>23</v>
      </c>
    </row>
    <row r="80" spans="2:6" x14ac:dyDescent="0.35">
      <c r="B80" s="41" t="s">
        <v>330</v>
      </c>
      <c r="C80" s="43">
        <f>IF(F72&gt;0, C72/F72, 0)</f>
        <v>0</v>
      </c>
      <c r="D80" s="43">
        <f>IF(F72&gt;0, D72/F72, 0)</f>
        <v>0</v>
      </c>
      <c r="E80" s="43">
        <f>IF(F72&gt;0, E72/F72, 0)</f>
        <v>0</v>
      </c>
      <c r="F80" s="44" t="s">
        <v>23</v>
      </c>
    </row>
    <row r="81" spans="2:6" x14ac:dyDescent="0.35">
      <c r="B81" s="41" t="s">
        <v>20</v>
      </c>
      <c r="C81" s="43">
        <f>IF(F73&gt;0, C73/F73, 0)</f>
        <v>0</v>
      </c>
      <c r="D81" s="43">
        <f>IF(F73&gt;0, D73/F73, 0)</f>
        <v>0</v>
      </c>
      <c r="E81" s="43">
        <f>IF(F73&gt;0, E73/F73, 0)</f>
        <v>1</v>
      </c>
      <c r="F81" s="44" t="s">
        <v>23</v>
      </c>
    </row>
    <row r="86" spans="2:6" ht="18.5" x14ac:dyDescent="0.45">
      <c r="B86" s="37" t="s">
        <v>331</v>
      </c>
    </row>
    <row r="88" spans="2:6" x14ac:dyDescent="0.35">
      <c r="B88" s="51" t="s">
        <v>312</v>
      </c>
    </row>
    <row r="89" spans="2:6" x14ac:dyDescent="0.35">
      <c r="B89" s="39" t="s">
        <v>332</v>
      </c>
      <c r="C89" s="39" t="s">
        <v>313</v>
      </c>
      <c r="D89" s="39" t="s">
        <v>314</v>
      </c>
      <c r="E89" s="39" t="s">
        <v>315</v>
      </c>
      <c r="F89" s="39" t="s">
        <v>316</v>
      </c>
    </row>
    <row r="90" spans="2:6" x14ac:dyDescent="0.35">
      <c r="B90" s="41" t="s">
        <v>333</v>
      </c>
      <c r="C90" s="42">
        <f>COUNTIFS('Recommendations'!F:F,"Low",'Recommendations'!O:O,"=Resolved")</f>
        <v>0</v>
      </c>
      <c r="D90" s="42">
        <f>COUNTIFS('Recommendations'!F:F,"=Low",'Recommendations'!O:O,"=Testing")</f>
        <v>0</v>
      </c>
      <c r="E90" s="42">
        <f>COUNTIFS('Recommendations'!F:F,"=Low",'Recommendations'!O:O,"=Outstanding")</f>
        <v>0</v>
      </c>
      <c r="F90" s="42">
        <f>SUM(C90:E90)</f>
        <v>0</v>
      </c>
    </row>
    <row r="91" spans="2:6" x14ac:dyDescent="0.35">
      <c r="B91" s="41" t="s">
        <v>334</v>
      </c>
      <c r="C91" s="42">
        <f>COUNTIFS('Recommendations'!F:F,"Medium",'Recommendations'!O:O,"=Resolved")</f>
        <v>0</v>
      </c>
      <c r="D91" s="42">
        <f>COUNTIFS('Recommendations'!F:F,"=Medium",'Recommendations'!O:O,"=Testing")</f>
        <v>0</v>
      </c>
      <c r="E91" s="42">
        <f>COUNTIFS('Recommendations'!F:F,"=Medium",'Recommendations'!O:O,"=Outstanding")</f>
        <v>0</v>
      </c>
      <c r="F91" s="42">
        <f>SUM(C91:E91)</f>
        <v>0</v>
      </c>
    </row>
    <row r="92" spans="2:6" x14ac:dyDescent="0.35">
      <c r="B92" s="41" t="s">
        <v>335</v>
      </c>
      <c r="C92" s="42">
        <f>COUNTIFS('Recommendations'!F:F,"High",'Recommendations'!O:O,"=Resolved")</f>
        <v>0</v>
      </c>
      <c r="D92" s="42">
        <f>COUNTIFS('Recommendations'!F:F,"=High",'Recommendations'!O:O,"=Testing")</f>
        <v>0</v>
      </c>
      <c r="E92" s="42">
        <f>COUNTIFS('Recommendations'!F:F,"=High",'Recommendations'!O:O,"=Outstanding")</f>
        <v>0</v>
      </c>
      <c r="F92" s="42">
        <f>SUM(C92:E92)</f>
        <v>0</v>
      </c>
    </row>
    <row r="93" spans="2:6" x14ac:dyDescent="0.35">
      <c r="B93" s="41" t="s">
        <v>21</v>
      </c>
      <c r="C93" s="42">
        <f>COUNTIFS('Recommendations'!F:F,"Unassessed",'Recommendations'!O:O,"=Resolved")</f>
        <v>0</v>
      </c>
      <c r="D93" s="42">
        <f>COUNTIFS('Recommendations'!F:F,"=Unassessed",'Recommendations'!O:O,"=Testing")</f>
        <v>0</v>
      </c>
      <c r="E93" s="42">
        <f>COUNTIFS('Recommendations'!F:F,"=Unassessed",'Recommendations'!O:O,"=Outstanding")</f>
        <v>41</v>
      </c>
      <c r="F93" s="42">
        <f>SUM(C93:E93)</f>
        <v>41</v>
      </c>
    </row>
    <row r="95" spans="2:6" x14ac:dyDescent="0.35">
      <c r="B95" s="51" t="s">
        <v>318</v>
      </c>
    </row>
    <row r="96" spans="2:6" x14ac:dyDescent="0.35">
      <c r="B96" s="52" t="s">
        <v>332</v>
      </c>
      <c r="C96" s="52" t="s">
        <v>313</v>
      </c>
      <c r="D96" s="52" t="s">
        <v>314</v>
      </c>
      <c r="E96" s="52" t="s">
        <v>315</v>
      </c>
      <c r="F96" s="52" t="s">
        <v>23</v>
      </c>
    </row>
    <row r="97" spans="2:15" x14ac:dyDescent="0.35">
      <c r="B97" s="41" t="s">
        <v>333</v>
      </c>
      <c r="C97" s="43">
        <f>IF(F90&gt;0, C90/F90, 0)</f>
        <v>0</v>
      </c>
      <c r="D97" s="43">
        <f>IF(F90&gt;0, D90/F90, 0)</f>
        <v>0</v>
      </c>
      <c r="E97" s="43">
        <f>IF(F90&gt;0, E90/F90, 0)</f>
        <v>0</v>
      </c>
      <c r="F97" s="44" t="s">
        <v>23</v>
      </c>
    </row>
    <row r="98" spans="2:15" x14ac:dyDescent="0.35">
      <c r="B98" s="41" t="s">
        <v>334</v>
      </c>
      <c r="C98" s="43">
        <f>IF(F91&gt;0, C91/F91, 0)</f>
        <v>0</v>
      </c>
      <c r="D98" s="43">
        <f>IF(F91&gt;0, D91/F91, 0)</f>
        <v>0</v>
      </c>
      <c r="E98" s="43">
        <f>IF(F91&gt;0, E91/F91, 0)</f>
        <v>0</v>
      </c>
      <c r="F98" s="44" t="s">
        <v>23</v>
      </c>
    </row>
    <row r="99" spans="2:15" x14ac:dyDescent="0.35">
      <c r="B99" s="41" t="s">
        <v>335</v>
      </c>
      <c r="C99" s="43">
        <f>IF(F92&gt;0, C92/F92, 0)</f>
        <v>0</v>
      </c>
      <c r="D99" s="43">
        <f>IF(F92&gt;0, D92/F92, 0)</f>
        <v>0</v>
      </c>
      <c r="E99" s="43">
        <f>IF(F92&gt;0, E92/F92, 0)</f>
        <v>0</v>
      </c>
      <c r="F99" s="44" t="s">
        <v>23</v>
      </c>
    </row>
    <row r="100" spans="2:15" x14ac:dyDescent="0.35">
      <c r="B100" s="41" t="s">
        <v>21</v>
      </c>
      <c r="C100" s="43">
        <f>IF(F93&gt;0, C93/F93, 0)</f>
        <v>0</v>
      </c>
      <c r="D100" s="43">
        <f>IF(F93&gt;0, D93/F93, 0)</f>
        <v>0</v>
      </c>
      <c r="E100" s="43">
        <f>IF(F93&gt;0, E93/F93, 0)</f>
        <v>1</v>
      </c>
      <c r="F100" s="44" t="s">
        <v>23</v>
      </c>
    </row>
    <row r="105" spans="2:15" ht="18.5" x14ac:dyDescent="0.45">
      <c r="B105" s="37" t="s">
        <v>336</v>
      </c>
      <c r="J105" s="37" t="s">
        <v>337</v>
      </c>
    </row>
    <row r="106" spans="2:15" x14ac:dyDescent="0.35">
      <c r="B106" s="39" t="s">
        <v>6</v>
      </c>
      <c r="C106" s="84" t="s">
        <v>338</v>
      </c>
      <c r="D106" s="84"/>
      <c r="E106" s="39" t="s">
        <v>305</v>
      </c>
      <c r="F106" s="39" t="s">
        <v>313</v>
      </c>
      <c r="G106" s="84" t="s">
        <v>339</v>
      </c>
      <c r="H106" s="84"/>
      <c r="J106" s="39" t="s">
        <v>6</v>
      </c>
      <c r="K106" s="39" t="s">
        <v>327</v>
      </c>
      <c r="L106" s="39" t="s">
        <v>328</v>
      </c>
      <c r="M106" s="39" t="s">
        <v>329</v>
      </c>
      <c r="N106" s="39" t="s">
        <v>330</v>
      </c>
      <c r="O106" s="39" t="s">
        <v>20</v>
      </c>
    </row>
    <row r="107" spans="2:15" x14ac:dyDescent="0.35">
      <c r="B107" s="45" t="s">
        <v>321</v>
      </c>
      <c r="C107" s="85" t="s">
        <v>23</v>
      </c>
      <c r="D107" s="85"/>
      <c r="E107" s="42">
        <f>COUNTIF('Recommendations'!G:G,"Phase1")-COUNTIFS('Recommendations'!G:G,"Phase1",'Recommendations'!H:H,"Risk Accepted")-COUNTIFS('Recommendations'!G:G,"Phase1",'Recommendations'!H:H,"N/A")</f>
        <v>0</v>
      </c>
      <c r="F107" s="42">
        <f>COUNTIFS('Recommendations'!G:G,"Phase1",'Recommendations'!O:O,"Resolved")</f>
        <v>0</v>
      </c>
      <c r="G107" s="86">
        <f t="shared" ref="G107:G112" si="4">IF(E107&gt;0,F107/E107,0)</f>
        <v>0</v>
      </c>
      <c r="H107" s="86"/>
      <c r="J107" s="45" t="s">
        <v>321</v>
      </c>
      <c r="K107" s="42">
        <f>COUNTIFS('Recommendations'!G:G,"Phase1",'Recommendations'!E:E,"Must")</f>
        <v>0</v>
      </c>
      <c r="L107" s="42">
        <f>COUNTIFS('Recommendations'!G:G,"Phase1",'Recommendations'!E:E,"Should")</f>
        <v>0</v>
      </c>
      <c r="M107" s="42">
        <f>COUNTIFS('Recommendations'!G:G,"Phase1",'Recommendations'!E:E,"Could")</f>
        <v>0</v>
      </c>
      <c r="N107" s="42">
        <f>COUNTIFS('Recommendations'!G:G,"Phase1",'Recommendations'!E:E,"Won't")</f>
        <v>0</v>
      </c>
      <c r="O107" s="42">
        <f>COUNTIFS('Recommendations'!G:G,"Phase1",'Recommendations'!E:E,"Unassigned")</f>
        <v>0</v>
      </c>
    </row>
    <row r="108" spans="2:15" x14ac:dyDescent="0.35">
      <c r="B108" s="45" t="s">
        <v>322</v>
      </c>
      <c r="C108" s="85" t="s">
        <v>23</v>
      </c>
      <c r="D108" s="85"/>
      <c r="E108" s="42">
        <f>COUNTIF('Recommendations'!G:G,"Phase2")-COUNTIFS('Recommendations'!G:G,"Phase2",'Recommendations'!H:H,"Risk Accepted")-COUNTIFS('Recommendations'!G:G,"Phase2",'Recommendations'!H:H,"N/A")</f>
        <v>0</v>
      </c>
      <c r="F108" s="42">
        <f>COUNTIFS('Recommendations'!G:G,"Phase2",'Recommendations'!O:O,"Resolved")</f>
        <v>0</v>
      </c>
      <c r="G108" s="86">
        <f t="shared" si="4"/>
        <v>0</v>
      </c>
      <c r="H108" s="86"/>
      <c r="J108" s="45" t="s">
        <v>322</v>
      </c>
      <c r="K108" s="42">
        <f>COUNTIFS('Recommendations'!G:G,"Phase2",'Recommendations'!E:E,"Must")</f>
        <v>0</v>
      </c>
      <c r="L108" s="42">
        <f>COUNTIFS('Recommendations'!G:G,"Phase2",'Recommendations'!E:E,"Should")</f>
        <v>0</v>
      </c>
      <c r="M108" s="42">
        <f>COUNTIFS('Recommendations'!G:G,"Phase2",'Recommendations'!E:E,"Could")</f>
        <v>0</v>
      </c>
      <c r="N108" s="42">
        <f>COUNTIFS('Recommendations'!G:G,"Phase2",'Recommendations'!E:E,"Won't")</f>
        <v>0</v>
      </c>
      <c r="O108" s="42">
        <f>COUNTIFS('Recommendations'!G:G,"Phase2",'Recommendations'!E:E,"Unassigned")</f>
        <v>0</v>
      </c>
    </row>
    <row r="109" spans="2:15" x14ac:dyDescent="0.35">
      <c r="B109" s="45" t="s">
        <v>323</v>
      </c>
      <c r="C109" s="85" t="s">
        <v>23</v>
      </c>
      <c r="D109" s="85"/>
      <c r="E109" s="42">
        <f>COUNTIF('Recommendations'!G:G,"Phase3")-COUNTIFS('Recommendations'!G:G,"Phase3",'Recommendations'!H:H,"Risk Accepted")-COUNTIFS('Recommendations'!G:G,"Phase3",'Recommendations'!H:H,"N/A")</f>
        <v>0</v>
      </c>
      <c r="F109" s="42">
        <f>COUNTIFS('Recommendations'!G:G,"Phase3",'Recommendations'!O:O,"Resolved")</f>
        <v>0</v>
      </c>
      <c r="G109" s="86">
        <f t="shared" si="4"/>
        <v>0</v>
      </c>
      <c r="H109" s="86"/>
      <c r="J109" s="45" t="s">
        <v>323</v>
      </c>
      <c r="K109" s="42">
        <f>COUNTIFS('Recommendations'!G:G,"Phase3",'Recommendations'!E:E,"Must")</f>
        <v>0</v>
      </c>
      <c r="L109" s="42">
        <f>COUNTIFS('Recommendations'!G:G,"Phase3",'Recommendations'!E:E,"Should")</f>
        <v>0</v>
      </c>
      <c r="M109" s="42">
        <f>COUNTIFS('Recommendations'!G:G,"Phase3",'Recommendations'!E:E,"Could")</f>
        <v>0</v>
      </c>
      <c r="N109" s="42">
        <f>COUNTIFS('Recommendations'!G:G,"Phase3",'Recommendations'!E:E,"Won't")</f>
        <v>0</v>
      </c>
      <c r="O109" s="42">
        <f>COUNTIFS('Recommendations'!G:G,"Phase3",'Recommendations'!E:E,"Unassigned")</f>
        <v>0</v>
      </c>
    </row>
    <row r="110" spans="2:15" x14ac:dyDescent="0.35">
      <c r="B110" s="45" t="s">
        <v>324</v>
      </c>
      <c r="C110" s="85" t="s">
        <v>23</v>
      </c>
      <c r="D110" s="85"/>
      <c r="E110" s="42">
        <f>COUNTIF('Recommendations'!G:G,"Phase4")-COUNTIFS('Recommendations'!G:G,"Phase4",'Recommendations'!H:H,"Risk Accepted")-COUNTIFS('Recommendations'!G:G,"Phase4",'Recommendations'!H:H,"N/A")</f>
        <v>0</v>
      </c>
      <c r="F110" s="42">
        <f>COUNTIFS('Recommendations'!G:G,"Phase4",'Recommendations'!O:O,"Resolved")</f>
        <v>0</v>
      </c>
      <c r="G110" s="86">
        <f t="shared" si="4"/>
        <v>0</v>
      </c>
      <c r="H110" s="86"/>
      <c r="J110" s="45" t="s">
        <v>324</v>
      </c>
      <c r="K110" s="42">
        <f>COUNTIFS('Recommendations'!G:G,"Phase4",'Recommendations'!E:E,"Must")</f>
        <v>0</v>
      </c>
      <c r="L110" s="42">
        <f>COUNTIFS('Recommendations'!G:G,"Phase4",'Recommendations'!E:E,"Should")</f>
        <v>0</v>
      </c>
      <c r="M110" s="42">
        <f>COUNTIFS('Recommendations'!G:G,"Phase4",'Recommendations'!E:E,"Could")</f>
        <v>0</v>
      </c>
      <c r="N110" s="42">
        <f>COUNTIFS('Recommendations'!G:G,"Phase4",'Recommendations'!E:E,"Won't")</f>
        <v>0</v>
      </c>
      <c r="O110" s="42">
        <f>COUNTIFS('Recommendations'!G:G,"Phase4",'Recommendations'!E:E,"Unassigned")</f>
        <v>0</v>
      </c>
    </row>
    <row r="111" spans="2:15" x14ac:dyDescent="0.35">
      <c r="B111" s="45" t="s">
        <v>325</v>
      </c>
      <c r="C111" s="85" t="s">
        <v>23</v>
      </c>
      <c r="D111" s="85"/>
      <c r="E111" s="42">
        <f>COUNTIF('Recommendations'!G:G,"Phase5")-COUNTIFS('Recommendations'!G:G,"Phase5",'Recommendations'!H:H,"Risk Accepted")-COUNTIFS('Recommendations'!G:G,"Phase5",'Recommendations'!H:H,"N/A")</f>
        <v>0</v>
      </c>
      <c r="F111" s="42">
        <f>COUNTIFS('Recommendations'!G:G,"Phase5",'Recommendations'!O:O,"Resolved")</f>
        <v>0</v>
      </c>
      <c r="G111" s="86">
        <f t="shared" si="4"/>
        <v>0</v>
      </c>
      <c r="H111" s="86"/>
      <c r="J111" s="45" t="s">
        <v>325</v>
      </c>
      <c r="K111" s="42">
        <f>COUNTIFS('Recommendations'!G:G,"Phase5",'Recommendations'!E:E,"Must")</f>
        <v>0</v>
      </c>
      <c r="L111" s="42">
        <f>COUNTIFS('Recommendations'!G:G,"Phase5",'Recommendations'!E:E,"Should")</f>
        <v>0</v>
      </c>
      <c r="M111" s="42">
        <f>COUNTIFS('Recommendations'!G:G,"Phase5",'Recommendations'!E:E,"Could")</f>
        <v>0</v>
      </c>
      <c r="N111" s="42">
        <f>COUNTIFS('Recommendations'!G:G,"Phase5",'Recommendations'!E:E,"Won't")</f>
        <v>0</v>
      </c>
      <c r="O111" s="42">
        <f>COUNTIFS('Recommendations'!G:G,"Phase5",'Recommendations'!E:E,"Unassigned")</f>
        <v>0</v>
      </c>
    </row>
    <row r="112" spans="2:15" x14ac:dyDescent="0.35">
      <c r="B112" s="45" t="s">
        <v>22</v>
      </c>
      <c r="C112" s="85" t="s">
        <v>23</v>
      </c>
      <c r="D112" s="85"/>
      <c r="E112" s="42">
        <f>COUNTIF('Recommendations'!G:G,"Pending")-COUNTIFS('Recommendations'!G:G,"Pending",'Recommendations'!H:H,"Risk Accepted")-COUNTIFS('Recommendations'!G:G,"Pending",'Recommendations'!H:H,"N/A")</f>
        <v>41</v>
      </c>
      <c r="F112" s="42">
        <f>COUNTIFS('Recommendations'!G:G,"Pending",'Recommendations'!O:O,"Resolved")</f>
        <v>0</v>
      </c>
      <c r="G112" s="86">
        <f t="shared" si="4"/>
        <v>0</v>
      </c>
      <c r="H112" s="86"/>
      <c r="J112" s="45" t="s">
        <v>22</v>
      </c>
      <c r="K112" s="42">
        <f>COUNTIFS('Recommendations'!G:G,"Pending",'Recommendations'!E:E,"Must")</f>
        <v>0</v>
      </c>
      <c r="L112" s="42">
        <f>COUNTIFS('Recommendations'!G:G,"Pending",'Recommendations'!E:E,"Should")</f>
        <v>0</v>
      </c>
      <c r="M112" s="42">
        <f>COUNTIFS('Recommendations'!G:G,"Pending",'Recommendations'!E:E,"Could")</f>
        <v>0</v>
      </c>
      <c r="N112" s="42">
        <f>COUNTIFS('Recommendations'!G:G,"Pending",'Recommendations'!E:E,"Won't")</f>
        <v>0</v>
      </c>
      <c r="O112" s="42">
        <f>COUNTIFS('Recommendations'!G:G,"Pending",'Recommendations'!E:E,"Unassigned")</f>
        <v>41</v>
      </c>
    </row>
    <row r="119" spans="2:24" ht="21" x14ac:dyDescent="0.5">
      <c r="B119" s="37" t="s">
        <v>340</v>
      </c>
      <c r="P119" s="54" t="s">
        <v>341</v>
      </c>
    </row>
    <row r="121" spans="2:24" ht="60" customHeight="1" x14ac:dyDescent="0.35">
      <c r="B121" s="87" t="s">
        <v>342</v>
      </c>
      <c r="C121" s="80"/>
      <c r="D121" s="80"/>
      <c r="E121" s="80"/>
      <c r="F121" s="80"/>
      <c r="P121" s="87" t="s">
        <v>343</v>
      </c>
      <c r="Q121" s="80"/>
      <c r="R121" s="80"/>
      <c r="S121" s="80"/>
      <c r="T121" s="80"/>
      <c r="U121" s="80"/>
      <c r="V121" s="80"/>
      <c r="W121" s="80"/>
    </row>
    <row r="123" spans="2:24" ht="30" customHeight="1" x14ac:dyDescent="0.35">
      <c r="P123" s="55" t="s">
        <v>344</v>
      </c>
      <c r="Q123" s="56">
        <f>C16</f>
        <v>0</v>
      </c>
      <c r="R123" s="57"/>
      <c r="S123" s="56">
        <f>C69</f>
        <v>0</v>
      </c>
      <c r="T123" s="57"/>
      <c r="U123" s="56">
        <f>C70</f>
        <v>0</v>
      </c>
      <c r="V123" s="57"/>
      <c r="W123" s="56">
        <f>C71</f>
        <v>0</v>
      </c>
      <c r="X123" s="57"/>
    </row>
    <row r="124" spans="2:24" ht="35" customHeight="1" x14ac:dyDescent="0.35">
      <c r="P124" s="58" t="s">
        <v>345</v>
      </c>
      <c r="Q124" s="58" t="s">
        <v>346</v>
      </c>
      <c r="R124" s="58" t="s">
        <v>347</v>
      </c>
      <c r="S124" s="58" t="s">
        <v>348</v>
      </c>
      <c r="T124" s="58" t="s">
        <v>349</v>
      </c>
      <c r="U124" s="58" t="s">
        <v>350</v>
      </c>
      <c r="V124" s="58" t="s">
        <v>351</v>
      </c>
      <c r="W124" s="58" t="s">
        <v>352</v>
      </c>
      <c r="X124" s="58" t="s">
        <v>353</v>
      </c>
    </row>
    <row r="125" spans="2:24" x14ac:dyDescent="0.35">
      <c r="O125" s="59" t="s">
        <v>354</v>
      </c>
      <c r="P125" s="60" t="s">
        <v>355</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356</v>
      </c>
      <c r="P160" s="54" t="s">
        <v>357</v>
      </c>
    </row>
    <row r="162" spans="2:22" ht="45" customHeight="1" x14ac:dyDescent="0.35">
      <c r="B162" s="87" t="s">
        <v>358</v>
      </c>
      <c r="C162" s="80"/>
      <c r="D162" s="80"/>
      <c r="E162" s="80"/>
      <c r="F162" s="80"/>
      <c r="P162" s="87" t="s">
        <v>359</v>
      </c>
      <c r="Q162" s="80"/>
      <c r="R162" s="80"/>
      <c r="S162" s="80"/>
      <c r="T162" s="80"/>
      <c r="U162" s="80"/>
    </row>
    <row r="163" spans="2:22" ht="35" customHeight="1" x14ac:dyDescent="0.35">
      <c r="P163" s="84" t="s">
        <v>360</v>
      </c>
      <c r="Q163" s="84"/>
      <c r="R163" s="84" t="s">
        <v>361</v>
      </c>
      <c r="S163" s="84"/>
      <c r="T163" s="84"/>
    </row>
    <row r="164" spans="2:22" ht="30" customHeight="1" x14ac:dyDescent="0.35">
      <c r="P164" s="88">
        <v>0</v>
      </c>
      <c r="Q164" s="89"/>
      <c r="R164" s="90" t="s">
        <v>362</v>
      </c>
      <c r="S164" s="91"/>
      <c r="T164" s="91"/>
    </row>
    <row r="167" spans="2:22" ht="25" customHeight="1" x14ac:dyDescent="0.35">
      <c r="P167" s="63" t="s">
        <v>345</v>
      </c>
      <c r="Q167" s="63" t="s">
        <v>363</v>
      </c>
      <c r="R167" s="63" t="s">
        <v>364</v>
      </c>
      <c r="S167" s="92" t="s">
        <v>8</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242</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07:H112">
    <cfRule type="expression" dxfId="29" priority="4">
      <formula>$G107&gt;=0.8</formula>
    </cfRule>
    <cfRule type="expression" dxfId="28" priority="5">
      <formula>AND($G107&gt;=0.5,$G107&lt;0.8)</formula>
    </cfRule>
    <cfRule type="expression" dxfId="27" priority="6">
      <formula>$G107&lt;0.5</formula>
    </cfRule>
  </conditionalFormatting>
  <conditionalFormatting sqref="K107:K112">
    <cfRule type="cellIs" dxfId="26" priority="7" operator="greaterThan">
      <formula>0</formula>
    </cfRule>
  </conditionalFormatting>
  <conditionalFormatting sqref="L107:L112">
    <cfRule type="cellIs" dxfId="25" priority="8" operator="greaterThan">
      <formula>0</formula>
    </cfRule>
  </conditionalFormatting>
  <conditionalFormatting sqref="M107:M112">
    <cfRule type="cellIs" dxfId="24" priority="9" operator="greaterThan">
      <formula>0</formula>
    </cfRule>
  </conditionalFormatting>
  <conditionalFormatting sqref="N107:N112">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6"/>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26" customWidth="1" outlineLevel="1"/>
    <col min="2" max="2" width="20" customWidth="1"/>
    <col min="3" max="3" width="45" customWidth="1"/>
    <col min="4" max="4" width="10" customWidth="1" outlineLevel="1"/>
    <col min="5"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30" hidden="1" customWidth="1" outlineLevel="1" collapsed="1"/>
    <col min="14" max="14" width="55" hidden="1" customWidth="1" outlineLevel="1" collapsed="1"/>
    <col min="15" max="15" width="18" hidden="1" customWidth="1" outlineLevel="1" collapsed="1"/>
    <col min="16" max="16" width="18" customWidth="1"/>
  </cols>
  <sheetData>
    <row r="1" spans="1:16"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7" t="s">
        <v>15</v>
      </c>
    </row>
    <row r="2" spans="1:16" ht="60" customHeight="1" x14ac:dyDescent="0.35">
      <c r="A2" s="11" t="s">
        <v>16</v>
      </c>
      <c r="B2" s="2" t="s">
        <v>17</v>
      </c>
      <c r="C2" s="3" t="s">
        <v>18</v>
      </c>
      <c r="D2" s="4" t="s">
        <v>19</v>
      </c>
      <c r="E2" s="4" t="s">
        <v>20</v>
      </c>
      <c r="F2" s="4" t="s">
        <v>21</v>
      </c>
      <c r="G2" s="4" t="s">
        <v>22</v>
      </c>
      <c r="H2" s="4" t="s">
        <v>23</v>
      </c>
      <c r="I2" s="1" t="s">
        <v>23</v>
      </c>
      <c r="J2" s="3" t="s">
        <v>24</v>
      </c>
      <c r="K2" s="3" t="s">
        <v>25</v>
      </c>
      <c r="L2" s="3" t="s">
        <v>26</v>
      </c>
      <c r="M2" s="3" t="s">
        <v>27</v>
      </c>
      <c r="N2" s="3" t="s">
        <v>28</v>
      </c>
      <c r="O2" s="5" t="str">
        <f t="shared" ref="O2:O42" si="0">IF(OR(H2="Implemented",H2="Compensated"),"Resolved",IF(OR(H2="Risk Accepted",H2="N/A"),"Excluded",IF(H2="Testing","Testing","Outstanding")))</f>
        <v>Outstanding</v>
      </c>
      <c r="P2" s="13" t="s">
        <v>23</v>
      </c>
    </row>
    <row r="3" spans="1:16" ht="60" customHeight="1" x14ac:dyDescent="0.35">
      <c r="A3" s="11" t="s">
        <v>29</v>
      </c>
      <c r="B3" s="2" t="s">
        <v>30</v>
      </c>
      <c r="C3" s="3" t="s">
        <v>31</v>
      </c>
      <c r="D3" s="4" t="s">
        <v>19</v>
      </c>
      <c r="E3" s="4" t="s">
        <v>20</v>
      </c>
      <c r="F3" s="4" t="s">
        <v>21</v>
      </c>
      <c r="G3" s="4" t="s">
        <v>22</v>
      </c>
      <c r="H3" s="4" t="s">
        <v>23</v>
      </c>
      <c r="I3" s="1" t="s">
        <v>23</v>
      </c>
      <c r="J3" s="3" t="s">
        <v>32</v>
      </c>
      <c r="K3" s="3" t="s">
        <v>33</v>
      </c>
      <c r="L3" s="3" t="s">
        <v>34</v>
      </c>
      <c r="M3" s="3" t="s">
        <v>27</v>
      </c>
      <c r="N3" s="3" t="s">
        <v>35</v>
      </c>
      <c r="O3" s="5" t="str">
        <f t="shared" si="0"/>
        <v>Outstanding</v>
      </c>
      <c r="P3" s="13" t="s">
        <v>23</v>
      </c>
    </row>
    <row r="4" spans="1:16" ht="60" customHeight="1" x14ac:dyDescent="0.35">
      <c r="A4" s="11" t="s">
        <v>36</v>
      </c>
      <c r="B4" s="2" t="s">
        <v>37</v>
      </c>
      <c r="C4" s="3" t="s">
        <v>38</v>
      </c>
      <c r="D4" s="4" t="s">
        <v>39</v>
      </c>
      <c r="E4" s="4" t="s">
        <v>20</v>
      </c>
      <c r="F4" s="4" t="s">
        <v>21</v>
      </c>
      <c r="G4" s="4" t="s">
        <v>22</v>
      </c>
      <c r="H4" s="4" t="s">
        <v>23</v>
      </c>
      <c r="I4" s="1" t="s">
        <v>23</v>
      </c>
      <c r="J4" s="3" t="s">
        <v>40</v>
      </c>
      <c r="K4" s="3" t="s">
        <v>41</v>
      </c>
      <c r="L4" s="3" t="s">
        <v>42</v>
      </c>
      <c r="M4" s="3" t="s">
        <v>43</v>
      </c>
      <c r="N4" s="3" t="s">
        <v>44</v>
      </c>
      <c r="O4" s="5" t="str">
        <f t="shared" si="0"/>
        <v>Outstanding</v>
      </c>
      <c r="P4" s="13" t="s">
        <v>23</v>
      </c>
    </row>
    <row r="5" spans="1:16" ht="60" customHeight="1" x14ac:dyDescent="0.35">
      <c r="A5" s="11" t="s">
        <v>45</v>
      </c>
      <c r="B5" s="2" t="s">
        <v>46</v>
      </c>
      <c r="C5" s="3" t="s">
        <v>47</v>
      </c>
      <c r="D5" s="4" t="s">
        <v>39</v>
      </c>
      <c r="E5" s="4" t="s">
        <v>20</v>
      </c>
      <c r="F5" s="4" t="s">
        <v>21</v>
      </c>
      <c r="G5" s="4" t="s">
        <v>22</v>
      </c>
      <c r="H5" s="4" t="s">
        <v>23</v>
      </c>
      <c r="I5" s="1" t="s">
        <v>23</v>
      </c>
      <c r="J5" s="3" t="s">
        <v>48</v>
      </c>
      <c r="K5" s="3" t="s">
        <v>49</v>
      </c>
      <c r="L5" s="3" t="s">
        <v>50</v>
      </c>
      <c r="M5" s="3" t="s">
        <v>51</v>
      </c>
      <c r="N5" s="3" t="s">
        <v>52</v>
      </c>
      <c r="O5" s="5" t="str">
        <f t="shared" si="0"/>
        <v>Outstanding</v>
      </c>
      <c r="P5" s="13" t="s">
        <v>23</v>
      </c>
    </row>
    <row r="6" spans="1:16" ht="60" customHeight="1" x14ac:dyDescent="0.35">
      <c r="A6" s="11" t="s">
        <v>45</v>
      </c>
      <c r="B6" s="2" t="s">
        <v>53</v>
      </c>
      <c r="C6" s="3" t="s">
        <v>54</v>
      </c>
      <c r="D6" s="4" t="s">
        <v>39</v>
      </c>
      <c r="E6" s="4" t="s">
        <v>20</v>
      </c>
      <c r="F6" s="4" t="s">
        <v>21</v>
      </c>
      <c r="G6" s="4" t="s">
        <v>22</v>
      </c>
      <c r="H6" s="4" t="s">
        <v>23</v>
      </c>
      <c r="I6" s="1" t="s">
        <v>23</v>
      </c>
      <c r="J6" s="3" t="s">
        <v>55</v>
      </c>
      <c r="K6" s="3" t="s">
        <v>56</v>
      </c>
      <c r="L6" s="3" t="s">
        <v>50</v>
      </c>
      <c r="M6" s="3" t="s">
        <v>51</v>
      </c>
      <c r="N6" s="3" t="s">
        <v>52</v>
      </c>
      <c r="O6" s="5" t="str">
        <f t="shared" si="0"/>
        <v>Outstanding</v>
      </c>
      <c r="P6" s="13" t="s">
        <v>23</v>
      </c>
    </row>
    <row r="7" spans="1:16" ht="60" customHeight="1" x14ac:dyDescent="0.35">
      <c r="A7" s="11" t="s">
        <v>45</v>
      </c>
      <c r="B7" s="2" t="s">
        <v>57</v>
      </c>
      <c r="C7" s="3" t="s">
        <v>58</v>
      </c>
      <c r="D7" s="4" t="s">
        <v>39</v>
      </c>
      <c r="E7" s="4" t="s">
        <v>20</v>
      </c>
      <c r="F7" s="4" t="s">
        <v>21</v>
      </c>
      <c r="G7" s="4" t="s">
        <v>22</v>
      </c>
      <c r="H7" s="4" t="s">
        <v>23</v>
      </c>
      <c r="I7" s="1" t="s">
        <v>23</v>
      </c>
      <c r="J7" s="3" t="s">
        <v>59</v>
      </c>
      <c r="K7" s="3" t="s">
        <v>60</v>
      </c>
      <c r="L7" s="3" t="s">
        <v>50</v>
      </c>
      <c r="M7" s="3" t="s">
        <v>51</v>
      </c>
      <c r="N7" s="3" t="s">
        <v>52</v>
      </c>
      <c r="O7" s="5" t="str">
        <f t="shared" si="0"/>
        <v>Outstanding</v>
      </c>
      <c r="P7" s="13" t="s">
        <v>23</v>
      </c>
    </row>
    <row r="8" spans="1:16" ht="60" customHeight="1" x14ac:dyDescent="0.35">
      <c r="A8" s="11" t="s">
        <v>45</v>
      </c>
      <c r="B8" s="2" t="s">
        <v>61</v>
      </c>
      <c r="C8" s="3" t="s">
        <v>62</v>
      </c>
      <c r="D8" s="4" t="s">
        <v>19</v>
      </c>
      <c r="E8" s="4" t="s">
        <v>20</v>
      </c>
      <c r="F8" s="4" t="s">
        <v>21</v>
      </c>
      <c r="G8" s="4" t="s">
        <v>22</v>
      </c>
      <c r="H8" s="4" t="s">
        <v>23</v>
      </c>
      <c r="I8" s="1" t="s">
        <v>23</v>
      </c>
      <c r="J8" s="3" t="s">
        <v>63</v>
      </c>
      <c r="K8" s="3" t="s">
        <v>64</v>
      </c>
      <c r="L8" s="3" t="s">
        <v>50</v>
      </c>
      <c r="M8" s="3" t="s">
        <v>51</v>
      </c>
      <c r="N8" s="3" t="s">
        <v>52</v>
      </c>
      <c r="O8" s="5" t="str">
        <f t="shared" si="0"/>
        <v>Outstanding</v>
      </c>
      <c r="P8" s="13" t="s">
        <v>23</v>
      </c>
    </row>
    <row r="9" spans="1:16" ht="60" customHeight="1" x14ac:dyDescent="0.35">
      <c r="A9" s="11" t="s">
        <v>65</v>
      </c>
      <c r="B9" s="2" t="s">
        <v>66</v>
      </c>
      <c r="C9" s="3" t="s">
        <v>67</v>
      </c>
      <c r="D9" s="4" t="s">
        <v>39</v>
      </c>
      <c r="E9" s="4" t="s">
        <v>20</v>
      </c>
      <c r="F9" s="4" t="s">
        <v>21</v>
      </c>
      <c r="G9" s="4" t="s">
        <v>22</v>
      </c>
      <c r="H9" s="4" t="s">
        <v>23</v>
      </c>
      <c r="I9" s="1" t="s">
        <v>23</v>
      </c>
      <c r="J9" s="3" t="s">
        <v>68</v>
      </c>
      <c r="K9" s="3" t="s">
        <v>69</v>
      </c>
      <c r="L9" s="3" t="s">
        <v>70</v>
      </c>
      <c r="M9" s="3" t="s">
        <v>71</v>
      </c>
      <c r="N9" s="3" t="s">
        <v>72</v>
      </c>
      <c r="O9" s="5" t="str">
        <f t="shared" si="0"/>
        <v>Outstanding</v>
      </c>
      <c r="P9" s="13" t="s">
        <v>23</v>
      </c>
    </row>
    <row r="10" spans="1:16" ht="60" customHeight="1" x14ac:dyDescent="0.35">
      <c r="A10" s="11" t="s">
        <v>65</v>
      </c>
      <c r="B10" s="2" t="s">
        <v>73</v>
      </c>
      <c r="C10" s="3" t="s">
        <v>74</v>
      </c>
      <c r="D10" s="4" t="s">
        <v>39</v>
      </c>
      <c r="E10" s="4" t="s">
        <v>20</v>
      </c>
      <c r="F10" s="4" t="s">
        <v>21</v>
      </c>
      <c r="G10" s="4" t="s">
        <v>22</v>
      </c>
      <c r="H10" s="4" t="s">
        <v>23</v>
      </c>
      <c r="I10" s="1" t="s">
        <v>23</v>
      </c>
      <c r="J10" s="3" t="s">
        <v>75</v>
      </c>
      <c r="K10" s="3" t="s">
        <v>76</v>
      </c>
      <c r="L10" s="3" t="s">
        <v>70</v>
      </c>
      <c r="M10" s="3" t="s">
        <v>71</v>
      </c>
      <c r="N10" s="3" t="s">
        <v>72</v>
      </c>
      <c r="O10" s="5" t="str">
        <f t="shared" si="0"/>
        <v>Outstanding</v>
      </c>
      <c r="P10" s="13" t="s">
        <v>23</v>
      </c>
    </row>
    <row r="11" spans="1:16" ht="60" customHeight="1" x14ac:dyDescent="0.35">
      <c r="A11" s="11" t="s">
        <v>65</v>
      </c>
      <c r="B11" s="2" t="s">
        <v>77</v>
      </c>
      <c r="C11" s="3" t="s">
        <v>78</v>
      </c>
      <c r="D11" s="4" t="s">
        <v>39</v>
      </c>
      <c r="E11" s="4" t="s">
        <v>20</v>
      </c>
      <c r="F11" s="4" t="s">
        <v>21</v>
      </c>
      <c r="G11" s="4" t="s">
        <v>22</v>
      </c>
      <c r="H11" s="4" t="s">
        <v>23</v>
      </c>
      <c r="I11" s="1" t="s">
        <v>23</v>
      </c>
      <c r="J11" s="3" t="s">
        <v>79</v>
      </c>
      <c r="K11" s="3" t="s">
        <v>80</v>
      </c>
      <c r="L11" s="3" t="s">
        <v>70</v>
      </c>
      <c r="M11" s="3" t="s">
        <v>71</v>
      </c>
      <c r="N11" s="3" t="s">
        <v>72</v>
      </c>
      <c r="O11" s="5" t="str">
        <f t="shared" si="0"/>
        <v>Outstanding</v>
      </c>
      <c r="P11" s="13" t="s">
        <v>23</v>
      </c>
    </row>
    <row r="12" spans="1:16" ht="60" customHeight="1" x14ac:dyDescent="0.35">
      <c r="A12" s="11" t="s">
        <v>65</v>
      </c>
      <c r="B12" s="2" t="s">
        <v>81</v>
      </c>
      <c r="C12" s="3" t="s">
        <v>82</v>
      </c>
      <c r="D12" s="4" t="s">
        <v>19</v>
      </c>
      <c r="E12" s="4" t="s">
        <v>20</v>
      </c>
      <c r="F12" s="4" t="s">
        <v>21</v>
      </c>
      <c r="G12" s="4" t="s">
        <v>22</v>
      </c>
      <c r="H12" s="4" t="s">
        <v>23</v>
      </c>
      <c r="I12" s="1" t="s">
        <v>23</v>
      </c>
      <c r="J12" s="3" t="s">
        <v>83</v>
      </c>
      <c r="K12" s="3" t="s">
        <v>84</v>
      </c>
      <c r="L12" s="3" t="s">
        <v>70</v>
      </c>
      <c r="M12" s="3" t="s">
        <v>71</v>
      </c>
      <c r="N12" s="3" t="s">
        <v>72</v>
      </c>
      <c r="O12" s="5" t="str">
        <f t="shared" si="0"/>
        <v>Outstanding</v>
      </c>
      <c r="P12" s="13" t="s">
        <v>23</v>
      </c>
    </row>
    <row r="13" spans="1:16" ht="60" customHeight="1" x14ac:dyDescent="0.35">
      <c r="A13" s="11" t="s">
        <v>65</v>
      </c>
      <c r="B13" s="2" t="s">
        <v>85</v>
      </c>
      <c r="C13" s="3" t="s">
        <v>86</v>
      </c>
      <c r="D13" s="4" t="s">
        <v>87</v>
      </c>
      <c r="E13" s="4" t="s">
        <v>20</v>
      </c>
      <c r="F13" s="4" t="s">
        <v>21</v>
      </c>
      <c r="G13" s="4" t="s">
        <v>22</v>
      </c>
      <c r="H13" s="4" t="s">
        <v>23</v>
      </c>
      <c r="I13" s="1" t="s">
        <v>23</v>
      </c>
      <c r="J13" s="3" t="s">
        <v>88</v>
      </c>
      <c r="K13" s="3" t="s">
        <v>89</v>
      </c>
      <c r="L13" s="3" t="s">
        <v>70</v>
      </c>
      <c r="M13" s="3" t="s">
        <v>71</v>
      </c>
      <c r="N13" s="3" t="s">
        <v>72</v>
      </c>
      <c r="O13" s="5" t="str">
        <f t="shared" si="0"/>
        <v>Outstanding</v>
      </c>
      <c r="P13" s="13" t="s">
        <v>23</v>
      </c>
    </row>
    <row r="14" spans="1:16" ht="60" customHeight="1" x14ac:dyDescent="0.35">
      <c r="A14" s="11" t="s">
        <v>65</v>
      </c>
      <c r="B14" s="2" t="s">
        <v>90</v>
      </c>
      <c r="C14" s="3" t="s">
        <v>91</v>
      </c>
      <c r="D14" s="4" t="s">
        <v>19</v>
      </c>
      <c r="E14" s="4" t="s">
        <v>20</v>
      </c>
      <c r="F14" s="4" t="s">
        <v>21</v>
      </c>
      <c r="G14" s="4" t="s">
        <v>22</v>
      </c>
      <c r="H14" s="4" t="s">
        <v>23</v>
      </c>
      <c r="I14" s="1" t="s">
        <v>23</v>
      </c>
      <c r="J14" s="3" t="s">
        <v>92</v>
      </c>
      <c r="K14" s="3" t="s">
        <v>93</v>
      </c>
      <c r="L14" s="3" t="s">
        <v>70</v>
      </c>
      <c r="M14" s="3" t="s">
        <v>71</v>
      </c>
      <c r="N14" s="3" t="s">
        <v>72</v>
      </c>
      <c r="O14" s="5" t="str">
        <f t="shared" si="0"/>
        <v>Outstanding</v>
      </c>
      <c r="P14" s="13" t="s">
        <v>23</v>
      </c>
    </row>
    <row r="15" spans="1:16" ht="60" customHeight="1" x14ac:dyDescent="0.35">
      <c r="A15" s="11" t="s">
        <v>94</v>
      </c>
      <c r="B15" s="2" t="s">
        <v>95</v>
      </c>
      <c r="C15" s="3" t="s">
        <v>96</v>
      </c>
      <c r="D15" s="4" t="s">
        <v>39</v>
      </c>
      <c r="E15" s="4" t="s">
        <v>20</v>
      </c>
      <c r="F15" s="4" t="s">
        <v>21</v>
      </c>
      <c r="G15" s="4" t="s">
        <v>22</v>
      </c>
      <c r="H15" s="4" t="s">
        <v>23</v>
      </c>
      <c r="I15" s="1" t="s">
        <v>23</v>
      </c>
      <c r="J15" s="3" t="s">
        <v>97</v>
      </c>
      <c r="K15" s="3" t="s">
        <v>98</v>
      </c>
      <c r="L15" s="3" t="s">
        <v>99</v>
      </c>
      <c r="M15" s="3" t="s">
        <v>71</v>
      </c>
      <c r="N15" s="3" t="s">
        <v>100</v>
      </c>
      <c r="O15" s="5" t="str">
        <f t="shared" si="0"/>
        <v>Outstanding</v>
      </c>
      <c r="P15" s="13" t="s">
        <v>23</v>
      </c>
    </row>
    <row r="16" spans="1:16" ht="60" customHeight="1" x14ac:dyDescent="0.35">
      <c r="A16" s="11" t="s">
        <v>94</v>
      </c>
      <c r="B16" s="2" t="s">
        <v>101</v>
      </c>
      <c r="C16" s="3" t="s">
        <v>102</v>
      </c>
      <c r="D16" s="4" t="s">
        <v>39</v>
      </c>
      <c r="E16" s="4" t="s">
        <v>20</v>
      </c>
      <c r="F16" s="4" t="s">
        <v>21</v>
      </c>
      <c r="G16" s="4" t="s">
        <v>22</v>
      </c>
      <c r="H16" s="4" t="s">
        <v>23</v>
      </c>
      <c r="I16" s="1" t="s">
        <v>23</v>
      </c>
      <c r="J16" s="3" t="s">
        <v>103</v>
      </c>
      <c r="K16" s="3" t="s">
        <v>104</v>
      </c>
      <c r="L16" s="3" t="s">
        <v>99</v>
      </c>
      <c r="M16" s="3" t="s">
        <v>71</v>
      </c>
      <c r="N16" s="3" t="s">
        <v>100</v>
      </c>
      <c r="O16" s="5" t="str">
        <f t="shared" si="0"/>
        <v>Outstanding</v>
      </c>
      <c r="P16" s="13" t="s">
        <v>23</v>
      </c>
    </row>
    <row r="17" spans="1:16" ht="60" customHeight="1" x14ac:dyDescent="0.35">
      <c r="A17" s="11" t="s">
        <v>94</v>
      </c>
      <c r="B17" s="2" t="s">
        <v>105</v>
      </c>
      <c r="C17" s="3" t="s">
        <v>106</v>
      </c>
      <c r="D17" s="4" t="s">
        <v>39</v>
      </c>
      <c r="E17" s="4" t="s">
        <v>20</v>
      </c>
      <c r="F17" s="4" t="s">
        <v>21</v>
      </c>
      <c r="G17" s="4" t="s">
        <v>22</v>
      </c>
      <c r="H17" s="4" t="s">
        <v>23</v>
      </c>
      <c r="I17" s="1" t="s">
        <v>23</v>
      </c>
      <c r="J17" s="3" t="s">
        <v>107</v>
      </c>
      <c r="K17" s="3" t="s">
        <v>108</v>
      </c>
      <c r="L17" s="3" t="s">
        <v>99</v>
      </c>
      <c r="M17" s="3" t="s">
        <v>71</v>
      </c>
      <c r="N17" s="3" t="s">
        <v>100</v>
      </c>
      <c r="O17" s="5" t="str">
        <f t="shared" si="0"/>
        <v>Outstanding</v>
      </c>
      <c r="P17" s="13" t="s">
        <v>23</v>
      </c>
    </row>
    <row r="18" spans="1:16" ht="60" customHeight="1" x14ac:dyDescent="0.35">
      <c r="A18" s="11" t="s">
        <v>94</v>
      </c>
      <c r="B18" s="2" t="s">
        <v>109</v>
      </c>
      <c r="C18" s="3" t="s">
        <v>110</v>
      </c>
      <c r="D18" s="4" t="s">
        <v>19</v>
      </c>
      <c r="E18" s="4" t="s">
        <v>20</v>
      </c>
      <c r="F18" s="4" t="s">
        <v>21</v>
      </c>
      <c r="G18" s="4" t="s">
        <v>22</v>
      </c>
      <c r="H18" s="4" t="s">
        <v>23</v>
      </c>
      <c r="I18" s="1" t="s">
        <v>23</v>
      </c>
      <c r="J18" s="3" t="s">
        <v>111</v>
      </c>
      <c r="K18" s="3" t="s">
        <v>112</v>
      </c>
      <c r="L18" s="3" t="s">
        <v>99</v>
      </c>
      <c r="M18" s="3" t="s">
        <v>71</v>
      </c>
      <c r="N18" s="3" t="s">
        <v>100</v>
      </c>
      <c r="O18" s="5" t="str">
        <f t="shared" si="0"/>
        <v>Outstanding</v>
      </c>
      <c r="P18" s="13" t="s">
        <v>23</v>
      </c>
    </row>
    <row r="19" spans="1:16" ht="60" customHeight="1" x14ac:dyDescent="0.35">
      <c r="A19" s="11" t="s">
        <v>94</v>
      </c>
      <c r="B19" s="2" t="s">
        <v>113</v>
      </c>
      <c r="C19" s="3" t="s">
        <v>114</v>
      </c>
      <c r="D19" s="4" t="s">
        <v>19</v>
      </c>
      <c r="E19" s="4" t="s">
        <v>20</v>
      </c>
      <c r="F19" s="4" t="s">
        <v>21</v>
      </c>
      <c r="G19" s="4" t="s">
        <v>22</v>
      </c>
      <c r="H19" s="4" t="s">
        <v>23</v>
      </c>
      <c r="I19" s="1" t="s">
        <v>23</v>
      </c>
      <c r="J19" s="3" t="s">
        <v>115</v>
      </c>
      <c r="K19" s="3" t="s">
        <v>116</v>
      </c>
      <c r="L19" s="3" t="s">
        <v>99</v>
      </c>
      <c r="M19" s="3" t="s">
        <v>71</v>
      </c>
      <c r="N19" s="3" t="s">
        <v>100</v>
      </c>
      <c r="O19" s="5" t="str">
        <f t="shared" si="0"/>
        <v>Outstanding</v>
      </c>
      <c r="P19" s="13" t="s">
        <v>23</v>
      </c>
    </row>
    <row r="20" spans="1:16" ht="60" customHeight="1" x14ac:dyDescent="0.35">
      <c r="A20" s="11" t="s">
        <v>117</v>
      </c>
      <c r="B20" s="2" t="s">
        <v>118</v>
      </c>
      <c r="C20" s="3" t="s">
        <v>119</v>
      </c>
      <c r="D20" s="4" t="s">
        <v>39</v>
      </c>
      <c r="E20" s="4" t="s">
        <v>20</v>
      </c>
      <c r="F20" s="4" t="s">
        <v>21</v>
      </c>
      <c r="G20" s="4" t="s">
        <v>22</v>
      </c>
      <c r="H20" s="4" t="s">
        <v>23</v>
      </c>
      <c r="I20" s="1" t="s">
        <v>23</v>
      </c>
      <c r="J20" s="3" t="s">
        <v>120</v>
      </c>
      <c r="K20" s="3" t="s">
        <v>121</v>
      </c>
      <c r="L20" s="3" t="s">
        <v>122</v>
      </c>
      <c r="M20" s="3" t="s">
        <v>71</v>
      </c>
      <c r="N20" s="3" t="s">
        <v>72</v>
      </c>
      <c r="O20" s="5" t="str">
        <f t="shared" si="0"/>
        <v>Outstanding</v>
      </c>
      <c r="P20" s="13" t="s">
        <v>23</v>
      </c>
    </row>
    <row r="21" spans="1:16" ht="60" customHeight="1" x14ac:dyDescent="0.35">
      <c r="A21" s="11" t="s">
        <v>117</v>
      </c>
      <c r="B21" s="2" t="s">
        <v>123</v>
      </c>
      <c r="C21" s="3" t="s">
        <v>124</v>
      </c>
      <c r="D21" s="4" t="s">
        <v>39</v>
      </c>
      <c r="E21" s="4" t="s">
        <v>20</v>
      </c>
      <c r="F21" s="4" t="s">
        <v>21</v>
      </c>
      <c r="G21" s="4" t="s">
        <v>22</v>
      </c>
      <c r="H21" s="4" t="s">
        <v>23</v>
      </c>
      <c r="I21" s="1" t="s">
        <v>23</v>
      </c>
      <c r="J21" s="3" t="s">
        <v>125</v>
      </c>
      <c r="K21" s="3" t="s">
        <v>126</v>
      </c>
      <c r="L21" s="3" t="s">
        <v>122</v>
      </c>
      <c r="M21" s="3" t="s">
        <v>71</v>
      </c>
      <c r="N21" s="3" t="s">
        <v>72</v>
      </c>
      <c r="O21" s="5" t="str">
        <f t="shared" si="0"/>
        <v>Outstanding</v>
      </c>
      <c r="P21" s="13" t="s">
        <v>23</v>
      </c>
    </row>
    <row r="22" spans="1:16" ht="60" customHeight="1" x14ac:dyDescent="0.35">
      <c r="A22" s="11" t="s">
        <v>117</v>
      </c>
      <c r="B22" s="2" t="s">
        <v>127</v>
      </c>
      <c r="C22" s="3" t="s">
        <v>128</v>
      </c>
      <c r="D22" s="4" t="s">
        <v>39</v>
      </c>
      <c r="E22" s="4" t="s">
        <v>20</v>
      </c>
      <c r="F22" s="4" t="s">
        <v>21</v>
      </c>
      <c r="G22" s="4" t="s">
        <v>22</v>
      </c>
      <c r="H22" s="4" t="s">
        <v>23</v>
      </c>
      <c r="I22" s="1" t="s">
        <v>23</v>
      </c>
      <c r="J22" s="3" t="s">
        <v>129</v>
      </c>
      <c r="K22" s="3" t="s">
        <v>130</v>
      </c>
      <c r="L22" s="3" t="s">
        <v>122</v>
      </c>
      <c r="M22" s="3" t="s">
        <v>71</v>
      </c>
      <c r="N22" s="3" t="s">
        <v>72</v>
      </c>
      <c r="O22" s="5" t="str">
        <f t="shared" si="0"/>
        <v>Outstanding</v>
      </c>
      <c r="P22" s="13" t="s">
        <v>23</v>
      </c>
    </row>
    <row r="23" spans="1:16" ht="60" customHeight="1" x14ac:dyDescent="0.35">
      <c r="A23" s="11" t="s">
        <v>117</v>
      </c>
      <c r="B23" s="2" t="s">
        <v>131</v>
      </c>
      <c r="C23" s="3" t="s">
        <v>132</v>
      </c>
      <c r="D23" s="4" t="s">
        <v>39</v>
      </c>
      <c r="E23" s="4" t="s">
        <v>20</v>
      </c>
      <c r="F23" s="4" t="s">
        <v>21</v>
      </c>
      <c r="G23" s="4" t="s">
        <v>22</v>
      </c>
      <c r="H23" s="4" t="s">
        <v>23</v>
      </c>
      <c r="I23" s="1" t="s">
        <v>23</v>
      </c>
      <c r="J23" s="3" t="s">
        <v>133</v>
      </c>
      <c r="K23" s="3" t="s">
        <v>134</v>
      </c>
      <c r="L23" s="3" t="s">
        <v>122</v>
      </c>
      <c r="M23" s="3" t="s">
        <v>71</v>
      </c>
      <c r="N23" s="3" t="s">
        <v>72</v>
      </c>
      <c r="O23" s="5" t="str">
        <f t="shared" si="0"/>
        <v>Outstanding</v>
      </c>
      <c r="P23" s="13" t="s">
        <v>23</v>
      </c>
    </row>
    <row r="24" spans="1:16" ht="60" customHeight="1" x14ac:dyDescent="0.35">
      <c r="A24" s="11" t="s">
        <v>117</v>
      </c>
      <c r="B24" s="2" t="s">
        <v>135</v>
      </c>
      <c r="C24" s="3" t="s">
        <v>136</v>
      </c>
      <c r="D24" s="4" t="s">
        <v>39</v>
      </c>
      <c r="E24" s="4" t="s">
        <v>20</v>
      </c>
      <c r="F24" s="4" t="s">
        <v>21</v>
      </c>
      <c r="G24" s="4" t="s">
        <v>22</v>
      </c>
      <c r="H24" s="4" t="s">
        <v>23</v>
      </c>
      <c r="I24" s="1" t="s">
        <v>23</v>
      </c>
      <c r="J24" s="3" t="s">
        <v>137</v>
      </c>
      <c r="K24" s="3" t="s">
        <v>138</v>
      </c>
      <c r="L24" s="3" t="s">
        <v>122</v>
      </c>
      <c r="M24" s="3" t="s">
        <v>71</v>
      </c>
      <c r="N24" s="3" t="s">
        <v>72</v>
      </c>
      <c r="O24" s="5" t="str">
        <f t="shared" si="0"/>
        <v>Outstanding</v>
      </c>
      <c r="P24" s="13" t="s">
        <v>23</v>
      </c>
    </row>
    <row r="25" spans="1:16" ht="60" customHeight="1" x14ac:dyDescent="0.35">
      <c r="A25" s="11" t="s">
        <v>117</v>
      </c>
      <c r="B25" s="2" t="s">
        <v>139</v>
      </c>
      <c r="C25" s="3" t="s">
        <v>140</v>
      </c>
      <c r="D25" s="4" t="s">
        <v>87</v>
      </c>
      <c r="E25" s="4" t="s">
        <v>20</v>
      </c>
      <c r="F25" s="4" t="s">
        <v>21</v>
      </c>
      <c r="G25" s="4" t="s">
        <v>22</v>
      </c>
      <c r="H25" s="4" t="s">
        <v>23</v>
      </c>
      <c r="I25" s="1" t="s">
        <v>23</v>
      </c>
      <c r="J25" s="3" t="s">
        <v>141</v>
      </c>
      <c r="K25" s="3" t="s">
        <v>142</v>
      </c>
      <c r="L25" s="3" t="s">
        <v>122</v>
      </c>
      <c r="M25" s="3" t="s">
        <v>71</v>
      </c>
      <c r="N25" s="3" t="s">
        <v>72</v>
      </c>
      <c r="O25" s="5" t="str">
        <f t="shared" si="0"/>
        <v>Outstanding</v>
      </c>
      <c r="P25" s="13" t="s">
        <v>23</v>
      </c>
    </row>
    <row r="26" spans="1:16" ht="60" customHeight="1" x14ac:dyDescent="0.35">
      <c r="A26" s="11" t="s">
        <v>117</v>
      </c>
      <c r="B26" s="2" t="s">
        <v>143</v>
      </c>
      <c r="C26" s="3" t="s">
        <v>144</v>
      </c>
      <c r="D26" s="4" t="s">
        <v>39</v>
      </c>
      <c r="E26" s="4" t="s">
        <v>20</v>
      </c>
      <c r="F26" s="4" t="s">
        <v>21</v>
      </c>
      <c r="G26" s="4" t="s">
        <v>22</v>
      </c>
      <c r="H26" s="4" t="s">
        <v>23</v>
      </c>
      <c r="I26" s="1" t="s">
        <v>23</v>
      </c>
      <c r="J26" s="3" t="s">
        <v>145</v>
      </c>
      <c r="K26" s="3" t="s">
        <v>112</v>
      </c>
      <c r="L26" s="3" t="s">
        <v>122</v>
      </c>
      <c r="M26" s="3" t="s">
        <v>71</v>
      </c>
      <c r="N26" s="3" t="s">
        <v>72</v>
      </c>
      <c r="O26" s="5" t="str">
        <f t="shared" si="0"/>
        <v>Outstanding</v>
      </c>
      <c r="P26" s="13" t="s">
        <v>23</v>
      </c>
    </row>
    <row r="27" spans="1:16" ht="60" customHeight="1" x14ac:dyDescent="0.35">
      <c r="A27" s="11" t="s">
        <v>117</v>
      </c>
      <c r="B27" s="2" t="s">
        <v>146</v>
      </c>
      <c r="C27" s="3" t="s">
        <v>147</v>
      </c>
      <c r="D27" s="4" t="s">
        <v>19</v>
      </c>
      <c r="E27" s="4" t="s">
        <v>20</v>
      </c>
      <c r="F27" s="4" t="s">
        <v>21</v>
      </c>
      <c r="G27" s="4" t="s">
        <v>22</v>
      </c>
      <c r="H27" s="4" t="s">
        <v>23</v>
      </c>
      <c r="I27" s="1" t="s">
        <v>23</v>
      </c>
      <c r="J27" s="3" t="s">
        <v>148</v>
      </c>
      <c r="K27" s="3" t="s">
        <v>149</v>
      </c>
      <c r="L27" s="3" t="s">
        <v>122</v>
      </c>
      <c r="M27" s="3" t="s">
        <v>71</v>
      </c>
      <c r="N27" s="3" t="s">
        <v>72</v>
      </c>
      <c r="O27" s="5" t="str">
        <f t="shared" si="0"/>
        <v>Outstanding</v>
      </c>
      <c r="P27" s="13" t="s">
        <v>23</v>
      </c>
    </row>
    <row r="28" spans="1:16" ht="60" customHeight="1" x14ac:dyDescent="0.35">
      <c r="A28" s="11" t="s">
        <v>150</v>
      </c>
      <c r="B28" s="2" t="s">
        <v>151</v>
      </c>
      <c r="C28" s="3" t="s">
        <v>152</v>
      </c>
      <c r="D28" s="4" t="s">
        <v>39</v>
      </c>
      <c r="E28" s="4" t="s">
        <v>20</v>
      </c>
      <c r="F28" s="4" t="s">
        <v>21</v>
      </c>
      <c r="G28" s="4" t="s">
        <v>22</v>
      </c>
      <c r="H28" s="4" t="s">
        <v>23</v>
      </c>
      <c r="I28" s="1" t="s">
        <v>23</v>
      </c>
      <c r="J28" s="3" t="s">
        <v>153</v>
      </c>
      <c r="K28" s="3" t="s">
        <v>154</v>
      </c>
      <c r="L28" s="3" t="s">
        <v>155</v>
      </c>
      <c r="M28" s="3" t="s">
        <v>71</v>
      </c>
      <c r="N28" s="3" t="s">
        <v>156</v>
      </c>
      <c r="O28" s="5" t="str">
        <f t="shared" si="0"/>
        <v>Outstanding</v>
      </c>
      <c r="P28" s="13" t="s">
        <v>23</v>
      </c>
    </row>
    <row r="29" spans="1:16" ht="60" customHeight="1" x14ac:dyDescent="0.35">
      <c r="A29" s="11" t="s">
        <v>157</v>
      </c>
      <c r="B29" s="2" t="s">
        <v>158</v>
      </c>
      <c r="C29" s="3" t="s">
        <v>159</v>
      </c>
      <c r="D29" s="4" t="s">
        <v>39</v>
      </c>
      <c r="E29" s="4" t="s">
        <v>20</v>
      </c>
      <c r="F29" s="4" t="s">
        <v>21</v>
      </c>
      <c r="G29" s="4" t="s">
        <v>22</v>
      </c>
      <c r="H29" s="4" t="s">
        <v>23</v>
      </c>
      <c r="I29" s="1" t="s">
        <v>23</v>
      </c>
      <c r="J29" s="3" t="s">
        <v>160</v>
      </c>
      <c r="K29" s="3" t="s">
        <v>161</v>
      </c>
      <c r="L29" s="3" t="s">
        <v>162</v>
      </c>
      <c r="M29" s="3" t="s">
        <v>71</v>
      </c>
      <c r="N29" s="3" t="s">
        <v>163</v>
      </c>
      <c r="O29" s="5" t="str">
        <f t="shared" si="0"/>
        <v>Outstanding</v>
      </c>
      <c r="P29" s="13" t="s">
        <v>23</v>
      </c>
    </row>
    <row r="30" spans="1:16" ht="60" customHeight="1" x14ac:dyDescent="0.35">
      <c r="A30" s="11" t="s">
        <v>164</v>
      </c>
      <c r="B30" s="2" t="s">
        <v>165</v>
      </c>
      <c r="C30" s="3" t="s">
        <v>166</v>
      </c>
      <c r="D30" s="4" t="s">
        <v>19</v>
      </c>
      <c r="E30" s="4" t="s">
        <v>20</v>
      </c>
      <c r="F30" s="4" t="s">
        <v>21</v>
      </c>
      <c r="G30" s="4" t="s">
        <v>22</v>
      </c>
      <c r="H30" s="4" t="s">
        <v>23</v>
      </c>
      <c r="I30" s="1" t="s">
        <v>23</v>
      </c>
      <c r="J30" s="3" t="s">
        <v>167</v>
      </c>
      <c r="K30" s="3" t="s">
        <v>168</v>
      </c>
      <c r="L30" s="3" t="s">
        <v>169</v>
      </c>
      <c r="M30" s="3" t="s">
        <v>71</v>
      </c>
      <c r="N30" s="3" t="s">
        <v>170</v>
      </c>
      <c r="O30" s="5" t="str">
        <f t="shared" si="0"/>
        <v>Outstanding</v>
      </c>
      <c r="P30" s="13" t="s">
        <v>23</v>
      </c>
    </row>
    <row r="31" spans="1:16" ht="60" customHeight="1" x14ac:dyDescent="0.35">
      <c r="A31" s="11" t="s">
        <v>171</v>
      </c>
      <c r="B31" s="2" t="s">
        <v>172</v>
      </c>
      <c r="C31" s="3" t="s">
        <v>173</v>
      </c>
      <c r="D31" s="4" t="s">
        <v>19</v>
      </c>
      <c r="E31" s="4" t="s">
        <v>20</v>
      </c>
      <c r="F31" s="4" t="s">
        <v>21</v>
      </c>
      <c r="G31" s="4" t="s">
        <v>22</v>
      </c>
      <c r="H31" s="4" t="s">
        <v>23</v>
      </c>
      <c r="I31" s="1" t="s">
        <v>23</v>
      </c>
      <c r="J31" s="3" t="s">
        <v>174</v>
      </c>
      <c r="K31" s="3" t="s">
        <v>175</v>
      </c>
      <c r="L31" s="3" t="s">
        <v>176</v>
      </c>
      <c r="M31" s="3" t="s">
        <v>71</v>
      </c>
      <c r="N31" s="3" t="s">
        <v>177</v>
      </c>
      <c r="O31" s="5" t="str">
        <f t="shared" si="0"/>
        <v>Outstanding</v>
      </c>
      <c r="P31" s="13" t="s">
        <v>23</v>
      </c>
    </row>
    <row r="32" spans="1:16" ht="60" customHeight="1" x14ac:dyDescent="0.35">
      <c r="A32" s="11" t="s">
        <v>178</v>
      </c>
      <c r="B32" s="2" t="s">
        <v>179</v>
      </c>
      <c r="C32" s="3" t="s">
        <v>180</v>
      </c>
      <c r="D32" s="4" t="s">
        <v>39</v>
      </c>
      <c r="E32" s="4" t="s">
        <v>20</v>
      </c>
      <c r="F32" s="4" t="s">
        <v>21</v>
      </c>
      <c r="G32" s="4" t="s">
        <v>22</v>
      </c>
      <c r="H32" s="4" t="s">
        <v>23</v>
      </c>
      <c r="I32" s="1" t="s">
        <v>23</v>
      </c>
      <c r="J32" s="3" t="s">
        <v>181</v>
      </c>
      <c r="K32" s="3" t="s">
        <v>182</v>
      </c>
      <c r="L32" s="3" t="s">
        <v>183</v>
      </c>
      <c r="M32" s="3" t="s">
        <v>71</v>
      </c>
      <c r="N32" s="3" t="s">
        <v>184</v>
      </c>
      <c r="O32" s="5" t="str">
        <f t="shared" si="0"/>
        <v>Outstanding</v>
      </c>
      <c r="P32" s="13" t="s">
        <v>23</v>
      </c>
    </row>
    <row r="33" spans="1:16" ht="60" customHeight="1" x14ac:dyDescent="0.35">
      <c r="A33" s="11" t="s">
        <v>185</v>
      </c>
      <c r="B33" s="2" t="s">
        <v>186</v>
      </c>
      <c r="C33" s="3" t="s">
        <v>187</v>
      </c>
      <c r="D33" s="4" t="s">
        <v>39</v>
      </c>
      <c r="E33" s="4" t="s">
        <v>20</v>
      </c>
      <c r="F33" s="4" t="s">
        <v>21</v>
      </c>
      <c r="G33" s="4" t="s">
        <v>22</v>
      </c>
      <c r="H33" s="4" t="s">
        <v>23</v>
      </c>
      <c r="I33" s="1" t="s">
        <v>23</v>
      </c>
      <c r="J33" s="3" t="s">
        <v>188</v>
      </c>
      <c r="K33" s="3" t="s">
        <v>189</v>
      </c>
      <c r="L33" s="3" t="s">
        <v>190</v>
      </c>
      <c r="M33" s="3" t="s">
        <v>71</v>
      </c>
      <c r="N33" s="3" t="s">
        <v>191</v>
      </c>
      <c r="O33" s="5" t="str">
        <f t="shared" si="0"/>
        <v>Outstanding</v>
      </c>
      <c r="P33" s="13" t="s">
        <v>23</v>
      </c>
    </row>
    <row r="34" spans="1:16" ht="60" customHeight="1" x14ac:dyDescent="0.35">
      <c r="A34" s="11" t="s">
        <v>192</v>
      </c>
      <c r="B34" s="2" t="s">
        <v>193</v>
      </c>
      <c r="C34" s="3" t="s">
        <v>194</v>
      </c>
      <c r="D34" s="4" t="s">
        <v>19</v>
      </c>
      <c r="E34" s="4" t="s">
        <v>20</v>
      </c>
      <c r="F34" s="4" t="s">
        <v>21</v>
      </c>
      <c r="G34" s="4" t="s">
        <v>22</v>
      </c>
      <c r="H34" s="4" t="s">
        <v>23</v>
      </c>
      <c r="I34" s="1" t="s">
        <v>23</v>
      </c>
      <c r="J34" s="3" t="s">
        <v>195</v>
      </c>
      <c r="K34" s="3" t="s">
        <v>196</v>
      </c>
      <c r="L34" s="3" t="s">
        <v>197</v>
      </c>
      <c r="M34" s="3" t="s">
        <v>71</v>
      </c>
      <c r="N34" s="3" t="s">
        <v>198</v>
      </c>
      <c r="O34" s="5" t="str">
        <f t="shared" si="0"/>
        <v>Outstanding</v>
      </c>
      <c r="P34" s="13" t="s">
        <v>23</v>
      </c>
    </row>
    <row r="35" spans="1:16" ht="60" customHeight="1" x14ac:dyDescent="0.35">
      <c r="A35" s="11" t="s">
        <v>199</v>
      </c>
      <c r="B35" s="2" t="s">
        <v>200</v>
      </c>
      <c r="C35" s="3" t="s">
        <v>201</v>
      </c>
      <c r="D35" s="4" t="s">
        <v>39</v>
      </c>
      <c r="E35" s="4" t="s">
        <v>20</v>
      </c>
      <c r="F35" s="4" t="s">
        <v>21</v>
      </c>
      <c r="G35" s="4" t="s">
        <v>22</v>
      </c>
      <c r="H35" s="4" t="s">
        <v>23</v>
      </c>
      <c r="I35" s="1" t="s">
        <v>23</v>
      </c>
      <c r="J35" s="3" t="s">
        <v>202</v>
      </c>
      <c r="K35" s="3" t="s">
        <v>203</v>
      </c>
      <c r="L35" s="3" t="s">
        <v>204</v>
      </c>
      <c r="M35" s="3" t="s">
        <v>71</v>
      </c>
      <c r="N35" s="3" t="s">
        <v>205</v>
      </c>
      <c r="O35" s="5" t="str">
        <f t="shared" si="0"/>
        <v>Outstanding</v>
      </c>
      <c r="P35" s="13" t="s">
        <v>23</v>
      </c>
    </row>
    <row r="36" spans="1:16" ht="60" customHeight="1" x14ac:dyDescent="0.35">
      <c r="A36" s="11" t="s">
        <v>199</v>
      </c>
      <c r="B36" s="2" t="s">
        <v>206</v>
      </c>
      <c r="C36" s="3" t="s">
        <v>207</v>
      </c>
      <c r="D36" s="4" t="s">
        <v>19</v>
      </c>
      <c r="E36" s="4" t="s">
        <v>20</v>
      </c>
      <c r="F36" s="4" t="s">
        <v>21</v>
      </c>
      <c r="G36" s="4" t="s">
        <v>22</v>
      </c>
      <c r="H36" s="4" t="s">
        <v>23</v>
      </c>
      <c r="I36" s="1" t="s">
        <v>23</v>
      </c>
      <c r="J36" s="3" t="s">
        <v>208</v>
      </c>
      <c r="K36" s="3" t="s">
        <v>209</v>
      </c>
      <c r="L36" s="3" t="s">
        <v>204</v>
      </c>
      <c r="M36" s="3" t="s">
        <v>71</v>
      </c>
      <c r="N36" s="3" t="s">
        <v>205</v>
      </c>
      <c r="O36" s="5" t="str">
        <f t="shared" si="0"/>
        <v>Outstanding</v>
      </c>
      <c r="P36" s="13" t="s">
        <v>23</v>
      </c>
    </row>
    <row r="37" spans="1:16" ht="60" customHeight="1" x14ac:dyDescent="0.35">
      <c r="A37" s="11" t="s">
        <v>210</v>
      </c>
      <c r="B37" s="2" t="s">
        <v>211</v>
      </c>
      <c r="C37" s="3" t="s">
        <v>212</v>
      </c>
      <c r="D37" s="4" t="s">
        <v>19</v>
      </c>
      <c r="E37" s="4" t="s">
        <v>20</v>
      </c>
      <c r="F37" s="4" t="s">
        <v>21</v>
      </c>
      <c r="G37" s="4" t="s">
        <v>22</v>
      </c>
      <c r="H37" s="4" t="s">
        <v>23</v>
      </c>
      <c r="I37" s="1" t="s">
        <v>23</v>
      </c>
      <c r="J37" s="3" t="s">
        <v>213</v>
      </c>
      <c r="K37" s="3" t="s">
        <v>214</v>
      </c>
      <c r="L37" s="3" t="s">
        <v>215</v>
      </c>
      <c r="M37" s="3" t="s">
        <v>71</v>
      </c>
      <c r="N37" s="3" t="s">
        <v>216</v>
      </c>
      <c r="O37" s="5" t="str">
        <f t="shared" si="0"/>
        <v>Outstanding</v>
      </c>
      <c r="P37" s="13" t="s">
        <v>23</v>
      </c>
    </row>
    <row r="38" spans="1:16" ht="60" customHeight="1" x14ac:dyDescent="0.35">
      <c r="A38" s="11" t="s">
        <v>210</v>
      </c>
      <c r="B38" s="2" t="s">
        <v>217</v>
      </c>
      <c r="C38" s="3" t="s">
        <v>218</v>
      </c>
      <c r="D38" s="4" t="s">
        <v>19</v>
      </c>
      <c r="E38" s="4" t="s">
        <v>20</v>
      </c>
      <c r="F38" s="4" t="s">
        <v>21</v>
      </c>
      <c r="G38" s="4" t="s">
        <v>22</v>
      </c>
      <c r="H38" s="4" t="s">
        <v>23</v>
      </c>
      <c r="I38" s="1" t="s">
        <v>23</v>
      </c>
      <c r="J38" s="3" t="s">
        <v>219</v>
      </c>
      <c r="K38" s="3" t="s">
        <v>220</v>
      </c>
      <c r="L38" s="3" t="s">
        <v>215</v>
      </c>
      <c r="M38" s="3" t="s">
        <v>71</v>
      </c>
      <c r="N38" s="3" t="s">
        <v>216</v>
      </c>
      <c r="O38" s="5" t="str">
        <f t="shared" si="0"/>
        <v>Outstanding</v>
      </c>
      <c r="P38" s="13" t="s">
        <v>23</v>
      </c>
    </row>
    <row r="39" spans="1:16" ht="60" customHeight="1" x14ac:dyDescent="0.35">
      <c r="A39" s="11" t="s">
        <v>221</v>
      </c>
      <c r="B39" s="2" t="s">
        <v>222</v>
      </c>
      <c r="C39" s="3" t="s">
        <v>223</v>
      </c>
      <c r="D39" s="4" t="s">
        <v>19</v>
      </c>
      <c r="E39" s="4" t="s">
        <v>20</v>
      </c>
      <c r="F39" s="4" t="s">
        <v>21</v>
      </c>
      <c r="G39" s="4" t="s">
        <v>22</v>
      </c>
      <c r="H39" s="4" t="s">
        <v>23</v>
      </c>
      <c r="I39" s="1" t="s">
        <v>23</v>
      </c>
      <c r="J39" s="3" t="s">
        <v>224</v>
      </c>
      <c r="K39" s="3" t="s">
        <v>225</v>
      </c>
      <c r="L39" s="3" t="s">
        <v>226</v>
      </c>
      <c r="M39" s="3" t="s">
        <v>71</v>
      </c>
      <c r="N39" s="3" t="s">
        <v>227</v>
      </c>
      <c r="O39" s="5" t="str">
        <f t="shared" si="0"/>
        <v>Outstanding</v>
      </c>
      <c r="P39" s="13" t="s">
        <v>23</v>
      </c>
    </row>
    <row r="40" spans="1:16" ht="60" customHeight="1" x14ac:dyDescent="0.35">
      <c r="A40" s="11" t="s">
        <v>228</v>
      </c>
      <c r="B40" s="2" t="s">
        <v>229</v>
      </c>
      <c r="C40" s="3" t="s">
        <v>230</v>
      </c>
      <c r="D40" s="4" t="s">
        <v>87</v>
      </c>
      <c r="E40" s="4" t="s">
        <v>20</v>
      </c>
      <c r="F40" s="4" t="s">
        <v>21</v>
      </c>
      <c r="G40" s="4" t="s">
        <v>22</v>
      </c>
      <c r="H40" s="4" t="s">
        <v>23</v>
      </c>
      <c r="I40" s="1" t="s">
        <v>23</v>
      </c>
      <c r="J40" s="3" t="s">
        <v>231</v>
      </c>
      <c r="K40" s="3" t="s">
        <v>232</v>
      </c>
      <c r="L40" s="3" t="s">
        <v>233</v>
      </c>
      <c r="M40" s="3" t="s">
        <v>71</v>
      </c>
      <c r="N40" s="3" t="s">
        <v>234</v>
      </c>
      <c r="O40" s="5" t="str">
        <f t="shared" si="0"/>
        <v>Outstanding</v>
      </c>
      <c r="P40" s="13" t="s">
        <v>23</v>
      </c>
    </row>
    <row r="41" spans="1:16" ht="60" customHeight="1" x14ac:dyDescent="0.35">
      <c r="A41" s="11" t="s">
        <v>228</v>
      </c>
      <c r="B41" s="2" t="s">
        <v>235</v>
      </c>
      <c r="C41" s="3" t="s">
        <v>236</v>
      </c>
      <c r="D41" s="4" t="s">
        <v>87</v>
      </c>
      <c r="E41" s="4" t="s">
        <v>20</v>
      </c>
      <c r="F41" s="4" t="s">
        <v>21</v>
      </c>
      <c r="G41" s="4" t="s">
        <v>22</v>
      </c>
      <c r="H41" s="4" t="s">
        <v>23</v>
      </c>
      <c r="I41" s="1" t="s">
        <v>23</v>
      </c>
      <c r="J41" s="3" t="s">
        <v>237</v>
      </c>
      <c r="K41" s="3" t="s">
        <v>232</v>
      </c>
      <c r="L41" s="3" t="s">
        <v>233</v>
      </c>
      <c r="M41" s="3" t="s">
        <v>71</v>
      </c>
      <c r="N41" s="3" t="s">
        <v>234</v>
      </c>
      <c r="O41" s="5" t="str">
        <f t="shared" si="0"/>
        <v>Outstanding</v>
      </c>
      <c r="P41" s="13" t="s">
        <v>23</v>
      </c>
    </row>
    <row r="42" spans="1:16" ht="60" customHeight="1" x14ac:dyDescent="0.35">
      <c r="A42" s="12" t="s">
        <v>228</v>
      </c>
      <c r="B42" s="6" t="s">
        <v>238</v>
      </c>
      <c r="C42" s="7" t="s">
        <v>239</v>
      </c>
      <c r="D42" s="8" t="s">
        <v>87</v>
      </c>
      <c r="E42" s="8" t="s">
        <v>20</v>
      </c>
      <c r="F42" s="8" t="s">
        <v>21</v>
      </c>
      <c r="G42" s="8" t="s">
        <v>22</v>
      </c>
      <c r="H42" s="8" t="s">
        <v>23</v>
      </c>
      <c r="I42" s="9" t="s">
        <v>23</v>
      </c>
      <c r="J42" s="7" t="s">
        <v>240</v>
      </c>
      <c r="K42" s="7" t="s">
        <v>241</v>
      </c>
      <c r="L42" s="7" t="s">
        <v>233</v>
      </c>
      <c r="M42" s="7" t="s">
        <v>71</v>
      </c>
      <c r="N42" s="7" t="s">
        <v>234</v>
      </c>
      <c r="O42" s="10" t="str">
        <f t="shared" si="0"/>
        <v>Outstanding</v>
      </c>
      <c r="P42" s="14" t="s">
        <v>23</v>
      </c>
    </row>
    <row r="46" spans="1:16" ht="32" customHeight="1" x14ac:dyDescent="0.35">
      <c r="A46" s="78" t="s">
        <v>242</v>
      </c>
      <c r="B46" s="78"/>
      <c r="C46" s="78"/>
      <c r="D46" s="78"/>
    </row>
  </sheetData>
  <mergeCells count="1">
    <mergeCell ref="A46:D46"/>
  </mergeCells>
  <conditionalFormatting sqref="E2:E4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4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4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42" xr:uid="{00000000-0002-0000-0200-000000000000}">
      <formula1>"Must,Should,Could,Won't,Unassigned"</formula1>
    </dataValidation>
    <dataValidation type="list" showErrorMessage="1" errorTitle="Invalid Value" error="Please select a value from the list: Low, Medium, High, Unassessed." sqref="F2:F42" xr:uid="{00000000-0002-0000-0200-000001000000}">
      <formula1>"Low,Medium,High,Unassessed"</formula1>
    </dataValidation>
    <dataValidation type="list" showErrorMessage="1" errorTitle="Invalid Value" error="Please select a value from the list: Phase1, Phase2, Phase3, Phase4, Phase5, Pending." sqref="G2:G4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42" xr:uid="{00000000-0002-0000-0200-000003000000}">
      <formula1>"Implemented,Testing,Failed,Compensated,Risk Accepted,N/A"</formula1>
    </dataValidation>
  </dataValidations>
  <hyperlinks>
    <hyperlink ref="A4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365</v>
      </c>
      <c r="C2" s="95" t="s">
        <v>365</v>
      </c>
      <c r="D2" s="95" t="s">
        <v>365</v>
      </c>
      <c r="E2" s="95" t="s">
        <v>365</v>
      </c>
      <c r="F2" s="95" t="s">
        <v>365</v>
      </c>
      <c r="G2" s="95" t="s">
        <v>365</v>
      </c>
      <c r="H2" s="99" t="s">
        <v>366</v>
      </c>
      <c r="I2" s="99" t="s">
        <v>366</v>
      </c>
      <c r="J2" s="99" t="s">
        <v>366</v>
      </c>
      <c r="K2" s="99" t="s">
        <v>366</v>
      </c>
      <c r="L2" s="99" t="s">
        <v>366</v>
      </c>
      <c r="M2" s="98" t="s">
        <v>367</v>
      </c>
      <c r="N2" s="98" t="s">
        <v>367</v>
      </c>
      <c r="O2" s="100" t="s">
        <v>368</v>
      </c>
      <c r="P2" s="100" t="s">
        <v>368</v>
      </c>
      <c r="Q2" s="96" t="s">
        <v>14</v>
      </c>
      <c r="R2" s="96" t="s">
        <v>14</v>
      </c>
      <c r="S2" s="96" t="s">
        <v>14</v>
      </c>
      <c r="T2" s="97" t="s">
        <v>369</v>
      </c>
    </row>
    <row r="3" spans="2:20" ht="35" customHeight="1" x14ac:dyDescent="0.35">
      <c r="B3" s="68" t="s">
        <v>370</v>
      </c>
      <c r="C3" s="68" t="s">
        <v>371</v>
      </c>
      <c r="D3" s="68" t="s">
        <v>372</v>
      </c>
      <c r="E3" s="68" t="s">
        <v>373</v>
      </c>
      <c r="F3" s="68" t="s">
        <v>374</v>
      </c>
      <c r="G3" s="68" t="s">
        <v>11</v>
      </c>
      <c r="H3" s="69" t="s">
        <v>375</v>
      </c>
      <c r="I3" s="69" t="s">
        <v>376</v>
      </c>
      <c r="J3" s="69" t="s">
        <v>377</v>
      </c>
      <c r="K3" s="69" t="s">
        <v>378</v>
      </c>
      <c r="L3" s="69" t="s">
        <v>310</v>
      </c>
      <c r="M3" s="70" t="s">
        <v>379</v>
      </c>
      <c r="N3" s="70" t="s">
        <v>380</v>
      </c>
      <c r="O3" s="71" t="s">
        <v>381</v>
      </c>
      <c r="P3" s="71" t="s">
        <v>382</v>
      </c>
      <c r="Q3" s="72" t="s">
        <v>14</v>
      </c>
      <c r="R3" s="72" t="s">
        <v>383</v>
      </c>
      <c r="S3" s="72" t="s">
        <v>384</v>
      </c>
      <c r="T3" s="73" t="s">
        <v>385</v>
      </c>
    </row>
    <row r="4" spans="2:20" ht="60" customHeight="1" x14ac:dyDescent="0.35">
      <c r="B4" s="74" t="s">
        <v>386</v>
      </c>
      <c r="C4" s="74" t="s">
        <v>387</v>
      </c>
      <c r="D4" s="74" t="s">
        <v>388</v>
      </c>
      <c r="E4" s="74" t="s">
        <v>389</v>
      </c>
      <c r="F4" s="74" t="s">
        <v>390</v>
      </c>
      <c r="G4" s="74" t="s">
        <v>391</v>
      </c>
      <c r="H4" s="74" t="s">
        <v>392</v>
      </c>
      <c r="I4" s="74" t="s">
        <v>393</v>
      </c>
      <c r="J4" s="74" t="s">
        <v>394</v>
      </c>
      <c r="K4" s="74" t="s">
        <v>395</v>
      </c>
      <c r="L4" s="74" t="s">
        <v>396</v>
      </c>
      <c r="M4" s="74" t="s">
        <v>397</v>
      </c>
      <c r="N4" s="74" t="s">
        <v>398</v>
      </c>
      <c r="O4" s="74" t="s">
        <v>399</v>
      </c>
      <c r="P4" s="74" t="s">
        <v>400</v>
      </c>
      <c r="Q4" s="74" t="s">
        <v>401</v>
      </c>
      <c r="R4" s="74" t="s">
        <v>402</v>
      </c>
      <c r="S4" s="74" t="s">
        <v>403</v>
      </c>
      <c r="T4" s="74" t="s">
        <v>404</v>
      </c>
    </row>
    <row r="5" spans="2:20" ht="60" customHeight="1" x14ac:dyDescent="0.35">
      <c r="B5" s="36" t="s">
        <v>405</v>
      </c>
      <c r="C5" s="75"/>
      <c r="D5" s="76"/>
      <c r="E5" s="76" t="s">
        <v>23</v>
      </c>
      <c r="F5" s="76" t="str">
        <f>IF(E5&lt;&gt;"", IFERROR(VLOOKUP(E5, Dashboard!$B46:$F51, 5, FALSE), ""), "")</f>
        <v/>
      </c>
      <c r="G5" s="77"/>
      <c r="H5" s="64"/>
      <c r="I5" s="64"/>
      <c r="J5" s="77"/>
      <c r="K5" s="77"/>
      <c r="L5" s="38"/>
      <c r="M5" s="38"/>
      <c r="N5" s="77"/>
      <c r="O5" s="77"/>
      <c r="P5" s="38"/>
      <c r="Q5" s="38" t="s">
        <v>23</v>
      </c>
      <c r="R5" s="77"/>
      <c r="S5" s="64"/>
      <c r="T5" s="77"/>
    </row>
    <row r="6" spans="2:20" ht="60" customHeight="1" x14ac:dyDescent="0.35">
      <c r="B6" s="36" t="s">
        <v>406</v>
      </c>
      <c r="C6" s="75"/>
      <c r="D6" s="76"/>
      <c r="E6" s="76" t="s">
        <v>23</v>
      </c>
      <c r="F6" s="76" t="str">
        <f>IF(E6&lt;&gt;"", IFERROR(VLOOKUP(E6, Dashboard!$B46:$F51, 5, FALSE), ""), "")</f>
        <v/>
      </c>
      <c r="G6" s="77"/>
      <c r="H6" s="64"/>
      <c r="I6" s="64"/>
      <c r="J6" s="77"/>
      <c r="K6" s="77"/>
      <c r="L6" s="38"/>
      <c r="M6" s="38"/>
      <c r="N6" s="77"/>
      <c r="O6" s="77"/>
      <c r="P6" s="38"/>
      <c r="Q6" s="38" t="s">
        <v>23</v>
      </c>
      <c r="R6" s="77"/>
      <c r="S6" s="64"/>
      <c r="T6" s="77"/>
    </row>
    <row r="7" spans="2:20" ht="60" customHeight="1" x14ac:dyDescent="0.35">
      <c r="B7" s="36" t="s">
        <v>407</v>
      </c>
      <c r="C7" s="75"/>
      <c r="D7" s="76"/>
      <c r="E7" s="76" t="s">
        <v>23</v>
      </c>
      <c r="F7" s="76" t="str">
        <f>IF(E7&lt;&gt;"", IFERROR(VLOOKUP(E7, Dashboard!$B46:$F51, 5, FALSE), ""), "")</f>
        <v/>
      </c>
      <c r="G7" s="77"/>
      <c r="H7" s="64"/>
      <c r="I7" s="64"/>
      <c r="J7" s="77"/>
      <c r="K7" s="77"/>
      <c r="L7" s="38"/>
      <c r="M7" s="38"/>
      <c r="N7" s="77"/>
      <c r="O7" s="77"/>
      <c r="P7" s="38"/>
      <c r="Q7" s="38" t="s">
        <v>23</v>
      </c>
      <c r="R7" s="77"/>
      <c r="S7" s="64"/>
      <c r="T7" s="77"/>
    </row>
    <row r="8" spans="2:20" ht="60" customHeight="1" x14ac:dyDescent="0.35">
      <c r="B8" s="36" t="s">
        <v>408</v>
      </c>
      <c r="C8" s="75"/>
      <c r="D8" s="76"/>
      <c r="E8" s="76" t="s">
        <v>23</v>
      </c>
      <c r="F8" s="76" t="str">
        <f>IF(E8&lt;&gt;"", IFERROR(VLOOKUP(E8, Dashboard!$B46:$F51, 5, FALSE), ""), "")</f>
        <v/>
      </c>
      <c r="G8" s="77"/>
      <c r="H8" s="64"/>
      <c r="I8" s="64"/>
      <c r="J8" s="77"/>
      <c r="K8" s="77"/>
      <c r="L8" s="38"/>
      <c r="M8" s="38"/>
      <c r="N8" s="77"/>
      <c r="O8" s="77"/>
      <c r="P8" s="38"/>
      <c r="Q8" s="38" t="s">
        <v>23</v>
      </c>
      <c r="R8" s="77"/>
      <c r="S8" s="64"/>
      <c r="T8" s="77"/>
    </row>
    <row r="9" spans="2:20" ht="60" customHeight="1" x14ac:dyDescent="0.35">
      <c r="B9" s="36" t="s">
        <v>409</v>
      </c>
      <c r="C9" s="75"/>
      <c r="D9" s="76"/>
      <c r="E9" s="76" t="s">
        <v>23</v>
      </c>
      <c r="F9" s="76" t="str">
        <f>IF(E9&lt;&gt;"", IFERROR(VLOOKUP(E9, Dashboard!$B46:$F51, 5, FALSE), ""), "")</f>
        <v/>
      </c>
      <c r="G9" s="77"/>
      <c r="H9" s="64"/>
      <c r="I9" s="64"/>
      <c r="J9" s="77"/>
      <c r="K9" s="77"/>
      <c r="L9" s="38"/>
      <c r="M9" s="38"/>
      <c r="N9" s="77"/>
      <c r="O9" s="77"/>
      <c r="P9" s="38"/>
      <c r="Q9" s="38" t="s">
        <v>23</v>
      </c>
      <c r="R9" s="77"/>
      <c r="S9" s="64"/>
      <c r="T9" s="77"/>
    </row>
    <row r="10" spans="2:20" ht="60" customHeight="1" x14ac:dyDescent="0.35">
      <c r="B10" s="36" t="s">
        <v>410</v>
      </c>
      <c r="C10" s="75"/>
      <c r="D10" s="76"/>
      <c r="E10" s="76" t="s">
        <v>23</v>
      </c>
      <c r="F10" s="76" t="str">
        <f>IF(E10&lt;&gt;"", IFERROR(VLOOKUP(E10, Dashboard!$B46:$F51, 5, FALSE), ""), "")</f>
        <v/>
      </c>
      <c r="G10" s="77"/>
      <c r="H10" s="64"/>
      <c r="I10" s="64"/>
      <c r="J10" s="77"/>
      <c r="K10" s="77"/>
      <c r="L10" s="38"/>
      <c r="M10" s="38"/>
      <c r="N10" s="77"/>
      <c r="O10" s="77"/>
      <c r="P10" s="38"/>
      <c r="Q10" s="38" t="s">
        <v>23</v>
      </c>
      <c r="R10" s="77"/>
      <c r="S10" s="64"/>
      <c r="T10" s="77"/>
    </row>
    <row r="11" spans="2:20" ht="60" customHeight="1" x14ac:dyDescent="0.35">
      <c r="B11" s="36" t="s">
        <v>411</v>
      </c>
      <c r="C11" s="75"/>
      <c r="D11" s="76"/>
      <c r="E11" s="76" t="s">
        <v>23</v>
      </c>
      <c r="F11" s="76" t="str">
        <f>IF(E11&lt;&gt;"", IFERROR(VLOOKUP(E11, Dashboard!$B46:$F51, 5, FALSE), ""), "")</f>
        <v/>
      </c>
      <c r="G11" s="77"/>
      <c r="H11" s="64"/>
      <c r="I11" s="64"/>
      <c r="J11" s="77"/>
      <c r="K11" s="77"/>
      <c r="L11" s="38"/>
      <c r="M11" s="38"/>
      <c r="N11" s="77"/>
      <c r="O11" s="77"/>
      <c r="P11" s="38"/>
      <c r="Q11" s="38" t="s">
        <v>23</v>
      </c>
      <c r="R11" s="77"/>
      <c r="S11" s="64"/>
      <c r="T11" s="77"/>
    </row>
    <row r="12" spans="2:20" ht="60" customHeight="1" x14ac:dyDescent="0.35">
      <c r="B12" s="36" t="s">
        <v>412</v>
      </c>
      <c r="C12" s="75"/>
      <c r="D12" s="76"/>
      <c r="E12" s="76" t="s">
        <v>23</v>
      </c>
      <c r="F12" s="76" t="str">
        <f>IF(E12&lt;&gt;"", IFERROR(VLOOKUP(E12, Dashboard!$B46:$F51, 5, FALSE), ""), "")</f>
        <v/>
      </c>
      <c r="G12" s="77"/>
      <c r="H12" s="64"/>
      <c r="I12" s="64"/>
      <c r="J12" s="77"/>
      <c r="K12" s="77"/>
      <c r="L12" s="38"/>
      <c r="M12" s="38"/>
      <c r="N12" s="77"/>
      <c r="O12" s="77"/>
      <c r="P12" s="38"/>
      <c r="Q12" s="38" t="s">
        <v>23</v>
      </c>
      <c r="R12" s="77"/>
      <c r="S12" s="64"/>
      <c r="T12" s="77"/>
    </row>
    <row r="13" spans="2:20" ht="60" customHeight="1" x14ac:dyDescent="0.35">
      <c r="B13" s="36" t="s">
        <v>413</v>
      </c>
      <c r="C13" s="75"/>
      <c r="D13" s="76"/>
      <c r="E13" s="76" t="s">
        <v>23</v>
      </c>
      <c r="F13" s="76" t="str">
        <f>IF(E13&lt;&gt;"", IFERROR(VLOOKUP(E13, Dashboard!$B46:$F51, 5, FALSE), ""), "")</f>
        <v/>
      </c>
      <c r="G13" s="77"/>
      <c r="H13" s="64"/>
      <c r="I13" s="64"/>
      <c r="J13" s="77"/>
      <c r="K13" s="77"/>
      <c r="L13" s="38"/>
      <c r="M13" s="38"/>
      <c r="N13" s="77"/>
      <c r="O13" s="77"/>
      <c r="P13" s="38"/>
      <c r="Q13" s="38" t="s">
        <v>23</v>
      </c>
      <c r="R13" s="77"/>
      <c r="S13" s="64"/>
      <c r="T13" s="77"/>
    </row>
    <row r="14" spans="2:20" ht="60" customHeight="1" x14ac:dyDescent="0.35">
      <c r="B14" s="36" t="s">
        <v>414</v>
      </c>
      <c r="C14" s="75"/>
      <c r="D14" s="76"/>
      <c r="E14" s="76" t="s">
        <v>23</v>
      </c>
      <c r="F14" s="76" t="str">
        <f>IF(E14&lt;&gt;"", IFERROR(VLOOKUP(E14, Dashboard!$B46:$F51, 5, FALSE), ""), "")</f>
        <v/>
      </c>
      <c r="G14" s="77"/>
      <c r="H14" s="64"/>
      <c r="I14" s="64"/>
      <c r="J14" s="77"/>
      <c r="K14" s="77"/>
      <c r="L14" s="38"/>
      <c r="M14" s="38"/>
      <c r="N14" s="77"/>
      <c r="O14" s="77"/>
      <c r="P14" s="38"/>
      <c r="Q14" s="38" t="s">
        <v>23</v>
      </c>
      <c r="R14" s="77"/>
      <c r="S14" s="64"/>
      <c r="T14" s="77"/>
    </row>
    <row r="15" spans="2:20" ht="60" customHeight="1" x14ac:dyDescent="0.35">
      <c r="B15" s="36" t="s">
        <v>415</v>
      </c>
      <c r="C15" s="75"/>
      <c r="D15" s="76"/>
      <c r="E15" s="76" t="s">
        <v>23</v>
      </c>
      <c r="F15" s="76" t="str">
        <f>IF(E15&lt;&gt;"", IFERROR(VLOOKUP(E15, Dashboard!$B46:$F51, 5, FALSE), ""), "")</f>
        <v/>
      </c>
      <c r="G15" s="77"/>
      <c r="H15" s="64"/>
      <c r="I15" s="64"/>
      <c r="J15" s="77"/>
      <c r="K15" s="77"/>
      <c r="L15" s="38"/>
      <c r="M15" s="38"/>
      <c r="N15" s="77"/>
      <c r="O15" s="77"/>
      <c r="P15" s="38"/>
      <c r="Q15" s="38" t="s">
        <v>23</v>
      </c>
      <c r="R15" s="77"/>
      <c r="S15" s="64"/>
      <c r="T15" s="77"/>
    </row>
    <row r="16" spans="2:20" ht="60" customHeight="1" x14ac:dyDescent="0.35">
      <c r="B16" s="36" t="s">
        <v>416</v>
      </c>
      <c r="C16" s="75"/>
      <c r="D16" s="76"/>
      <c r="E16" s="76" t="s">
        <v>23</v>
      </c>
      <c r="F16" s="76" t="str">
        <f>IF(E16&lt;&gt;"", IFERROR(VLOOKUP(E16, Dashboard!$B46:$F51, 5, FALSE), ""), "")</f>
        <v/>
      </c>
      <c r="G16" s="77"/>
      <c r="H16" s="64"/>
      <c r="I16" s="64"/>
      <c r="J16" s="77"/>
      <c r="K16" s="77"/>
      <c r="L16" s="38"/>
      <c r="M16" s="38"/>
      <c r="N16" s="77"/>
      <c r="O16" s="77"/>
      <c r="P16" s="38"/>
      <c r="Q16" s="38" t="s">
        <v>23</v>
      </c>
      <c r="R16" s="77"/>
      <c r="S16" s="64"/>
      <c r="T16" s="77"/>
    </row>
    <row r="17" spans="2:20" ht="60" customHeight="1" x14ac:dyDescent="0.35">
      <c r="B17" s="36" t="s">
        <v>417</v>
      </c>
      <c r="C17" s="75"/>
      <c r="D17" s="76"/>
      <c r="E17" s="76" t="s">
        <v>23</v>
      </c>
      <c r="F17" s="76" t="str">
        <f>IF(E17&lt;&gt;"", IFERROR(VLOOKUP(E17, Dashboard!$B46:$F51, 5, FALSE), ""), "")</f>
        <v/>
      </c>
      <c r="G17" s="77"/>
      <c r="H17" s="64"/>
      <c r="I17" s="64"/>
      <c r="J17" s="77"/>
      <c r="K17" s="77"/>
      <c r="L17" s="38"/>
      <c r="M17" s="38"/>
      <c r="N17" s="77"/>
      <c r="O17" s="77"/>
      <c r="P17" s="38"/>
      <c r="Q17" s="38" t="s">
        <v>23</v>
      </c>
      <c r="R17" s="77"/>
      <c r="S17" s="64"/>
      <c r="T17" s="77"/>
    </row>
    <row r="18" spans="2:20" ht="60" customHeight="1" x14ac:dyDescent="0.35">
      <c r="B18" s="36" t="s">
        <v>418</v>
      </c>
      <c r="C18" s="75"/>
      <c r="D18" s="76"/>
      <c r="E18" s="76" t="s">
        <v>23</v>
      </c>
      <c r="F18" s="76" t="str">
        <f>IF(E18&lt;&gt;"", IFERROR(VLOOKUP(E18, Dashboard!$B46:$F51, 5, FALSE), ""), "")</f>
        <v/>
      </c>
      <c r="G18" s="77"/>
      <c r="H18" s="64"/>
      <c r="I18" s="64"/>
      <c r="J18" s="77"/>
      <c r="K18" s="77"/>
      <c r="L18" s="38"/>
      <c r="M18" s="38"/>
      <c r="N18" s="77"/>
      <c r="O18" s="77"/>
      <c r="P18" s="38"/>
      <c r="Q18" s="38" t="s">
        <v>23</v>
      </c>
      <c r="R18" s="77"/>
      <c r="S18" s="64"/>
      <c r="T18" s="77"/>
    </row>
    <row r="19" spans="2:20" ht="60" customHeight="1" x14ac:dyDescent="0.35">
      <c r="B19" s="36" t="s">
        <v>419</v>
      </c>
      <c r="C19" s="75"/>
      <c r="D19" s="76"/>
      <c r="E19" s="76" t="s">
        <v>23</v>
      </c>
      <c r="F19" s="76" t="str">
        <f>IF(E19&lt;&gt;"", IFERROR(VLOOKUP(E19, Dashboard!$B46:$F51, 5, FALSE), ""), "")</f>
        <v/>
      </c>
      <c r="G19" s="77"/>
      <c r="H19" s="64"/>
      <c r="I19" s="64"/>
      <c r="J19" s="77"/>
      <c r="K19" s="77"/>
      <c r="L19" s="38"/>
      <c r="M19" s="38"/>
      <c r="N19" s="77"/>
      <c r="O19" s="77"/>
      <c r="P19" s="38"/>
      <c r="Q19" s="38" t="s">
        <v>23</v>
      </c>
      <c r="R19" s="77"/>
      <c r="S19" s="64"/>
      <c r="T19" s="77"/>
    </row>
    <row r="20" spans="2:20" ht="60" customHeight="1" x14ac:dyDescent="0.35">
      <c r="B20" s="36" t="s">
        <v>420</v>
      </c>
      <c r="C20" s="75"/>
      <c r="D20" s="76"/>
      <c r="E20" s="76" t="s">
        <v>23</v>
      </c>
      <c r="F20" s="76" t="str">
        <f>IF(E20&lt;&gt;"", IFERROR(VLOOKUP(E20, Dashboard!$B46:$F51, 5, FALSE), ""), "")</f>
        <v/>
      </c>
      <c r="G20" s="77"/>
      <c r="H20" s="64"/>
      <c r="I20" s="64"/>
      <c r="J20" s="77"/>
      <c r="K20" s="77"/>
      <c r="L20" s="38"/>
      <c r="M20" s="38"/>
      <c r="N20" s="77"/>
      <c r="O20" s="77"/>
      <c r="P20" s="38"/>
      <c r="Q20" s="38" t="s">
        <v>23</v>
      </c>
      <c r="R20" s="77"/>
      <c r="S20" s="64"/>
      <c r="T20" s="77"/>
    </row>
    <row r="21" spans="2:20" ht="60" customHeight="1" x14ac:dyDescent="0.35">
      <c r="B21" s="36" t="s">
        <v>421</v>
      </c>
      <c r="C21" s="75"/>
      <c r="D21" s="76"/>
      <c r="E21" s="76" t="s">
        <v>23</v>
      </c>
      <c r="F21" s="76" t="str">
        <f>IF(E21&lt;&gt;"", IFERROR(VLOOKUP(E21, Dashboard!$B46:$F51, 5, FALSE), ""), "")</f>
        <v/>
      </c>
      <c r="G21" s="77"/>
      <c r="H21" s="64"/>
      <c r="I21" s="64"/>
      <c r="J21" s="77"/>
      <c r="K21" s="77"/>
      <c r="L21" s="38"/>
      <c r="M21" s="38"/>
      <c r="N21" s="77"/>
      <c r="O21" s="77"/>
      <c r="P21" s="38"/>
      <c r="Q21" s="38" t="s">
        <v>23</v>
      </c>
      <c r="R21" s="77"/>
      <c r="S21" s="64"/>
      <c r="T21" s="77"/>
    </row>
    <row r="22" spans="2:20" ht="60" customHeight="1" x14ac:dyDescent="0.35">
      <c r="B22" s="36" t="s">
        <v>422</v>
      </c>
      <c r="C22" s="75"/>
      <c r="D22" s="76"/>
      <c r="E22" s="76" t="s">
        <v>23</v>
      </c>
      <c r="F22" s="76" t="str">
        <f>IF(E22&lt;&gt;"", IFERROR(VLOOKUP(E22, Dashboard!$B46:$F51, 5, FALSE), ""), "")</f>
        <v/>
      </c>
      <c r="G22" s="77"/>
      <c r="H22" s="64"/>
      <c r="I22" s="64"/>
      <c r="J22" s="77"/>
      <c r="K22" s="77"/>
      <c r="L22" s="38"/>
      <c r="M22" s="38"/>
      <c r="N22" s="77"/>
      <c r="O22" s="77"/>
      <c r="P22" s="38"/>
      <c r="Q22" s="38" t="s">
        <v>23</v>
      </c>
      <c r="R22" s="77"/>
      <c r="S22" s="64"/>
      <c r="T22" s="77"/>
    </row>
    <row r="23" spans="2:20" ht="60" customHeight="1" x14ac:dyDescent="0.35">
      <c r="B23" s="36" t="s">
        <v>423</v>
      </c>
      <c r="C23" s="75"/>
      <c r="D23" s="76"/>
      <c r="E23" s="76" t="s">
        <v>23</v>
      </c>
      <c r="F23" s="76" t="str">
        <f>IF(E23&lt;&gt;"", IFERROR(VLOOKUP(E23, Dashboard!$B46:$F51, 5, FALSE), ""), "")</f>
        <v/>
      </c>
      <c r="G23" s="77"/>
      <c r="H23" s="64"/>
      <c r="I23" s="64"/>
      <c r="J23" s="77"/>
      <c r="K23" s="77"/>
      <c r="L23" s="38"/>
      <c r="M23" s="38"/>
      <c r="N23" s="77"/>
      <c r="O23" s="77"/>
      <c r="P23" s="38"/>
      <c r="Q23" s="38" t="s">
        <v>23</v>
      </c>
      <c r="R23" s="77"/>
      <c r="S23" s="64"/>
      <c r="T23" s="77"/>
    </row>
    <row r="24" spans="2:20" ht="60" customHeight="1" x14ac:dyDescent="0.35">
      <c r="B24" s="36" t="s">
        <v>424</v>
      </c>
      <c r="C24" s="75"/>
      <c r="D24" s="76"/>
      <c r="E24" s="76" t="s">
        <v>23</v>
      </c>
      <c r="F24" s="76" t="str">
        <f>IF(E24&lt;&gt;"", IFERROR(VLOOKUP(E24, Dashboard!$B46:$F51, 5, FALSE), ""), "")</f>
        <v/>
      </c>
      <c r="G24" s="77"/>
      <c r="H24" s="64"/>
      <c r="I24" s="64"/>
      <c r="J24" s="77"/>
      <c r="K24" s="77"/>
      <c r="L24" s="38"/>
      <c r="M24" s="38"/>
      <c r="N24" s="77"/>
      <c r="O24" s="77"/>
      <c r="P24" s="38"/>
      <c r="Q24" s="38" t="s">
        <v>23</v>
      </c>
      <c r="R24" s="77"/>
      <c r="S24" s="64"/>
      <c r="T24" s="77"/>
    </row>
    <row r="25" spans="2:20" ht="60" customHeight="1" x14ac:dyDescent="0.35">
      <c r="B25" s="36" t="s">
        <v>425</v>
      </c>
      <c r="C25" s="75"/>
      <c r="D25" s="76"/>
      <c r="E25" s="76" t="s">
        <v>23</v>
      </c>
      <c r="F25" s="76" t="str">
        <f>IF(E25&lt;&gt;"", IFERROR(VLOOKUP(E25, Dashboard!$B46:$F51, 5, FALSE), ""), "")</f>
        <v/>
      </c>
      <c r="G25" s="77"/>
      <c r="H25" s="64"/>
      <c r="I25" s="64"/>
      <c r="J25" s="77"/>
      <c r="K25" s="77"/>
      <c r="L25" s="38"/>
      <c r="M25" s="38"/>
      <c r="N25" s="77"/>
      <c r="O25" s="77"/>
      <c r="P25" s="38"/>
      <c r="Q25" s="38" t="s">
        <v>23</v>
      </c>
      <c r="R25" s="77"/>
      <c r="S25" s="64"/>
      <c r="T25" s="77"/>
    </row>
    <row r="26" spans="2:20" ht="60" customHeight="1" x14ac:dyDescent="0.35">
      <c r="B26" s="36" t="s">
        <v>426</v>
      </c>
      <c r="C26" s="75"/>
      <c r="D26" s="76"/>
      <c r="E26" s="76" t="s">
        <v>23</v>
      </c>
      <c r="F26" s="76" t="str">
        <f>IF(E26&lt;&gt;"", IFERROR(VLOOKUP(E26, Dashboard!$B46:$F51, 5, FALSE), ""), "")</f>
        <v/>
      </c>
      <c r="G26" s="77"/>
      <c r="H26" s="64"/>
      <c r="I26" s="64"/>
      <c r="J26" s="77"/>
      <c r="K26" s="77"/>
      <c r="L26" s="38"/>
      <c r="M26" s="38"/>
      <c r="N26" s="77"/>
      <c r="O26" s="77"/>
      <c r="P26" s="38"/>
      <c r="Q26" s="38" t="s">
        <v>23</v>
      </c>
      <c r="R26" s="77"/>
      <c r="S26" s="64"/>
      <c r="T26" s="77"/>
    </row>
    <row r="27" spans="2:20" ht="60" customHeight="1" x14ac:dyDescent="0.35">
      <c r="B27" s="36" t="s">
        <v>427</v>
      </c>
      <c r="C27" s="75"/>
      <c r="D27" s="76"/>
      <c r="E27" s="76" t="s">
        <v>23</v>
      </c>
      <c r="F27" s="76" t="str">
        <f>IF(E27&lt;&gt;"", IFERROR(VLOOKUP(E27, Dashboard!$B46:$F51, 5, FALSE), ""), "")</f>
        <v/>
      </c>
      <c r="G27" s="77"/>
      <c r="H27" s="64"/>
      <c r="I27" s="64"/>
      <c r="J27" s="77"/>
      <c r="K27" s="77"/>
      <c r="L27" s="38"/>
      <c r="M27" s="38"/>
      <c r="N27" s="77"/>
      <c r="O27" s="77"/>
      <c r="P27" s="38"/>
      <c r="Q27" s="38" t="s">
        <v>23</v>
      </c>
      <c r="R27" s="77"/>
      <c r="S27" s="64"/>
      <c r="T27" s="77"/>
    </row>
    <row r="28" spans="2:20" ht="60" customHeight="1" x14ac:dyDescent="0.35">
      <c r="B28" s="36" t="s">
        <v>428</v>
      </c>
      <c r="C28" s="75"/>
      <c r="D28" s="76"/>
      <c r="E28" s="76" t="s">
        <v>23</v>
      </c>
      <c r="F28" s="76" t="str">
        <f>IF(E28&lt;&gt;"", IFERROR(VLOOKUP(E28, Dashboard!$B46:$F51, 5, FALSE), ""), "")</f>
        <v/>
      </c>
      <c r="G28" s="77"/>
      <c r="H28" s="64"/>
      <c r="I28" s="64"/>
      <c r="J28" s="77"/>
      <c r="K28" s="77"/>
      <c r="L28" s="38"/>
      <c r="M28" s="38"/>
      <c r="N28" s="77"/>
      <c r="O28" s="77"/>
      <c r="P28" s="38"/>
      <c r="Q28" s="38" t="s">
        <v>23</v>
      </c>
      <c r="R28" s="77"/>
      <c r="S28" s="64"/>
      <c r="T28" s="77"/>
    </row>
    <row r="29" spans="2:20" ht="60" customHeight="1" x14ac:dyDescent="0.35">
      <c r="B29" s="36" t="s">
        <v>429</v>
      </c>
      <c r="C29" s="75"/>
      <c r="D29" s="76"/>
      <c r="E29" s="76" t="s">
        <v>23</v>
      </c>
      <c r="F29" s="76" t="str">
        <f>IF(E29&lt;&gt;"", IFERROR(VLOOKUP(E29, Dashboard!$B46:$F51, 5, FALSE), ""), "")</f>
        <v/>
      </c>
      <c r="G29" s="77"/>
      <c r="H29" s="64"/>
      <c r="I29" s="64"/>
      <c r="J29" s="77"/>
      <c r="K29" s="77"/>
      <c r="L29" s="38"/>
      <c r="M29" s="38"/>
      <c r="N29" s="77"/>
      <c r="O29" s="77"/>
      <c r="P29" s="38"/>
      <c r="Q29" s="38" t="s">
        <v>23</v>
      </c>
      <c r="R29" s="77"/>
      <c r="S29" s="64"/>
      <c r="T29" s="77"/>
    </row>
    <row r="30" spans="2:20" ht="60" customHeight="1" x14ac:dyDescent="0.35">
      <c r="B30" s="36" t="s">
        <v>430</v>
      </c>
      <c r="C30" s="75"/>
      <c r="D30" s="76"/>
      <c r="E30" s="76" t="s">
        <v>23</v>
      </c>
      <c r="F30" s="76" t="str">
        <f>IF(E30&lt;&gt;"", IFERROR(VLOOKUP(E30, Dashboard!$B46:$F51, 5, FALSE), ""), "")</f>
        <v/>
      </c>
      <c r="G30" s="77"/>
      <c r="H30" s="64"/>
      <c r="I30" s="64"/>
      <c r="J30" s="77"/>
      <c r="K30" s="77"/>
      <c r="L30" s="38"/>
      <c r="M30" s="38"/>
      <c r="N30" s="77"/>
      <c r="O30" s="77"/>
      <c r="P30" s="38"/>
      <c r="Q30" s="38" t="s">
        <v>23</v>
      </c>
      <c r="R30" s="77"/>
      <c r="S30" s="64"/>
      <c r="T30" s="77"/>
    </row>
    <row r="31" spans="2:20" ht="60" customHeight="1" x14ac:dyDescent="0.35">
      <c r="B31" s="36" t="s">
        <v>431</v>
      </c>
      <c r="C31" s="75"/>
      <c r="D31" s="76"/>
      <c r="E31" s="76" t="s">
        <v>23</v>
      </c>
      <c r="F31" s="76" t="str">
        <f>IF(E31&lt;&gt;"", IFERROR(VLOOKUP(E31, Dashboard!$B46:$F51, 5, FALSE), ""), "")</f>
        <v/>
      </c>
      <c r="G31" s="77"/>
      <c r="H31" s="64"/>
      <c r="I31" s="64"/>
      <c r="J31" s="77"/>
      <c r="K31" s="77"/>
      <c r="L31" s="38"/>
      <c r="M31" s="38"/>
      <c r="N31" s="77"/>
      <c r="O31" s="77"/>
      <c r="P31" s="38"/>
      <c r="Q31" s="38" t="s">
        <v>23</v>
      </c>
      <c r="R31" s="77"/>
      <c r="S31" s="64"/>
      <c r="T31" s="77"/>
    </row>
    <row r="32" spans="2:20" ht="60" customHeight="1" x14ac:dyDescent="0.35">
      <c r="B32" s="36" t="s">
        <v>432</v>
      </c>
      <c r="C32" s="75"/>
      <c r="D32" s="76"/>
      <c r="E32" s="76" t="s">
        <v>23</v>
      </c>
      <c r="F32" s="76" t="str">
        <f>IF(E32&lt;&gt;"", IFERROR(VLOOKUP(E32, Dashboard!$B46:$F51, 5, FALSE), ""), "")</f>
        <v/>
      </c>
      <c r="G32" s="77"/>
      <c r="H32" s="64"/>
      <c r="I32" s="64"/>
      <c r="J32" s="77"/>
      <c r="K32" s="77"/>
      <c r="L32" s="38"/>
      <c r="M32" s="38"/>
      <c r="N32" s="77"/>
      <c r="O32" s="77"/>
      <c r="P32" s="38"/>
      <c r="Q32" s="38" t="s">
        <v>23</v>
      </c>
      <c r="R32" s="77"/>
      <c r="S32" s="64"/>
      <c r="T32" s="77"/>
    </row>
    <row r="33" spans="2:20" ht="60" customHeight="1" x14ac:dyDescent="0.35">
      <c r="B33" s="36" t="s">
        <v>433</v>
      </c>
      <c r="C33" s="75"/>
      <c r="D33" s="76"/>
      <c r="E33" s="76" t="s">
        <v>23</v>
      </c>
      <c r="F33" s="76" t="str">
        <f>IF(E33&lt;&gt;"", IFERROR(VLOOKUP(E33, Dashboard!$B46:$F51, 5, FALSE), ""), "")</f>
        <v/>
      </c>
      <c r="G33" s="77"/>
      <c r="H33" s="64"/>
      <c r="I33" s="64"/>
      <c r="J33" s="77"/>
      <c r="K33" s="77"/>
      <c r="L33" s="38"/>
      <c r="M33" s="38"/>
      <c r="N33" s="77"/>
      <c r="O33" s="77"/>
      <c r="P33" s="38"/>
      <c r="Q33" s="38" t="s">
        <v>23</v>
      </c>
      <c r="R33" s="77"/>
      <c r="S33" s="64"/>
      <c r="T33" s="77"/>
    </row>
    <row r="34" spans="2:20" ht="60" customHeight="1" x14ac:dyDescent="0.35">
      <c r="B34" s="36" t="s">
        <v>434</v>
      </c>
      <c r="C34" s="75"/>
      <c r="D34" s="76"/>
      <c r="E34" s="76" t="s">
        <v>23</v>
      </c>
      <c r="F34" s="76" t="str">
        <f>IF(E34&lt;&gt;"", IFERROR(VLOOKUP(E34, Dashboard!$B46:$F51, 5, FALSE), ""), "")</f>
        <v/>
      </c>
      <c r="G34" s="77"/>
      <c r="H34" s="64"/>
      <c r="I34" s="64"/>
      <c r="J34" s="77"/>
      <c r="K34" s="77"/>
      <c r="L34" s="38"/>
      <c r="M34" s="38"/>
      <c r="N34" s="77"/>
      <c r="O34" s="77"/>
      <c r="P34" s="38"/>
      <c r="Q34" s="38" t="s">
        <v>23</v>
      </c>
      <c r="R34" s="77"/>
      <c r="S34" s="64"/>
      <c r="T34" s="77"/>
    </row>
    <row r="35" spans="2:20" ht="60" customHeight="1" x14ac:dyDescent="0.35">
      <c r="B35" s="36" t="s">
        <v>435</v>
      </c>
      <c r="C35" s="75"/>
      <c r="D35" s="76"/>
      <c r="E35" s="76" t="s">
        <v>23</v>
      </c>
      <c r="F35" s="76" t="str">
        <f>IF(E35&lt;&gt;"", IFERROR(VLOOKUP(E35, Dashboard!$B46:$F51, 5, FALSE), ""), "")</f>
        <v/>
      </c>
      <c r="G35" s="77"/>
      <c r="H35" s="64"/>
      <c r="I35" s="64"/>
      <c r="J35" s="77"/>
      <c r="K35" s="77"/>
      <c r="L35" s="38"/>
      <c r="M35" s="38"/>
      <c r="N35" s="77"/>
      <c r="O35" s="77"/>
      <c r="P35" s="38"/>
      <c r="Q35" s="38" t="s">
        <v>23</v>
      </c>
      <c r="R35" s="77"/>
      <c r="S35" s="64"/>
      <c r="T35" s="77"/>
    </row>
    <row r="36" spans="2:20" ht="60" customHeight="1" x14ac:dyDescent="0.35">
      <c r="B36" s="36" t="s">
        <v>436</v>
      </c>
      <c r="C36" s="75"/>
      <c r="D36" s="76"/>
      <c r="E36" s="76" t="s">
        <v>23</v>
      </c>
      <c r="F36" s="76" t="str">
        <f>IF(E36&lt;&gt;"", IFERROR(VLOOKUP(E36, Dashboard!$B46:$F51, 5, FALSE), ""), "")</f>
        <v/>
      </c>
      <c r="G36" s="77"/>
      <c r="H36" s="64"/>
      <c r="I36" s="64"/>
      <c r="J36" s="77"/>
      <c r="K36" s="77"/>
      <c r="L36" s="38"/>
      <c r="M36" s="38"/>
      <c r="N36" s="77"/>
      <c r="O36" s="77"/>
      <c r="P36" s="38"/>
      <c r="Q36" s="38" t="s">
        <v>23</v>
      </c>
      <c r="R36" s="77"/>
      <c r="S36" s="64"/>
      <c r="T36" s="77"/>
    </row>
    <row r="37" spans="2:20" ht="60" customHeight="1" x14ac:dyDescent="0.35">
      <c r="B37" s="36" t="s">
        <v>437</v>
      </c>
      <c r="C37" s="75"/>
      <c r="D37" s="76"/>
      <c r="E37" s="76" t="s">
        <v>23</v>
      </c>
      <c r="F37" s="76" t="str">
        <f>IF(E37&lt;&gt;"", IFERROR(VLOOKUP(E37, Dashboard!$B46:$F51, 5, FALSE), ""), "")</f>
        <v/>
      </c>
      <c r="G37" s="77"/>
      <c r="H37" s="64"/>
      <c r="I37" s="64"/>
      <c r="J37" s="77"/>
      <c r="K37" s="77"/>
      <c r="L37" s="38"/>
      <c r="M37" s="38"/>
      <c r="N37" s="77"/>
      <c r="O37" s="77"/>
      <c r="P37" s="38"/>
      <c r="Q37" s="38" t="s">
        <v>23</v>
      </c>
      <c r="R37" s="77"/>
      <c r="S37" s="64"/>
      <c r="T37" s="77"/>
    </row>
    <row r="38" spans="2:20" ht="60" customHeight="1" x14ac:dyDescent="0.35">
      <c r="B38" s="36" t="s">
        <v>438</v>
      </c>
      <c r="C38" s="75"/>
      <c r="D38" s="76"/>
      <c r="E38" s="76" t="s">
        <v>23</v>
      </c>
      <c r="F38" s="76" t="str">
        <f>IF(E38&lt;&gt;"", IFERROR(VLOOKUP(E38, Dashboard!$B46:$F51, 5, FALSE), ""), "")</f>
        <v/>
      </c>
      <c r="G38" s="77"/>
      <c r="H38" s="64"/>
      <c r="I38" s="64"/>
      <c r="J38" s="77"/>
      <c r="K38" s="77"/>
      <c r="L38" s="38"/>
      <c r="M38" s="38"/>
      <c r="N38" s="77"/>
      <c r="O38" s="77"/>
      <c r="P38" s="38"/>
      <c r="Q38" s="38" t="s">
        <v>23</v>
      </c>
      <c r="R38" s="77"/>
      <c r="S38" s="64"/>
      <c r="T38" s="77"/>
    </row>
    <row r="39" spans="2:20" ht="60" customHeight="1" x14ac:dyDescent="0.35">
      <c r="B39" s="36" t="s">
        <v>439</v>
      </c>
      <c r="C39" s="75"/>
      <c r="D39" s="76"/>
      <c r="E39" s="76" t="s">
        <v>23</v>
      </c>
      <c r="F39" s="76" t="str">
        <f>IF(E39&lt;&gt;"", IFERROR(VLOOKUP(E39, Dashboard!$B46:$F51, 5, FALSE), ""), "")</f>
        <v/>
      </c>
      <c r="G39" s="77"/>
      <c r="H39" s="64"/>
      <c r="I39" s="64"/>
      <c r="J39" s="77"/>
      <c r="K39" s="77"/>
      <c r="L39" s="38"/>
      <c r="M39" s="38"/>
      <c r="N39" s="77"/>
      <c r="O39" s="77"/>
      <c r="P39" s="38"/>
      <c r="Q39" s="38" t="s">
        <v>23</v>
      </c>
      <c r="R39" s="77"/>
      <c r="S39" s="64"/>
      <c r="T39" s="77"/>
    </row>
    <row r="40" spans="2:20" ht="60" customHeight="1" x14ac:dyDescent="0.35">
      <c r="B40" s="36" t="s">
        <v>440</v>
      </c>
      <c r="C40" s="75"/>
      <c r="D40" s="76"/>
      <c r="E40" s="76" t="s">
        <v>23</v>
      </c>
      <c r="F40" s="76" t="str">
        <f>IF(E40&lt;&gt;"", IFERROR(VLOOKUP(E40, Dashboard!$B46:$F51, 5, FALSE), ""), "")</f>
        <v/>
      </c>
      <c r="G40" s="77"/>
      <c r="H40" s="64"/>
      <c r="I40" s="64"/>
      <c r="J40" s="77"/>
      <c r="K40" s="77"/>
      <c r="L40" s="38"/>
      <c r="M40" s="38"/>
      <c r="N40" s="77"/>
      <c r="O40" s="77"/>
      <c r="P40" s="38"/>
      <c r="Q40" s="38" t="s">
        <v>23</v>
      </c>
      <c r="R40" s="77"/>
      <c r="S40" s="64"/>
      <c r="T40" s="77"/>
    </row>
    <row r="41" spans="2:20" ht="60" customHeight="1" x14ac:dyDescent="0.35">
      <c r="B41" s="36" t="s">
        <v>441</v>
      </c>
      <c r="C41" s="75"/>
      <c r="D41" s="76"/>
      <c r="E41" s="76" t="s">
        <v>23</v>
      </c>
      <c r="F41" s="76" t="str">
        <f>IF(E41&lt;&gt;"", IFERROR(VLOOKUP(E41, Dashboard!$B46:$F51, 5, FALSE), ""), "")</f>
        <v/>
      </c>
      <c r="G41" s="77"/>
      <c r="H41" s="64"/>
      <c r="I41" s="64"/>
      <c r="J41" s="77"/>
      <c r="K41" s="77"/>
      <c r="L41" s="38"/>
      <c r="M41" s="38"/>
      <c r="N41" s="77"/>
      <c r="O41" s="77"/>
      <c r="P41" s="38"/>
      <c r="Q41" s="38" t="s">
        <v>23</v>
      </c>
      <c r="R41" s="77"/>
      <c r="S41" s="64"/>
      <c r="T41" s="77"/>
    </row>
    <row r="42" spans="2:20" ht="60" customHeight="1" x14ac:dyDescent="0.35">
      <c r="B42" s="36" t="s">
        <v>442</v>
      </c>
      <c r="C42" s="75"/>
      <c r="D42" s="76"/>
      <c r="E42" s="76" t="s">
        <v>23</v>
      </c>
      <c r="F42" s="76" t="str">
        <f>IF(E42&lt;&gt;"", IFERROR(VLOOKUP(E42, Dashboard!$B46:$F51, 5, FALSE), ""), "")</f>
        <v/>
      </c>
      <c r="G42" s="77"/>
      <c r="H42" s="64"/>
      <c r="I42" s="64"/>
      <c r="J42" s="77"/>
      <c r="K42" s="77"/>
      <c r="L42" s="38"/>
      <c r="M42" s="38"/>
      <c r="N42" s="77"/>
      <c r="O42" s="77"/>
      <c r="P42" s="38"/>
      <c r="Q42" s="38" t="s">
        <v>23</v>
      </c>
      <c r="R42" s="77"/>
      <c r="S42" s="64"/>
      <c r="T42" s="77"/>
    </row>
    <row r="43" spans="2:20" ht="60" customHeight="1" x14ac:dyDescent="0.35">
      <c r="B43" s="36" t="s">
        <v>443</v>
      </c>
      <c r="C43" s="75"/>
      <c r="D43" s="76"/>
      <c r="E43" s="76" t="s">
        <v>23</v>
      </c>
      <c r="F43" s="76" t="str">
        <f>IF(E43&lt;&gt;"", IFERROR(VLOOKUP(E43, Dashboard!$B46:$F51, 5, FALSE), ""), "")</f>
        <v/>
      </c>
      <c r="G43" s="77"/>
      <c r="H43" s="64"/>
      <c r="I43" s="64"/>
      <c r="J43" s="77"/>
      <c r="K43" s="77"/>
      <c r="L43" s="38"/>
      <c r="M43" s="38"/>
      <c r="N43" s="77"/>
      <c r="O43" s="77"/>
      <c r="P43" s="38"/>
      <c r="Q43" s="38" t="s">
        <v>23</v>
      </c>
      <c r="R43" s="77"/>
      <c r="S43" s="64"/>
      <c r="T43" s="77"/>
    </row>
    <row r="44" spans="2:20" ht="60" customHeight="1" x14ac:dyDescent="0.35">
      <c r="B44" s="36" t="s">
        <v>444</v>
      </c>
      <c r="C44" s="75"/>
      <c r="D44" s="76"/>
      <c r="E44" s="76" t="s">
        <v>23</v>
      </c>
      <c r="F44" s="76" t="str">
        <f>IF(E44&lt;&gt;"", IFERROR(VLOOKUP(E44, Dashboard!$B46:$F51, 5, FALSE), ""), "")</f>
        <v/>
      </c>
      <c r="G44" s="77"/>
      <c r="H44" s="64"/>
      <c r="I44" s="64"/>
      <c r="J44" s="77"/>
      <c r="K44" s="77"/>
      <c r="L44" s="38"/>
      <c r="M44" s="38"/>
      <c r="N44" s="77"/>
      <c r="O44" s="77"/>
      <c r="P44" s="38"/>
      <c r="Q44" s="38" t="s">
        <v>23</v>
      </c>
      <c r="R44" s="77"/>
      <c r="S44" s="64"/>
      <c r="T44" s="77"/>
    </row>
    <row r="45" spans="2:20" ht="60" customHeight="1" x14ac:dyDescent="0.35">
      <c r="B45" s="36" t="s">
        <v>445</v>
      </c>
      <c r="C45" s="75"/>
      <c r="D45" s="76"/>
      <c r="E45" s="76" t="s">
        <v>23</v>
      </c>
      <c r="F45" s="76" t="str">
        <f>IF(E45&lt;&gt;"", IFERROR(VLOOKUP(E45, Dashboard!$B46:$F51, 5, FALSE), ""), "")</f>
        <v/>
      </c>
      <c r="G45" s="77"/>
      <c r="H45" s="64"/>
      <c r="I45" s="64"/>
      <c r="J45" s="77"/>
      <c r="K45" s="77"/>
      <c r="L45" s="38"/>
      <c r="M45" s="38"/>
      <c r="N45" s="77"/>
      <c r="O45" s="77"/>
      <c r="P45" s="38"/>
      <c r="Q45" s="38" t="s">
        <v>23</v>
      </c>
      <c r="R45" s="77"/>
      <c r="S45" s="64"/>
      <c r="T45" s="77"/>
    </row>
    <row r="46" spans="2:20" ht="60" customHeight="1" x14ac:dyDescent="0.35">
      <c r="B46" s="36" t="s">
        <v>446</v>
      </c>
      <c r="C46" s="75"/>
      <c r="D46" s="76"/>
      <c r="E46" s="76" t="s">
        <v>23</v>
      </c>
      <c r="F46" s="76" t="str">
        <f>IF(E46&lt;&gt;"", IFERROR(VLOOKUP(E46, Dashboard!$B46:$F51, 5, FALSE), ""), "")</f>
        <v/>
      </c>
      <c r="G46" s="77"/>
      <c r="H46" s="64"/>
      <c r="I46" s="64"/>
      <c r="J46" s="77"/>
      <c r="K46" s="77"/>
      <c r="L46" s="38"/>
      <c r="M46" s="38"/>
      <c r="N46" s="77"/>
      <c r="O46" s="77"/>
      <c r="P46" s="38"/>
      <c r="Q46" s="38" t="s">
        <v>23</v>
      </c>
      <c r="R46" s="77"/>
      <c r="S46" s="64"/>
      <c r="T46" s="77"/>
    </row>
    <row r="47" spans="2:20" ht="60" customHeight="1" x14ac:dyDescent="0.35">
      <c r="B47" s="36" t="s">
        <v>447</v>
      </c>
      <c r="C47" s="75"/>
      <c r="D47" s="76"/>
      <c r="E47" s="76" t="s">
        <v>23</v>
      </c>
      <c r="F47" s="76" t="str">
        <f>IF(E47&lt;&gt;"", IFERROR(VLOOKUP(E47, Dashboard!$B46:$F51, 5, FALSE), ""), "")</f>
        <v/>
      </c>
      <c r="G47" s="77"/>
      <c r="H47" s="64"/>
      <c r="I47" s="64"/>
      <c r="J47" s="77"/>
      <c r="K47" s="77"/>
      <c r="L47" s="38"/>
      <c r="M47" s="38"/>
      <c r="N47" s="77"/>
      <c r="O47" s="77"/>
      <c r="P47" s="38"/>
      <c r="Q47" s="38" t="s">
        <v>23</v>
      </c>
      <c r="R47" s="77"/>
      <c r="S47" s="64"/>
      <c r="T47" s="77"/>
    </row>
    <row r="48" spans="2:20" ht="60" customHeight="1" x14ac:dyDescent="0.35">
      <c r="B48" s="36" t="s">
        <v>448</v>
      </c>
      <c r="C48" s="75"/>
      <c r="D48" s="76"/>
      <c r="E48" s="76" t="s">
        <v>23</v>
      </c>
      <c r="F48" s="76" t="str">
        <f>IF(E48&lt;&gt;"", IFERROR(VLOOKUP(E48, Dashboard!$B46:$F51, 5, FALSE), ""), "")</f>
        <v/>
      </c>
      <c r="G48" s="77"/>
      <c r="H48" s="64"/>
      <c r="I48" s="64"/>
      <c r="J48" s="77"/>
      <c r="K48" s="77"/>
      <c r="L48" s="38"/>
      <c r="M48" s="38"/>
      <c r="N48" s="77"/>
      <c r="O48" s="77"/>
      <c r="P48" s="38"/>
      <c r="Q48" s="38" t="s">
        <v>23</v>
      </c>
      <c r="R48" s="77"/>
      <c r="S48" s="64"/>
      <c r="T48" s="77"/>
    </row>
    <row r="49" spans="2:20" ht="60" customHeight="1" x14ac:dyDescent="0.35">
      <c r="B49" s="36" t="s">
        <v>449</v>
      </c>
      <c r="C49" s="75"/>
      <c r="D49" s="76"/>
      <c r="E49" s="76" t="s">
        <v>23</v>
      </c>
      <c r="F49" s="76" t="str">
        <f>IF(E49&lt;&gt;"", IFERROR(VLOOKUP(E49, Dashboard!$B46:$F51, 5, FALSE), ""), "")</f>
        <v/>
      </c>
      <c r="G49" s="77"/>
      <c r="H49" s="64"/>
      <c r="I49" s="64"/>
      <c r="J49" s="77"/>
      <c r="K49" s="77"/>
      <c r="L49" s="38"/>
      <c r="M49" s="38"/>
      <c r="N49" s="77"/>
      <c r="O49" s="77"/>
      <c r="P49" s="38"/>
      <c r="Q49" s="38" t="s">
        <v>23</v>
      </c>
      <c r="R49" s="77"/>
      <c r="S49" s="64"/>
      <c r="T49" s="77"/>
    </row>
    <row r="50" spans="2:20" ht="60" customHeight="1" x14ac:dyDescent="0.35">
      <c r="B50" s="36" t="s">
        <v>450</v>
      </c>
      <c r="C50" s="75"/>
      <c r="D50" s="76"/>
      <c r="E50" s="76" t="s">
        <v>23</v>
      </c>
      <c r="F50" s="76" t="str">
        <f>IF(E50&lt;&gt;"", IFERROR(VLOOKUP(E50, Dashboard!$B46:$F51, 5, FALSE), ""), "")</f>
        <v/>
      </c>
      <c r="G50" s="77"/>
      <c r="H50" s="64"/>
      <c r="I50" s="64"/>
      <c r="J50" s="77"/>
      <c r="K50" s="77"/>
      <c r="L50" s="38"/>
      <c r="M50" s="38"/>
      <c r="N50" s="77"/>
      <c r="O50" s="77"/>
      <c r="P50" s="38"/>
      <c r="Q50" s="38" t="s">
        <v>23</v>
      </c>
      <c r="R50" s="77"/>
      <c r="S50" s="64"/>
      <c r="T50" s="77"/>
    </row>
    <row r="51" spans="2:20" ht="60" customHeight="1" x14ac:dyDescent="0.35">
      <c r="B51" s="36" t="s">
        <v>451</v>
      </c>
      <c r="C51" s="75"/>
      <c r="D51" s="76"/>
      <c r="E51" s="76" t="s">
        <v>23</v>
      </c>
      <c r="F51" s="76" t="str">
        <f>IF(E51&lt;&gt;"", IFERROR(VLOOKUP(E51, Dashboard!$B46:$F51, 5, FALSE), ""), "")</f>
        <v/>
      </c>
      <c r="G51" s="77"/>
      <c r="H51" s="64"/>
      <c r="I51" s="64"/>
      <c r="J51" s="77"/>
      <c r="K51" s="77"/>
      <c r="L51" s="38"/>
      <c r="M51" s="38"/>
      <c r="N51" s="77"/>
      <c r="O51" s="77"/>
      <c r="P51" s="38"/>
      <c r="Q51" s="38" t="s">
        <v>23</v>
      </c>
      <c r="R51" s="77"/>
      <c r="S51" s="64"/>
      <c r="T51" s="77"/>
    </row>
    <row r="52" spans="2:20" ht="60" customHeight="1" x14ac:dyDescent="0.35">
      <c r="B52" s="36" t="s">
        <v>452</v>
      </c>
      <c r="C52" s="75"/>
      <c r="D52" s="76"/>
      <c r="E52" s="76" t="s">
        <v>23</v>
      </c>
      <c r="F52" s="76" t="str">
        <f>IF(E52&lt;&gt;"", IFERROR(VLOOKUP(E52, Dashboard!$B46:$F51, 5, FALSE), ""), "")</f>
        <v/>
      </c>
      <c r="G52" s="77"/>
      <c r="H52" s="64"/>
      <c r="I52" s="64"/>
      <c r="J52" s="77"/>
      <c r="K52" s="77"/>
      <c r="L52" s="38"/>
      <c r="M52" s="38"/>
      <c r="N52" s="77"/>
      <c r="O52" s="77"/>
      <c r="P52" s="38"/>
      <c r="Q52" s="38" t="s">
        <v>23</v>
      </c>
      <c r="R52" s="77"/>
      <c r="S52" s="64"/>
      <c r="T52" s="77"/>
    </row>
    <row r="53" spans="2:20" ht="60" customHeight="1" x14ac:dyDescent="0.35">
      <c r="B53" s="36" t="s">
        <v>453</v>
      </c>
      <c r="C53" s="75"/>
      <c r="D53" s="76"/>
      <c r="E53" s="76" t="s">
        <v>23</v>
      </c>
      <c r="F53" s="76" t="str">
        <f>IF(E53&lt;&gt;"", IFERROR(VLOOKUP(E53, Dashboard!$B46:$F51, 5, FALSE), ""), "")</f>
        <v/>
      </c>
      <c r="G53" s="77"/>
      <c r="H53" s="64"/>
      <c r="I53" s="64"/>
      <c r="J53" s="77"/>
      <c r="K53" s="77"/>
      <c r="L53" s="38"/>
      <c r="M53" s="38"/>
      <c r="N53" s="77"/>
      <c r="O53" s="77"/>
      <c r="P53" s="38"/>
      <c r="Q53" s="38" t="s">
        <v>23</v>
      </c>
      <c r="R53" s="77"/>
      <c r="S53" s="64"/>
      <c r="T53" s="77"/>
    </row>
    <row r="54" spans="2:20" ht="60" customHeight="1" x14ac:dyDescent="0.35">
      <c r="B54" s="36" t="s">
        <v>454</v>
      </c>
      <c r="C54" s="75"/>
      <c r="D54" s="76"/>
      <c r="E54" s="76" t="s">
        <v>23</v>
      </c>
      <c r="F54" s="76" t="str">
        <f>IF(E54&lt;&gt;"", IFERROR(VLOOKUP(E54, Dashboard!$B46:$F51, 5, FALSE), ""), "")</f>
        <v/>
      </c>
      <c r="G54" s="77"/>
      <c r="H54" s="64"/>
      <c r="I54" s="64"/>
      <c r="J54" s="77"/>
      <c r="K54" s="77"/>
      <c r="L54" s="38"/>
      <c r="M54" s="38"/>
      <c r="N54" s="77"/>
      <c r="O54" s="77"/>
      <c r="P54" s="38"/>
      <c r="Q54" s="38" t="s">
        <v>23</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242</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CISA Google Workspace Secure Configuration Baseline for Gmail - SHGIR</dc:title>
  <dc:subject>Generated on: 2026-06-09 11:41:26</dc:subject>
  <dc:creator>Anicet Fopa Tchoffo</dc:creator>
  <cp:keywords>Hardening,Baseline;CISA;SCuBA</cp:keywords>
  <dc:description>Baseline Developed By: Cybersecurity and Infrastructure Security Agency (CISA)</dc:description>
  <cp:lastModifiedBy>Anicet Fopa Tchoffo</cp:lastModifiedBy>
  <dcterms:modified xsi:type="dcterms:W3CDTF">2026-06-09T10:41:34Z</dcterms:modified>
  <cp:category>CISA-SCuBA</cp:category>
  <cp:contentStatus>Draft</cp:contentStatus>
</cp:coreProperties>
</file>