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40" documentId="11_A12B0EBDA8D4AF91645271B03F901AD29E939CD4" xr6:coauthVersionLast="47" xr6:coauthVersionMax="47" xr10:uidLastSave="{A3A22DB7-5A61-4468-B1D1-B1E2DC0BAF9F}"/>
  <bookViews>
    <workbookView xWindow="115080" yWindow="9690" windowWidth="29040" windowHeight="15720" activeTab="2"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O2" i="1"/>
  <c r="F114" i="3" s="1"/>
  <c r="R189" i="3"/>
  <c r="R188" i="3"/>
  <c r="R187" i="3"/>
  <c r="R186" i="3"/>
  <c r="R185" i="3"/>
  <c r="R184" i="3"/>
  <c r="R183" i="3"/>
  <c r="R182" i="3"/>
  <c r="R181" i="3"/>
  <c r="R180" i="3"/>
  <c r="R179" i="3"/>
  <c r="R178" i="3"/>
  <c r="R177" i="3"/>
  <c r="R176" i="3"/>
  <c r="R175" i="3"/>
  <c r="R174" i="3"/>
  <c r="R173" i="3"/>
  <c r="R172" i="3"/>
  <c r="R171" i="3"/>
  <c r="R170" i="3"/>
  <c r="O114" i="3"/>
  <c r="N114" i="3"/>
  <c r="M114" i="3"/>
  <c r="L114" i="3"/>
  <c r="K114" i="3"/>
  <c r="E114" i="3"/>
  <c r="O113" i="3"/>
  <c r="N113" i="3"/>
  <c r="M113" i="3"/>
  <c r="L113" i="3"/>
  <c r="K113" i="3"/>
  <c r="F113" i="3"/>
  <c r="E113" i="3"/>
  <c r="G113" i="3" s="1"/>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E95" i="3"/>
  <c r="D95" i="3"/>
  <c r="C95" i="3"/>
  <c r="F95" i="3" s="1"/>
  <c r="E94" i="3"/>
  <c r="D94" i="3"/>
  <c r="C94" i="3"/>
  <c r="F94" i="3" s="1"/>
  <c r="E93" i="3"/>
  <c r="D93" i="3"/>
  <c r="C93" i="3"/>
  <c r="F93" i="3" s="1"/>
  <c r="E92" i="3"/>
  <c r="D92" i="3"/>
  <c r="C92" i="3"/>
  <c r="F92" i="3" s="1"/>
  <c r="C80" i="3"/>
  <c r="F75" i="3"/>
  <c r="E83" i="3" s="1"/>
  <c r="E75" i="3"/>
  <c r="D75" i="3"/>
  <c r="C75" i="3"/>
  <c r="F74" i="3"/>
  <c r="D82" i="3" s="1"/>
  <c r="E74" i="3"/>
  <c r="D74" i="3"/>
  <c r="C74" i="3"/>
  <c r="E73" i="3"/>
  <c r="D73" i="3"/>
  <c r="C73" i="3"/>
  <c r="W125" i="3" s="1"/>
  <c r="F72" i="3"/>
  <c r="V154" i="3" s="1"/>
  <c r="E72" i="3"/>
  <c r="D72" i="3"/>
  <c r="C72" i="3"/>
  <c r="U125" i="3" s="1"/>
  <c r="E71" i="3"/>
  <c r="F71" i="3" s="1"/>
  <c r="D71" i="3"/>
  <c r="C71" i="3"/>
  <c r="S125" i="3" s="1"/>
  <c r="E53" i="3"/>
  <c r="D53" i="3"/>
  <c r="C53" i="3"/>
  <c r="F53" i="3" s="1"/>
  <c r="E52" i="3"/>
  <c r="D52" i="3"/>
  <c r="C52" i="3"/>
  <c r="F52" i="3" s="1"/>
  <c r="E51" i="3"/>
  <c r="D51" i="3"/>
  <c r="C51" i="3"/>
  <c r="F51" i="3" s="1"/>
  <c r="E50" i="3"/>
  <c r="D50" i="3"/>
  <c r="C50" i="3"/>
  <c r="F50" i="3" s="1"/>
  <c r="E49" i="3"/>
  <c r="D49" i="3"/>
  <c r="C49" i="3"/>
  <c r="F49" i="3" s="1"/>
  <c r="E48" i="3"/>
  <c r="D48" i="3"/>
  <c r="C48" i="3"/>
  <c r="F48" i="3" s="1"/>
  <c r="E32" i="3"/>
  <c r="D32" i="3"/>
  <c r="C32" i="3"/>
  <c r="F32" i="3" s="1"/>
  <c r="E31" i="3"/>
  <c r="D31" i="3"/>
  <c r="C31" i="3"/>
  <c r="F31" i="3" s="1"/>
  <c r="E30" i="3"/>
  <c r="D30" i="3"/>
  <c r="C30" i="3"/>
  <c r="F30" i="3" s="1"/>
  <c r="E29" i="3"/>
  <c r="D29" i="3"/>
  <c r="C29" i="3"/>
  <c r="F29" i="3" s="1"/>
  <c r="E16" i="3"/>
  <c r="D16" i="3"/>
  <c r="C16" i="3"/>
  <c r="Q125" i="3" s="1"/>
  <c r="D9" i="3"/>
  <c r="C9" i="3"/>
  <c r="C8" i="3"/>
  <c r="C7" i="3" s="1"/>
  <c r="D7" i="3" s="1"/>
  <c r="E57" i="3" l="1"/>
  <c r="C57" i="3"/>
  <c r="D57" i="3"/>
  <c r="E100" i="3"/>
  <c r="D100" i="3"/>
  <c r="C100" i="3"/>
  <c r="E102" i="3"/>
  <c r="D102" i="3"/>
  <c r="C102" i="3"/>
  <c r="E58" i="3"/>
  <c r="D58" i="3"/>
  <c r="C58" i="3"/>
  <c r="E101" i="3"/>
  <c r="D101" i="3"/>
  <c r="C101" i="3"/>
  <c r="E60" i="3"/>
  <c r="D60" i="3"/>
  <c r="C60" i="3"/>
  <c r="G114" i="3"/>
  <c r="E36" i="3"/>
  <c r="D36" i="3"/>
  <c r="C36" i="3"/>
  <c r="E61" i="3"/>
  <c r="D61" i="3"/>
  <c r="C61" i="3"/>
  <c r="E37" i="3"/>
  <c r="D37" i="3"/>
  <c r="C37" i="3"/>
  <c r="T155" i="3"/>
  <c r="T150" i="3"/>
  <c r="T145" i="3"/>
  <c r="T140" i="3"/>
  <c r="T135" i="3"/>
  <c r="T130" i="3"/>
  <c r="T154" i="3"/>
  <c r="T149" i="3"/>
  <c r="T144" i="3"/>
  <c r="T139" i="3"/>
  <c r="T134" i="3"/>
  <c r="T129" i="3"/>
  <c r="E79" i="3"/>
  <c r="D79" i="3"/>
  <c r="C79" i="3"/>
  <c r="T153" i="3"/>
  <c r="T148" i="3"/>
  <c r="T143" i="3"/>
  <c r="T138" i="3"/>
  <c r="T133" i="3"/>
  <c r="T128" i="3"/>
  <c r="T157" i="3"/>
  <c r="T152" i="3"/>
  <c r="T147" i="3"/>
  <c r="T142" i="3"/>
  <c r="T137" i="3"/>
  <c r="T132" i="3"/>
  <c r="T127" i="3"/>
  <c r="T156" i="3"/>
  <c r="T151" i="3"/>
  <c r="T146" i="3"/>
  <c r="T141" i="3"/>
  <c r="T136" i="3"/>
  <c r="T131" i="3"/>
  <c r="E59" i="3"/>
  <c r="D59" i="3"/>
  <c r="C59" i="3"/>
  <c r="E38" i="3"/>
  <c r="D38" i="3"/>
  <c r="C38" i="3"/>
  <c r="E39" i="3"/>
  <c r="D39" i="3"/>
  <c r="C39" i="3"/>
  <c r="D62" i="3"/>
  <c r="C62" i="3"/>
  <c r="E62" i="3"/>
  <c r="E99" i="3"/>
  <c r="D99" i="3"/>
  <c r="C99" i="3"/>
  <c r="F16" i="3"/>
  <c r="C82" i="3"/>
  <c r="V130" i="3"/>
  <c r="V135" i="3"/>
  <c r="V140" i="3"/>
  <c r="V145" i="3"/>
  <c r="V150" i="3"/>
  <c r="V155" i="3"/>
  <c r="F73" i="3"/>
  <c r="E82" i="3"/>
  <c r="C83" i="3"/>
  <c r="D8" i="3"/>
  <c r="D83" i="3"/>
  <c r="V131" i="3"/>
  <c r="V136" i="3"/>
  <c r="V141" i="3"/>
  <c r="V146" i="3"/>
  <c r="V151" i="3"/>
  <c r="V156" i="3"/>
  <c r="V127" i="3"/>
  <c r="V132" i="3"/>
  <c r="V137" i="3"/>
  <c r="V142" i="3"/>
  <c r="V147" i="3"/>
  <c r="V152" i="3"/>
  <c r="V157" i="3"/>
  <c r="V128" i="3"/>
  <c r="V133" i="3"/>
  <c r="V138" i="3"/>
  <c r="V143" i="3"/>
  <c r="V148" i="3"/>
  <c r="V153" i="3"/>
  <c r="D80" i="3"/>
  <c r="E80" i="3"/>
  <c r="V129" i="3"/>
  <c r="V134" i="3"/>
  <c r="V139" i="3"/>
  <c r="V144" i="3"/>
  <c r="V149" i="3"/>
  <c r="R155" i="3" l="1"/>
  <c r="R150" i="3"/>
  <c r="R145" i="3"/>
  <c r="R140" i="3"/>
  <c r="R135" i="3"/>
  <c r="R130" i="3"/>
  <c r="R154" i="3"/>
  <c r="R149" i="3"/>
  <c r="R144" i="3"/>
  <c r="R139" i="3"/>
  <c r="R134" i="3"/>
  <c r="R129" i="3"/>
  <c r="R153" i="3"/>
  <c r="R148" i="3"/>
  <c r="R143" i="3"/>
  <c r="R138" i="3"/>
  <c r="R133" i="3"/>
  <c r="R128" i="3"/>
  <c r="R157" i="3"/>
  <c r="R152" i="3"/>
  <c r="R147" i="3"/>
  <c r="R142" i="3"/>
  <c r="R137" i="3"/>
  <c r="R132" i="3"/>
  <c r="R127" i="3"/>
  <c r="R156" i="3"/>
  <c r="R151" i="3"/>
  <c r="R146" i="3"/>
  <c r="R141" i="3"/>
  <c r="R136" i="3"/>
  <c r="R131" i="3"/>
  <c r="D20" i="3"/>
  <c r="E20" i="3"/>
  <c r="C20" i="3"/>
  <c r="E81" i="3"/>
  <c r="D81" i="3"/>
  <c r="X154" i="3"/>
  <c r="X149" i="3"/>
  <c r="X144" i="3"/>
  <c r="X139" i="3"/>
  <c r="X134" i="3"/>
  <c r="X129" i="3"/>
  <c r="C81" i="3"/>
  <c r="X153" i="3"/>
  <c r="X148" i="3"/>
  <c r="X143" i="3"/>
  <c r="X138" i="3"/>
  <c r="X133" i="3"/>
  <c r="X128" i="3"/>
  <c r="X157" i="3"/>
  <c r="X152" i="3"/>
  <c r="X147" i="3"/>
  <c r="X142" i="3"/>
  <c r="X137" i="3"/>
  <c r="X132" i="3"/>
  <c r="X127" i="3"/>
  <c r="X156" i="3"/>
  <c r="X151" i="3"/>
  <c r="X146" i="3"/>
  <c r="X141" i="3"/>
  <c r="X136" i="3"/>
  <c r="X131" i="3"/>
  <c r="X155" i="3"/>
  <c r="X150" i="3"/>
  <c r="X145" i="3"/>
  <c r="X140" i="3"/>
  <c r="X135" i="3"/>
  <c r="X130" i="3"/>
</calcChain>
</file>

<file path=xl/sharedStrings.xml><?xml version="1.0" encoding="utf-8"?>
<sst xmlns="http://schemas.openxmlformats.org/spreadsheetml/2006/main" count="1084" uniqueCount="440">
  <si>
    <t>Category</t>
  </si>
  <si>
    <t>Id</t>
  </si>
  <si>
    <t>Title</t>
  </si>
  <si>
    <t>Criticality</t>
  </si>
  <si>
    <t>MoSCoW</t>
  </si>
  <si>
    <t>OpsImpact</t>
  </si>
  <si>
    <t>Phase</t>
  </si>
  <si>
    <t>ImplStatus</t>
  </si>
  <si>
    <t>Notes</t>
  </si>
  <si>
    <t>Remediation</t>
  </si>
  <si>
    <t>Rationale</t>
  </si>
  <si>
    <t>Description</t>
  </si>
  <si>
    <t>LicenseReqs</t>
  </si>
  <si>
    <t>Resources</t>
  </si>
  <si>
    <t>Status</t>
  </si>
  <si>
    <t>LogID</t>
  </si>
  <si>
    <t>Automatic Forwarding to External Domains</t>
  </si>
  <si>
    <t>MS.EXO.1.1v2</t>
  </si>
  <si>
    <r>
      <rPr>
        <sz val="11"/>
        <color rgb="FF000000"/>
        <rFont val="Calibri"/>
      </rPr>
      <t>Automatic forwarding to external domains SHALL be disabled.</t>
    </r>
  </si>
  <si>
    <t>SHALL</t>
  </si>
  <si>
    <t>Unassigned</t>
  </si>
  <si>
    <t>Unassessed</t>
  </si>
  <si>
    <t>Pending</t>
  </si>
  <si>
    <t/>
  </si>
  <si>
    <r>
      <rPr>
        <sz val="11"/>
        <color rgb="FF000000"/>
        <rFont val="Calibri"/>
      </rPr>
      <t>To disallow automatic forwarding to external domains:</t>
    </r>
    <r>
      <rPr>
        <sz val="11"/>
        <color rgb="FF000000"/>
        <rFont val="Calibri"/>
      </rPr>
      <t xml:space="preserve">
</t>
    </r>
    <r>
      <rPr>
        <sz val="11"/>
        <color rgb="FF000000"/>
        <rFont val="Calibri"/>
      </rPr>
      <t xml:space="preserve">1. Sign in to the </t>
    </r>
    <r>
      <rPr>
        <b/>
        <sz val="11"/>
        <color rgb="FF000000"/>
        <rFont val="Calibri"/>
      </rPr>
      <t>Exchange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Mail flow</t>
    </r>
    <r>
      <rPr>
        <sz val="11"/>
        <color rgb="FF000000"/>
        <rFont val="Calibri"/>
      </rPr>
      <t xml:space="preserve">, then </t>
    </r>
    <r>
      <rPr>
        <b/>
        <sz val="11"/>
        <color rgb="FF000000"/>
        <rFont val="Calibri"/>
      </rPr>
      <t>Remote domains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Default</t>
    </r>
    <r>
      <rPr>
        <sz val="11"/>
        <color rgb="FF000000"/>
        <rFont val="Calibri"/>
      </rPr>
      <t>.</t>
    </r>
    <r>
      <rPr>
        <sz val="11"/>
        <color rgb="FF000000"/>
        <rFont val="Calibri"/>
      </rPr>
      <t xml:space="preserve">
</t>
    </r>
    <r>
      <rPr>
        <sz val="11"/>
        <color rgb="FF000000"/>
        <rFont val="Calibri"/>
      </rPr>
      <t xml:space="preserve">4. Under </t>
    </r>
    <r>
      <rPr>
        <b/>
        <sz val="11"/>
        <color rgb="FF000000"/>
        <rFont val="Calibri"/>
      </rPr>
      <t>Email reply types</t>
    </r>
    <r>
      <rPr>
        <sz val="11"/>
        <color rgb="FF000000"/>
        <rFont val="Calibri"/>
      </rPr>
      <t xml:space="preserve">, select </t>
    </r>
    <r>
      <rPr>
        <b/>
        <sz val="11"/>
        <color rgb="FF000000"/>
        <rFont val="Calibri"/>
      </rPr>
      <t>Edit reply types</t>
    </r>
    <r>
      <rPr>
        <sz val="11"/>
        <color rgb="FF000000"/>
        <rFont val="Calibri"/>
      </rPr>
      <t>.</t>
    </r>
    <r>
      <rPr>
        <sz val="11"/>
        <color rgb="FF000000"/>
        <rFont val="Calibri"/>
      </rPr>
      <t xml:space="preserve">
</t>
    </r>
    <r>
      <rPr>
        <sz val="11"/>
        <color rgb="FF000000"/>
        <rFont val="Calibri"/>
      </rPr>
      <t xml:space="preserve">5. Clear the checkbox next to </t>
    </r>
    <r>
      <rPr>
        <b/>
        <sz val="11"/>
        <color rgb="FF000000"/>
        <rFont val="Calibri"/>
      </rPr>
      <t>Allow automatic forwarding</t>
    </r>
    <r>
      <rPr>
        <sz val="11"/>
        <color rgb="FF000000"/>
        <rFont val="Calibri"/>
      </rPr>
      <t xml:space="preserve">, then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6. Return to </t>
    </r>
    <r>
      <rPr>
        <b/>
        <sz val="11"/>
        <color rgb="FF000000"/>
        <rFont val="Calibri"/>
      </rPr>
      <t>Remote domains</t>
    </r>
    <r>
      <rPr>
        <sz val="11"/>
        <color rgb="FF000000"/>
        <rFont val="Calibri"/>
      </rPr>
      <t xml:space="preserve"> and review each additional remote domain in the list, ensuring that automatic forwarding is only allowed for approved domains.</t>
    </r>
  </si>
  <si>
    <r>
      <rPr>
        <sz val="11"/>
        <color rgb="FF000000"/>
        <rFont val="Calibri"/>
      </rPr>
      <t>Adversaries can use automatic forwarding to gain persistent access to a victim's email. Disabling forwarding to external domains prevents this technique when the adversary is external to the organization but does not impede legitimate internal forwarding.</t>
    </r>
  </si>
  <si>
    <r>
      <rPr>
        <sz val="11"/>
        <color rgb="FF000000"/>
        <rFont val="Calibri"/>
      </rPr>
      <t>This control is intended to prevent bad actors from using client-side forwarding rules to exfiltrate data to external recipients.</t>
    </r>
  </si>
  <si>
    <r>
      <rPr>
        <sz val="11"/>
        <color rgb="FF000000"/>
        <rFont val="Calibri"/>
      </rPr>
      <t>N/A</t>
    </r>
  </si>
  <si>
    <r>
      <rPr>
        <b/>
        <sz val="11"/>
        <color rgb="FF000000"/>
        <rFont val="Calibri"/>
      </rPr>
      <t>Reducing or increasing information flow to another company | Microsoft Learn</t>
    </r>
    <r>
      <rPr>
        <sz val="11"/>
        <color rgb="FF000000"/>
        <rFont val="Calibri"/>
      </rPr>
      <t xml:space="preserve">
</t>
    </r>
    <r>
      <rPr>
        <sz val="11"/>
        <color rgb="FF0000FF"/>
        <rFont val="Calibri"/>
      </rPr>
      <t>https://learn.microsoft.com/en-us/exchange/mail-flow-best-practices/remote-domains/remote-domains#reducing-or-increasing-information-flow-to-another-company</t>
    </r>
  </si>
  <si>
    <t>Sender Policy Framework</t>
  </si>
  <si>
    <t>MS.EXO.2.2v2</t>
  </si>
  <si>
    <r>
      <rPr>
        <sz val="11"/>
        <color rgb="FF000000"/>
        <rFont val="Calibri"/>
      </rPr>
      <t>An SPF policy SHALL be published for each domain that fails all non-approved senders.</t>
    </r>
  </si>
  <si>
    <r>
      <rPr>
        <sz val="11"/>
        <color rgb="FF000000"/>
        <rFont val="Calibri"/>
      </rPr>
      <t xml:space="preserve">First, identify any approved senders specific to your agency, e.g., any on-premises mail servers. SPF allows you to indicate approved senders by IP address or CIDR range. However, note that SPF allows you to include </t>
    </r>
    <r>
      <rPr>
        <sz val="11"/>
        <color rgb="FF0000FF"/>
        <rFont val="Calibri"/>
      </rPr>
      <t>(https://www.rfc-editor.org/rfc/rfc7208#section-5.2)</t>
    </r>
    <r>
      <rPr>
        <sz val="11"/>
        <color rgb="FF000000"/>
        <rFont val="Calibri"/>
      </rPr>
      <t xml:space="preserve"> the IP addresses indicated by a separate SPF policy, referred to by domain name. See External DNS records required for SPF </t>
    </r>
    <r>
      <rPr>
        <sz val="11"/>
        <color rgb="FF0000FF"/>
        <rFont val="Calibri"/>
      </rPr>
      <t>(https://learn.microsoft.com/en-us/microsoft-365/enterprise/external-domain-name-system-records?view=o365-worldwide#external-dns-records-required-for-spf)</t>
    </r>
    <r>
      <rPr>
        <sz val="11"/>
        <color rgb="FF000000"/>
        <rFont val="Calibri"/>
      </rPr>
      <t xml:space="preserve"> for inclusions required for M365 to send email on behalf of your domain.</t>
    </r>
    <r>
      <rPr>
        <sz val="11"/>
        <color rgb="FF000000"/>
        <rFont val="Calibri"/>
      </rPr>
      <t xml:space="preserve">
</t>
    </r>
    <r>
      <rPr>
        <sz val="11"/>
        <color rgb="FF000000"/>
        <rFont val="Calibri"/>
      </rPr>
      <t xml:space="preserve">SPF is not configured through the Exchange admin center, but rather via DNS records hosted by the agency's domain. Thus, the exact steps needed to set up SPF varies from agency to agency. See Add or edit an SPF TXT record to help prevent email spam (Outlook, Exchange Online) \| Microsoft Learn </t>
    </r>
    <r>
      <rPr>
        <sz val="11"/>
        <color rgb="FF0000FF"/>
        <rFont val="Calibri"/>
      </rPr>
      <t>(https://learn.microsoft.com/en-us/microsoft-365/admin/get-help-with-domains/create-dns-records-at-any-dns-hosting-provider?view=o365-worldwide#add-or-edit-an-spf-txt-record-to-help-prevent-email-spam-outlook-exchange-online)</t>
    </r>
    <r>
      <rPr>
        <sz val="11"/>
        <color rgb="FF000000"/>
        <rFont val="Calibri"/>
      </rPr>
      <t xml:space="preserve"> for more details.</t>
    </r>
    <r>
      <rPr>
        <sz val="11"/>
        <color rgb="FF000000"/>
        <rFont val="Calibri"/>
      </rPr>
      <t xml:space="preserve">
</t>
    </r>
    <r>
      <rPr>
        <sz val="11"/>
        <color rgb="FF000000"/>
        <rFont val="Calibri"/>
      </rPr>
      <t xml:space="preserve">To test your SPF configuration, consider using a web-based tool, such as those listed under How can I validate SPF records for my domain? \| Microsoft Learn </t>
    </r>
    <r>
      <rPr>
        <sz val="11"/>
        <color rgb="FF0000FF"/>
        <rFont val="Calibri"/>
      </rPr>
      <t>(https://learn.microsoft.com/en-us/microsoft-365/admin/setup/domains-faq?view=o365-worldwide#how-can-i-validate-spf-records-for-my-domain)</t>
    </r>
    <r>
      <rPr>
        <sz val="11"/>
        <color rgb="FF000000"/>
        <rFont val="Calibri"/>
      </rPr>
      <t xml:space="preserve">. Additionally, SPF records can be requested using the PowerShell tool </t>
    </r>
    <r>
      <rPr>
        <b/>
        <sz val="11"/>
        <color rgb="FF000000"/>
        <rFont val="Calibri"/>
      </rPr>
      <t>Resolve-DnsName</t>
    </r>
    <r>
      <rPr>
        <sz val="11"/>
        <color rgb="FF000000"/>
        <rFont val="Calibri"/>
      </rPr>
      <t>. For example:</t>
    </r>
    <r>
      <rPr>
        <sz val="11"/>
        <color rgb="FF000000"/>
        <rFont val="Calibri"/>
      </rPr>
      <t xml:space="preserve">
</t>
    </r>
    <r>
      <rPr>
        <sz val="11"/>
        <color rgb="FF006096"/>
        <rFont val="Roboto Condensed"/>
      </rPr>
      <t>Resolve-DnsName example.onmicrosoft.com txt</t>
    </r>
    <r>
      <rPr>
        <sz val="11"/>
        <color rgb="FF000000"/>
        <rFont val="Calibri"/>
      </rPr>
      <t xml:space="preserve">
</t>
    </r>
    <r>
      <rPr>
        <sz val="11"/>
        <color rgb="FF000000"/>
        <rFont val="Calibri"/>
      </rPr>
      <t xml:space="preserve">If SPF is configured, you will see a response resembling </t>
    </r>
    <r>
      <rPr>
        <b/>
        <sz val="11"/>
        <color rgb="FF000000"/>
        <rFont val="Calibri"/>
      </rPr>
      <t>v=spf1 include:spf.protection.outlook.com -all</t>
    </r>
    <r>
      <rPr>
        <sz val="11"/>
        <color rgb="FF000000"/>
        <rFont val="Calibri"/>
      </rPr>
      <t xml:space="preserve"> returned; though by necessity, the contents of the SPF policy may vary by agency. In this example, the SPF policy indicates the IP addresses listed by the policy for "spf.protection.outlook.com" are the only approved senders for "example.onmicrosoft.com." These IPs can be determined via an additional SPF lookup, this time for "spf.protection.outlook.com." Ensure the IP addresses listed as approved senders for your domains are correct. Additionally, ensure that each policy either ends in </t>
    </r>
    <r>
      <rPr>
        <b/>
        <sz val="11"/>
        <color rgb="FF000000"/>
        <rFont val="Calibri"/>
      </rPr>
      <t>-all</t>
    </r>
    <r>
      <rPr>
        <sz val="11"/>
        <color rgb="FF000000"/>
        <rFont val="Calibri"/>
      </rPr>
      <t xml:space="preserve"> or redirects </t>
    </r>
    <r>
      <rPr>
        <sz val="11"/>
        <color rgb="FF0000FF"/>
        <rFont val="Calibri"/>
      </rPr>
      <t>(https://www.rfc-editor.org/rfc/rfc7208#section-6.1)</t>
    </r>
    <r>
      <rPr>
        <sz val="11"/>
        <color rgb="FF000000"/>
        <rFont val="Calibri"/>
      </rPr>
      <t xml:space="preserve"> to one that does; this directive indicates that all IPs that don't match the policy should fail. See SPF TXT record syntax for Microsoft 365 \| Microsoft Learn </t>
    </r>
    <r>
      <rPr>
        <sz val="11"/>
        <color rgb="FF0000FF"/>
        <rFont val="Calibri"/>
      </rPr>
      <t>(https://learn.microsoft.com/en-us/microsoft-365/security/office-365-security/email-authentication-anti-spoofing?view=o365-worldwide#spf-txt-record-syntax-for-microsoft-365)</t>
    </r>
    <r>
      <rPr>
        <sz val="11"/>
        <color rgb="FF000000"/>
        <rFont val="Calibri"/>
      </rPr>
      <t xml:space="preserve"> for a more in-depth discussion of SPF record syntax.</t>
    </r>
  </si>
  <si>
    <r>
      <rPr>
        <sz val="11"/>
        <color rgb="FF000000"/>
        <rFont val="Calibri"/>
      </rPr>
      <t xml:space="preserve">An adversary may modify the </t>
    </r>
    <r>
      <rPr>
        <b/>
        <sz val="11"/>
        <color rgb="FF000000"/>
        <rFont val="Calibri"/>
      </rPr>
      <t>FROM</t>
    </r>
    <r>
      <rPr>
        <sz val="11"/>
        <color rgb="FF000000"/>
        <rFont val="Calibri"/>
      </rPr>
      <t xml:space="preserve"> field of an email such that it appears to be a legitimate email sent by an agency, facilitating phishing attacks. Publishing an SPF policy for each agency domain mitigates forged </t>
    </r>
    <r>
      <rPr>
        <b/>
        <sz val="11"/>
        <color rgb="FF000000"/>
        <rFont val="Calibri"/>
      </rPr>
      <t>FROM</t>
    </r>
    <r>
      <rPr>
        <sz val="11"/>
        <color rgb="FF000000"/>
        <rFont val="Calibri"/>
      </rPr>
      <t xml:space="preserve"> fields by providing a means for recipients to detect emails spoofed in this way. SPF is required for FCEB departments and agencies by Binding Operational Directive (BOD) 18-01, "Enhance Email and Web Security".</t>
    </r>
  </si>
  <si>
    <r>
      <rPr>
        <sz val="11"/>
        <color rgb="FF000000"/>
        <rFont val="Calibri"/>
      </rPr>
      <t>The Sender Policy Framework (SPF) is a mechanism allowing domain administrators to specify which IP addresses are explicitly approved to send email on behalf of the domain, facilitating detection of spoofed emails. SPF is not configured through the Exchange admin center, but rather via Domain Name System (DNS) records hosted by the agency's domain. Thus, the exact steps needed to set up SPF vary from agency to agency, but Microsoft's documentation provides some helpful starting points.</t>
    </r>
  </si>
  <si>
    <r>
      <rPr>
        <b/>
        <sz val="11"/>
        <color rgb="FF000000"/>
        <rFont val="Calibri"/>
      </rPr>
      <t>Binding Operational Directive 18-01 - Enhance Email and Web Security | DHS</t>
    </r>
    <r>
      <rPr>
        <sz val="11"/>
        <color rgb="FF000000"/>
        <rFont val="Calibri"/>
      </rPr>
      <t xml:space="preserve">
</t>
    </r>
    <r>
      <rPr>
        <sz val="11"/>
        <color rgb="FF0000FF"/>
        <rFont val="Calibri"/>
      </rPr>
      <t>https://cyber.dhs.gov/bod/18-01/</t>
    </r>
    <r>
      <rPr>
        <sz val="11"/>
        <color rgb="FF000000"/>
        <rFont val="Calibri"/>
      </rPr>
      <t xml:space="preserve">
</t>
    </r>
    <r>
      <rPr>
        <b/>
        <sz val="11"/>
        <color rgb="FF000000"/>
        <rFont val="Calibri"/>
      </rPr>
      <t>Trustworthy Email | NIST 800-177 Rev. 1</t>
    </r>
    <r>
      <rPr>
        <sz val="11"/>
        <color rgb="FF000000"/>
        <rFont val="Calibri"/>
      </rPr>
      <t xml:space="preserve">
</t>
    </r>
    <r>
      <rPr>
        <sz val="11"/>
        <color rgb="FF0000FF"/>
        <rFont val="Calibri"/>
      </rPr>
      <t>https://csrc.nist.gov/publications/detail/sp/800-177/rev-1/final</t>
    </r>
    <r>
      <rPr>
        <sz val="11"/>
        <color rgb="FF000000"/>
        <rFont val="Calibri"/>
      </rPr>
      <t xml:space="preserve">
</t>
    </r>
    <r>
      <rPr>
        <b/>
        <sz val="11"/>
        <color rgb="FF000000"/>
        <rFont val="Calibri"/>
      </rPr>
      <t>Set up SPF to help prevent spoofing | Microsoft Learn</t>
    </r>
    <r>
      <rPr>
        <sz val="11"/>
        <color rgb="FF000000"/>
        <rFont val="Calibri"/>
      </rPr>
      <t xml:space="preserve">
</t>
    </r>
    <r>
      <rPr>
        <sz val="11"/>
        <color rgb="FF0000FF"/>
        <rFont val="Calibri"/>
      </rPr>
      <t>https://learn.microsoft.com/en-us/microsoft-365/security/office-365-security/email-authentication-spf-configure?view=o365-worldwide</t>
    </r>
    <r>
      <rPr>
        <sz val="11"/>
        <color rgb="FF000000"/>
        <rFont val="Calibri"/>
      </rPr>
      <t xml:space="preserve">
</t>
    </r>
    <r>
      <rPr>
        <b/>
        <sz val="11"/>
        <color rgb="FF000000"/>
        <rFont val="Calibri"/>
      </rPr>
      <t>How Microsoft 365 uses Sender Policy Framework (SPF) to prevent spoofing | Microsoft Learn</t>
    </r>
    <r>
      <rPr>
        <sz val="11"/>
        <color rgb="FF000000"/>
        <rFont val="Calibri"/>
      </rPr>
      <t xml:space="preserve">
</t>
    </r>
    <r>
      <rPr>
        <sz val="11"/>
        <color rgb="FF0000FF"/>
        <rFont val="Calibri"/>
      </rPr>
      <t>https://learn.microsoft.com/en-us/microsoft-365/security/office-365-security/email-authentication-anti-spoofing?view=o365-worldwide</t>
    </r>
  </si>
  <si>
    <t>DomainKeys Identified Mail</t>
  </si>
  <si>
    <t>MS.EXO.3.1v1</t>
  </si>
  <si>
    <r>
      <rPr>
        <sz val="11"/>
        <color rgb="FF000000"/>
        <rFont val="Calibri"/>
      </rPr>
      <t>DKIM SHOULD be enabled for all domains.</t>
    </r>
  </si>
  <si>
    <t>SHOULD</t>
  </si>
  <si>
    <r>
      <rPr>
        <sz val="11"/>
        <color rgb="FF000000"/>
        <rFont val="Calibri"/>
      </rPr>
      <t>1. To enable DKIM, follow the instructions listed on Steps to Create,</t>
    </r>
    <r>
      <rPr>
        <sz val="11"/>
        <color rgb="FF000000"/>
        <rFont val="Calibri"/>
      </rPr>
      <t xml:space="preserve">
</t>
    </r>
    <r>
      <rPr>
        <sz val="11"/>
        <color rgb="FF000000"/>
        <rFont val="Calibri"/>
      </rPr>
      <t xml:space="preserve">enable and disable DKIM from Microsoft 365 Defender portal \| Microsoft Learn </t>
    </r>
    <r>
      <rPr>
        <sz val="11"/>
        <color rgb="FF0000FF"/>
        <rFont val="Calibri"/>
      </rPr>
      <t>(https://learn.microsoft.com/en-us/microsoft-365/security/office-365-security/email-authentication-dkim-configure?view=o365-worldwide#steps-to-create-enable-and-disable-dkim-from-microsoft-365-defender-portal)</t>
    </r>
    <r>
      <rPr>
        <sz val="11"/>
        <color rgb="FF000000"/>
        <rFont val="Calibri"/>
      </rPr>
      <t>.</t>
    </r>
  </si>
  <si>
    <r>
      <rPr>
        <sz val="11"/>
        <color rgb="FF000000"/>
        <rFont val="Calibri"/>
      </rPr>
      <t xml:space="preserve">An adversary may modify the </t>
    </r>
    <r>
      <rPr>
        <b/>
        <sz val="11"/>
        <color rgb="FF000000"/>
        <rFont val="Calibri"/>
      </rPr>
      <t>FROM</t>
    </r>
    <r>
      <rPr>
        <sz val="11"/>
        <color rgb="FF000000"/>
        <rFont val="Calibri"/>
      </rPr>
      <t xml:space="preserve"> field of an email such that it appears to be a legitimate email sent by an agency, facilitating phishing attacks. Enabling DKIM is another means for recipients to detect spoofed emails and verify the integrity of email content.</t>
    </r>
  </si>
  <si>
    <r>
      <rPr>
        <sz val="11"/>
        <color rgb="FF000000"/>
        <rFont val="Calibri"/>
      </rPr>
      <t>DomainKeys Identified Mail (DKIM) allows digital signatures to be added to email messages in the message header, providing a layer of both authenticity and integrity to emails. As with SPF, DKIM relies on DNS records; thus, its deployment depends on how an agency manages its DNS. Exchange Online Protection (EOP) features include DKIM signing capabilities.</t>
    </r>
  </si>
  <si>
    <r>
      <rPr>
        <b/>
        <sz val="11"/>
        <color rgb="FF000000"/>
        <rFont val="Calibri"/>
      </rPr>
      <t>Binding Operational Directive 18-01 - Enhance Email and Web Security | DHS</t>
    </r>
    <r>
      <rPr>
        <sz val="11"/>
        <color rgb="FF000000"/>
        <rFont val="Calibri"/>
      </rPr>
      <t xml:space="preserve">
</t>
    </r>
    <r>
      <rPr>
        <sz val="11"/>
        <color rgb="FF0000FF"/>
        <rFont val="Calibri"/>
      </rPr>
      <t>https://cyber.dhs.gov/bod/18-01/</t>
    </r>
    <r>
      <rPr>
        <sz val="11"/>
        <color rgb="FF000000"/>
        <rFont val="Calibri"/>
      </rPr>
      <t xml:space="preserve">
</t>
    </r>
    <r>
      <rPr>
        <b/>
        <sz val="11"/>
        <color rgb="FF000000"/>
        <rFont val="Calibri"/>
      </rPr>
      <t>Trustworthy Email | NIST 800-177 Rev. 1</t>
    </r>
    <r>
      <rPr>
        <sz val="11"/>
        <color rgb="FF000000"/>
        <rFont val="Calibri"/>
      </rPr>
      <t xml:space="preserve">
</t>
    </r>
    <r>
      <rPr>
        <sz val="11"/>
        <color rgb="FF0000FF"/>
        <rFont val="Calibri"/>
      </rPr>
      <t>https://csrc.nist.gov/publications/detail/sp/800-177/rev-1/final</t>
    </r>
    <r>
      <rPr>
        <sz val="11"/>
        <color rgb="FF000000"/>
        <rFont val="Calibri"/>
      </rPr>
      <t xml:space="preserve">
</t>
    </r>
    <r>
      <rPr>
        <b/>
        <sz val="11"/>
        <color rgb="FF000000"/>
        <rFont val="Calibri"/>
      </rPr>
      <t>Use DKIM to validate outbound email sent from your custom domain | Microsoft Learn</t>
    </r>
    <r>
      <rPr>
        <sz val="11"/>
        <color rgb="FF000000"/>
        <rFont val="Calibri"/>
      </rPr>
      <t xml:space="preserve">
</t>
    </r>
    <r>
      <rPr>
        <sz val="11"/>
        <color rgb="FF0000FF"/>
        <rFont val="Calibri"/>
      </rPr>
      <t>https://learn.microsoft.com/en-us/microsoft-365/security/office-365-security/email-authentication-dkim-configure?view=o365-worldwide</t>
    </r>
    <r>
      <rPr>
        <sz val="11"/>
        <color rgb="FF000000"/>
        <rFont val="Calibri"/>
      </rPr>
      <t xml:space="preserve">
</t>
    </r>
    <r>
      <rPr>
        <b/>
        <sz val="11"/>
        <color rgb="FF000000"/>
        <rFont val="Calibri"/>
      </rPr>
      <t>Support for validation of DKIM signed messages | Microsoft Learn</t>
    </r>
    <r>
      <rPr>
        <sz val="11"/>
        <color rgb="FF000000"/>
        <rFont val="Calibri"/>
      </rPr>
      <t xml:space="preserve">
</t>
    </r>
    <r>
      <rPr>
        <sz val="11"/>
        <color rgb="FF0000FF"/>
        <rFont val="Calibri"/>
      </rPr>
      <t>https://learn.microsoft.com/en-us/microsoft-365/security/office-365-security/email-authentication-dkim-support-about?view=o365-worldwide</t>
    </r>
    <r>
      <rPr>
        <sz val="11"/>
        <color rgb="FF000000"/>
        <rFont val="Calibri"/>
      </rPr>
      <t xml:space="preserve">
</t>
    </r>
    <r>
      <rPr>
        <b/>
        <sz val="11"/>
        <color rgb="FF000000"/>
        <rFont val="Calibri"/>
      </rPr>
      <t>What is EOP? | Microsoft Learn</t>
    </r>
    <r>
      <rPr>
        <sz val="11"/>
        <color rgb="FF000000"/>
        <rFont val="Calibri"/>
      </rPr>
      <t xml:space="preserve">
</t>
    </r>
    <r>
      <rPr>
        <sz val="11"/>
        <color rgb="FF0000FF"/>
        <rFont val="Calibri"/>
      </rPr>
      <t>https://learn.microsoft.com/en-us/microsoft-365/security/office-365-security/eop-faq?view=o365-worldwide#what-is-eop-</t>
    </r>
  </si>
  <si>
    <t>Domain-Based Message Authentication, Reporting, and Conformance (DMARC)</t>
  </si>
  <si>
    <t>MS.EXO.4.1v1</t>
  </si>
  <si>
    <r>
      <rPr>
        <sz val="11"/>
        <color rgb="FF000000"/>
        <rFont val="Calibri"/>
      </rPr>
      <t>A DMARC policy SHALL be published for every second-level domain.</t>
    </r>
  </si>
  <si>
    <r>
      <rPr>
        <sz val="11"/>
        <color rgb="FF000000"/>
        <rFont val="Calibri"/>
      </rPr>
      <t xml:space="preserve">DMARC is not configured through the Exchange admin center, but rather via DNS records hosted by the agency's domain. As such, implementation varies depending on how an agency manages its DNS records. See Form the DMARC TXT record for your domain \| Microsoft Learn </t>
    </r>
    <r>
      <rPr>
        <sz val="11"/>
        <color rgb="FF0000FF"/>
        <rFont val="Calibri"/>
      </rPr>
      <t>(https://learn.microsoft.com/en-us/microsoft-365/security/office-365-security/email-authentication-dmarc-configure?view=o365-worldwide#step-4-form-the-dmarc-txt-record-for-your-domain)</t>
    </r>
    <r>
      <rPr>
        <sz val="11"/>
        <color rgb="FF000000"/>
        <rFont val="Calibri"/>
      </rPr>
      <t xml:space="preserve"> for Microsoft guidance.</t>
    </r>
    <r>
      <rPr>
        <sz val="11"/>
        <color rgb="FF000000"/>
        <rFont val="Calibri"/>
      </rPr>
      <t xml:space="preserve">
</t>
    </r>
    <r>
      <rPr>
        <sz val="11"/>
        <color rgb="FF000000"/>
        <rFont val="Calibri"/>
      </rPr>
      <t xml:space="preserve">A DMARC record published at the second-level domain will protect all subdomains. In other words, a DMARC record published for </t>
    </r>
    <r>
      <rPr>
        <b/>
        <sz val="11"/>
        <color rgb="FF000000"/>
        <rFont val="Calibri"/>
      </rPr>
      <t>example.com</t>
    </r>
    <r>
      <rPr>
        <sz val="11"/>
        <color rgb="FF000000"/>
        <rFont val="Calibri"/>
      </rPr>
      <t xml:space="preserve"> will protect both </t>
    </r>
    <r>
      <rPr>
        <b/>
        <sz val="11"/>
        <color rgb="FF000000"/>
        <rFont val="Calibri"/>
      </rPr>
      <t>a.example.com</t>
    </r>
    <r>
      <rPr>
        <sz val="11"/>
        <color rgb="FF000000"/>
        <rFont val="Calibri"/>
      </rPr>
      <t xml:space="preserve"> and </t>
    </r>
    <r>
      <rPr>
        <b/>
        <sz val="11"/>
        <color rgb="FF000000"/>
        <rFont val="Calibri"/>
      </rPr>
      <t>b.example.com</t>
    </r>
    <r>
      <rPr>
        <sz val="11"/>
        <color rgb="FF000000"/>
        <rFont val="Calibri"/>
      </rPr>
      <t xml:space="preserve">, but a separate record would need to be published for </t>
    </r>
    <r>
      <rPr>
        <b/>
        <sz val="11"/>
        <color rgb="FF000000"/>
        <rFont val="Calibri"/>
      </rPr>
      <t>c.example.gov</t>
    </r>
    <r>
      <rPr>
        <sz val="11"/>
        <color rgb="FF000000"/>
        <rFont val="Calibri"/>
      </rPr>
      <t>.</t>
    </r>
    <r>
      <rPr>
        <sz val="11"/>
        <color rgb="FF000000"/>
        <rFont val="Calibri"/>
      </rPr>
      <t xml:space="preserve">
</t>
    </r>
    <r>
      <rPr>
        <sz val="11"/>
        <color rgb="FF000000"/>
        <rFont val="Calibri"/>
      </rPr>
      <t xml:space="preserve">To test your DMARC configuration, consider using one of many publicly available web-based tools. Additionally, DMARC records can be requested using the PowerShell tool </t>
    </r>
    <r>
      <rPr>
        <b/>
        <sz val="11"/>
        <color rgb="FF000000"/>
        <rFont val="Calibri"/>
      </rPr>
      <t>Resolve-DnsName</t>
    </r>
    <r>
      <rPr>
        <sz val="11"/>
        <color rgb="FF000000"/>
        <rFont val="Calibri"/>
      </rPr>
      <t>. For example:</t>
    </r>
    <r>
      <rPr>
        <sz val="11"/>
        <color rgb="FF000000"/>
        <rFont val="Calibri"/>
      </rPr>
      <t xml:space="preserve">
</t>
    </r>
    <r>
      <rPr>
        <sz val="11"/>
        <color rgb="FF006096"/>
        <rFont val="Roboto Condensed"/>
      </rPr>
      <t>Resolve-DnsName _dmarc.example.com txt</t>
    </r>
    <r>
      <rPr>
        <sz val="11"/>
        <color rgb="FF000000"/>
        <rFont val="Calibri"/>
      </rPr>
      <t xml:space="preserve">
</t>
    </r>
    <r>
      <rPr>
        <sz val="11"/>
        <color rgb="FF000000"/>
        <rFont val="Calibri"/>
      </rPr>
      <t xml:space="preserve">If DMARC is configured, a response resembling </t>
    </r>
    <r>
      <rPr>
        <b/>
        <sz val="11"/>
        <color rgb="FF000000"/>
        <rFont val="Calibri"/>
      </rPr>
      <t>v=DMARC1; p=reject; pct=100; rua=mailto:reports@dmarc.cyber.dhs.gov, mailto:reports@example.com; ruf=mailto:reports@example.com</t>
    </r>
    <r>
      <rPr>
        <sz val="11"/>
        <color rgb="FF000000"/>
        <rFont val="Calibri"/>
      </rPr>
      <t xml:space="preserve"> will be returned, though by necessity, the contents of the record will vary by agency. In this example, the policy indicates all emails failing the SPF/DKIM checks are to be rejected and aggregate reports sent to reports@dmarc.cyber.dhs.gov and reports@example.com. Failure reports will be sent to reports@example.com.</t>
    </r>
  </si>
  <si>
    <r>
      <rPr>
        <sz val="11"/>
        <color rgb="FF000000"/>
        <rFont val="Calibri"/>
      </rPr>
      <t>Without a DMARC policy available for each domain, recipients may improperly handle SPF and DKIM failures, possibly enabling spoofed emails to reach end users' mailboxes. Publishing DMARC records at the second-level domain protects the second-level domains and all subdomains.</t>
    </r>
  </si>
  <si>
    <r>
      <rPr>
        <sz val="11"/>
        <color rgb="FF000000"/>
        <rFont val="Calibri"/>
      </rPr>
      <t>Domain-based Message Authentication, Reporting, and Conformance (DMARC) works with SPF and DKIM to authenticate mail senders and helps ensure destination email systems can validate messages sent from your domain. DMARC helps receiving mail systems determine what to do with messages sent from your domain that fail SPF and DKIM checks.</t>
    </r>
  </si>
  <si>
    <r>
      <rPr>
        <b/>
        <sz val="11"/>
        <color rgb="FF000000"/>
        <rFont val="Calibri"/>
      </rPr>
      <t>Binding Operational Directive 18-01 - Enhance Email and Web Security | DHS</t>
    </r>
    <r>
      <rPr>
        <sz val="11"/>
        <color rgb="FF000000"/>
        <rFont val="Calibri"/>
      </rPr>
      <t xml:space="preserve">
</t>
    </r>
    <r>
      <rPr>
        <sz val="11"/>
        <color rgb="FF0000FF"/>
        <rFont val="Calibri"/>
      </rPr>
      <t>https://cyber.dhs.gov/bod/18-01/</t>
    </r>
    <r>
      <rPr>
        <sz val="11"/>
        <color rgb="FF000000"/>
        <rFont val="Calibri"/>
      </rPr>
      <t xml:space="preserve">
</t>
    </r>
    <r>
      <rPr>
        <b/>
        <sz val="11"/>
        <color rgb="FF000000"/>
        <rFont val="Calibri"/>
      </rPr>
      <t>Trustworthy Email | NIST 800-177 Rev. 1</t>
    </r>
    <r>
      <rPr>
        <sz val="11"/>
        <color rgb="FF000000"/>
        <rFont val="Calibri"/>
      </rPr>
      <t xml:space="preserve">
</t>
    </r>
    <r>
      <rPr>
        <sz val="11"/>
        <color rgb="FF0000FF"/>
        <rFont val="Calibri"/>
      </rPr>
      <t>https://csrc.nist.gov/publications/detail/sp/800-177/rev-1/final</t>
    </r>
    <r>
      <rPr>
        <sz val="11"/>
        <color rgb="FF000000"/>
        <rFont val="Calibri"/>
      </rPr>
      <t xml:space="preserve">
</t>
    </r>
    <r>
      <rPr>
        <b/>
        <sz val="11"/>
        <color rgb="FF000000"/>
        <rFont val="Calibri"/>
      </rPr>
      <t>Domain-based Message Authentication, Reporting, and Conformance (DMARC) | RFC 7489</t>
    </r>
    <r>
      <rPr>
        <sz val="11"/>
        <color rgb="FF000000"/>
        <rFont val="Calibri"/>
      </rPr>
      <t xml:space="preserve">
</t>
    </r>
    <r>
      <rPr>
        <sz val="11"/>
        <color rgb="FF0000FF"/>
        <rFont val="Calibri"/>
      </rPr>
      <t>https://datatracker.ietf.org/doc/html/rfc7489</t>
    </r>
    <r>
      <rPr>
        <sz val="11"/>
        <color rgb="FF000000"/>
        <rFont val="Calibri"/>
      </rPr>
      <t xml:space="preserve">
</t>
    </r>
    <r>
      <rPr>
        <b/>
        <sz val="11"/>
        <color rgb="FF000000"/>
        <rFont val="Calibri"/>
      </rPr>
      <t>Best practices for implementing DMARC in Office 365 | Microsoft Learn</t>
    </r>
    <r>
      <rPr>
        <sz val="11"/>
        <color rgb="FF000000"/>
        <rFont val="Calibri"/>
      </rPr>
      <t xml:space="preserve">
</t>
    </r>
    <r>
      <rPr>
        <sz val="11"/>
        <color rgb="FF0000FF"/>
        <rFont val="Calibri"/>
      </rPr>
      <t>https://learn.microsoft.com/en-us/microsoft-365/security/office-365-security/email-authentication-dmarc-configure?view=o365-worldwide#best-practices-for-implementing-dmarc-in-microsoft-365</t>
    </r>
    <r>
      <rPr>
        <sz val="11"/>
        <color rgb="FF000000"/>
        <rFont val="Calibri"/>
      </rPr>
      <t xml:space="preserve">
</t>
    </r>
    <r>
      <rPr>
        <b/>
        <sz val="11"/>
        <color rgb="FF000000"/>
        <rFont val="Calibri"/>
      </rPr>
      <t>How Office 365 handles outbound email that fails DMARC | Microsoft Learn</t>
    </r>
    <r>
      <rPr>
        <sz val="11"/>
        <color rgb="FF000000"/>
        <rFont val="Calibri"/>
      </rPr>
      <t xml:space="preserve">
</t>
    </r>
    <r>
      <rPr>
        <sz val="11"/>
        <color rgb="FF0000FF"/>
        <rFont val="Calibri"/>
      </rPr>
      <t>https://learn.microsoft.com/en-us/microsoft-365/security/office-365-security/email-authentication-dmarc-configure?view=o365-worldwide#how-microsoft-365-handles-inbound-email-that-fails-dmarc</t>
    </r>
  </si>
  <si>
    <t>MS.EXO.4.2v1</t>
  </si>
  <si>
    <r>
      <rPr>
        <sz val="11"/>
        <color rgb="FF000000"/>
        <rFont val="Calibri"/>
      </rPr>
      <t>The DMARC message rejection option SHALL be p=reject.</t>
    </r>
  </si>
  <si>
    <r>
      <rPr>
        <sz val="11"/>
        <color rgb="FF000000"/>
        <rFont val="Calibri"/>
      </rPr>
      <t xml:space="preserve">See MS.EXO.4.1v1 Instructions </t>
    </r>
    <r>
      <rPr>
        <sz val="11"/>
        <color rgb="FF0000FF"/>
        <rFont val="Calibri"/>
      </rPr>
      <t>(#msexo41v1-instructions)</t>
    </r>
    <r>
      <rPr>
        <sz val="11"/>
        <color rgb="FF000000"/>
        <rFont val="Calibri"/>
      </rPr>
      <t xml:space="preserve"> for an overview of how to publish and check a DMARC record. Ensure the record published includes </t>
    </r>
    <r>
      <rPr>
        <b/>
        <sz val="11"/>
        <color rgb="FF000000"/>
        <rFont val="Calibri"/>
      </rPr>
      <t>p=reject</t>
    </r>
    <r>
      <rPr>
        <sz val="11"/>
        <color rgb="FF000000"/>
        <rFont val="Calibri"/>
      </rPr>
      <t>.</t>
    </r>
  </si>
  <si>
    <r>
      <rPr>
        <sz val="11"/>
        <color rgb="FF000000"/>
        <rFont val="Calibri"/>
      </rPr>
      <t>Of the three policy options (i.e., none, quarantine, and reject), reject provides the strongest protection. Reject is the level of protection required by BOD 18-01 for FCEB departments and agencies.</t>
    </r>
  </si>
  <si>
    <t>MS.EXO.4.3v1</t>
  </si>
  <si>
    <r>
      <rPr>
        <sz val="11"/>
        <color rgb="FF000000"/>
        <rFont val="Calibri"/>
      </rPr>
      <t xml:space="preserve">The DMARC point of contact for aggregate reports SHALL include </t>
    </r>
    <r>
      <rPr>
        <b/>
        <sz val="11"/>
        <color rgb="FF000000"/>
        <rFont val="Calibri"/>
      </rPr>
      <t>reports@dmarc.cyber.dhs.gov</t>
    </r>
    <r>
      <rPr>
        <sz val="11"/>
        <color rgb="FF000000"/>
        <rFont val="Calibri"/>
      </rPr>
      <t>.</t>
    </r>
  </si>
  <si>
    <r>
      <rPr>
        <sz val="11"/>
        <color rgb="FF000000"/>
        <rFont val="Calibri"/>
      </rPr>
      <t xml:space="preserve">See MS.EXO.4.1v1 Instructions </t>
    </r>
    <r>
      <rPr>
        <sz val="11"/>
        <color rgb="FF0000FF"/>
        <rFont val="Calibri"/>
      </rPr>
      <t>(#msexo41v1-instructions)</t>
    </r>
    <r>
      <rPr>
        <sz val="11"/>
        <color rgb="FF000000"/>
        <rFont val="Calibri"/>
      </rPr>
      <t xml:space="preserve"> for an overview of how to publish and check a DMARC record. Ensure the record published includes as one of the emails for the RUA field.</t>
    </r>
  </si>
  <si>
    <r>
      <rPr>
        <sz val="11"/>
        <color rgb="FF000000"/>
        <rFont val="Calibri"/>
      </rPr>
      <t>Email spoofing attempts are not inherently visible to domain owners. DMARC provides a mechanism to receive reports of spoofing attempts. Including as a point of contact for these reports gives CISA insight into spoofing attempts and is required by BOD 18-01 for FCEB departments and agencies.</t>
    </r>
  </si>
  <si>
    <t>MS.EXO.4.4v1</t>
  </si>
  <si>
    <r>
      <rPr>
        <sz val="11"/>
        <color rgb="FF000000"/>
        <rFont val="Calibri"/>
      </rPr>
      <t>An agency point of contact SHOULD be included for aggregate and failure reports.</t>
    </r>
  </si>
  <si>
    <r>
      <rPr>
        <sz val="11"/>
        <color rgb="FF000000"/>
        <rFont val="Calibri"/>
      </rPr>
      <t xml:space="preserve">See MS.EXO.4.1v1 Instructions </t>
    </r>
    <r>
      <rPr>
        <sz val="11"/>
        <color rgb="FF0000FF"/>
        <rFont val="Calibri"/>
      </rPr>
      <t>(#msexo41v1-instructions)</t>
    </r>
    <r>
      <rPr>
        <sz val="11"/>
        <color rgb="FF000000"/>
        <rFont val="Calibri"/>
      </rPr>
      <t xml:space="preserve"> for an overview of how to publish and check a DMARC record. Ensure the record published includes:</t>
    </r>
    <r>
      <rPr>
        <sz val="11"/>
        <color rgb="FF000000"/>
        <rFont val="Calibri"/>
      </rPr>
      <t xml:space="preserve">
</t>
    </r>
    <r>
      <rPr>
        <sz val="11"/>
        <color rgb="FF000000"/>
        <rFont val="Calibri"/>
      </rPr>
      <t>- A point of contact specific to your agency in the RUA field.</t>
    </r>
    <r>
      <rPr>
        <sz val="11"/>
        <color rgb="FF000000"/>
        <rFont val="Calibri"/>
      </rPr>
      <t xml:space="preserve">
</t>
    </r>
    <r>
      <rPr>
        <sz val="11"/>
        <color rgb="FF000000"/>
        <rFont val="Calibri"/>
      </rPr>
      <t>- as one of the emails in the RUA field.</t>
    </r>
    <r>
      <rPr>
        <sz val="11"/>
        <color rgb="FF000000"/>
        <rFont val="Calibri"/>
      </rPr>
      <t xml:space="preserve">
</t>
    </r>
    <r>
      <rPr>
        <sz val="11"/>
        <color rgb="FF000000"/>
        <rFont val="Calibri"/>
      </rPr>
      <t>- One or more agency-defined points of contact in the RUF field.</t>
    </r>
  </si>
  <si>
    <r>
      <rPr>
        <sz val="11"/>
        <color rgb="FF000000"/>
        <rFont val="Calibri"/>
      </rPr>
      <t>Email spoofing attempts are not inherently visible to domain owners. DMARC provides a mechanism to receive reports of spoofing attempts. Including an agency point of contact gives the agency insight into attempts to spoof their domains.</t>
    </r>
  </si>
  <si>
    <t>Simple Mail Transfer Protocol Authentication</t>
  </si>
  <si>
    <t>MS.EXO.5.1v1</t>
  </si>
  <si>
    <r>
      <rPr>
        <sz val="11"/>
        <color rgb="FF000000"/>
        <rFont val="Calibri"/>
      </rPr>
      <t>SMTP AUTH SHALL be disabled.</t>
    </r>
  </si>
  <si>
    <r>
      <rPr>
        <sz val="11"/>
        <color rgb="FF000000"/>
        <rFont val="Calibri"/>
      </rPr>
      <t>SMTP AUTH is not used or needed by modern email clients. Therefore, disabling it as the global default conforms to the principle of least functionality.</t>
    </r>
  </si>
  <si>
    <r>
      <rPr>
        <sz val="11"/>
        <color rgb="FF000000"/>
        <rFont val="Calibri"/>
      </rPr>
      <t>Modern email clients that connect to Exchange Online mailboxes—including Outlook, Outlook on the web, iOS Mail, and Outlook for iOS and Android—do not use Simple Mail Transfer Protocol Authentication (SMTP AUTH) to send email messages. SMTP AUTH is only needed for applications outside of Outlook that send email messages. Multi-factor authentication (MFA) cannot be enforced while using SMTP Auth. Proceed with caution if SMTP Auth needs to be enabled for any use case.</t>
    </r>
  </si>
  <si>
    <r>
      <rPr>
        <b/>
        <sz val="11"/>
        <color rgb="FF000000"/>
        <rFont val="Calibri"/>
      </rPr>
      <t>Enable or disable authenticated client SMTP submission (SMTP AUTH) in Exchange Online | Microsoft Learn</t>
    </r>
    <r>
      <rPr>
        <sz val="11"/>
        <color rgb="FF000000"/>
        <rFont val="Calibri"/>
      </rPr>
      <t xml:space="preserve">
</t>
    </r>
    <r>
      <rPr>
        <sz val="11"/>
        <color rgb="FF0000FF"/>
        <rFont val="Calibri"/>
      </rPr>
      <t>https://learn.microsoft.com/en-us/exchange/clients-and-mobile-in-exchange-online/authenticated-client-smtp-submission</t>
    </r>
  </si>
  <si>
    <t>Calendar and Contact Sharing</t>
  </si>
  <si>
    <t>MS.EXO.6.1v1</t>
  </si>
  <si>
    <r>
      <rPr>
        <sz val="11"/>
        <color rgb="FF000000"/>
        <rFont val="Calibri"/>
      </rPr>
      <t>Contact folders SHALL NOT be shared with all domains.</t>
    </r>
  </si>
  <si>
    <t>SHALL NOT</t>
  </si>
  <si>
    <r>
      <rPr>
        <sz val="11"/>
        <color rgb="FF000000"/>
        <rFont val="Calibri"/>
      </rPr>
      <t>To restrict sharing with all domains:</t>
    </r>
    <r>
      <rPr>
        <sz val="11"/>
        <color rgb="FF000000"/>
        <rFont val="Calibri"/>
      </rPr>
      <t xml:space="preserve">
</t>
    </r>
    <r>
      <rPr>
        <sz val="11"/>
        <color rgb="FF000000"/>
        <rFont val="Calibri"/>
      </rPr>
      <t xml:space="preserve">1. Sign in to the </t>
    </r>
    <r>
      <rPr>
        <b/>
        <sz val="11"/>
        <color rgb="FF000000"/>
        <rFont val="Calibri"/>
      </rPr>
      <t>Exchange admin center</t>
    </r>
    <r>
      <rPr>
        <sz val="11"/>
        <color rgb="FF000000"/>
        <rFont val="Calibri"/>
      </rPr>
      <t>.</t>
    </r>
    <r>
      <rPr>
        <sz val="11"/>
        <color rgb="FF000000"/>
        <rFont val="Calibri"/>
      </rPr>
      <t xml:space="preserve">
</t>
    </r>
    <r>
      <rPr>
        <sz val="11"/>
        <color rgb="FF000000"/>
        <rFont val="Calibri"/>
      </rPr>
      <t xml:space="preserve">2. On the left-hand pane under </t>
    </r>
    <r>
      <rPr>
        <b/>
        <sz val="11"/>
        <color rgb="FF000000"/>
        <rFont val="Calibri"/>
      </rPr>
      <t>Organization</t>
    </r>
    <r>
      <rPr>
        <sz val="11"/>
        <color rgb="FF000000"/>
        <rFont val="Calibri"/>
      </rPr>
      <t xml:space="preserve">, select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Individual Sharing</t>
    </r>
    <r>
      <rPr>
        <sz val="11"/>
        <color rgb="FF000000"/>
        <rFont val="Calibri"/>
      </rPr>
      <t>.</t>
    </r>
    <r>
      <rPr>
        <sz val="11"/>
        <color rgb="FF000000"/>
        <rFont val="Calibri"/>
      </rPr>
      <t xml:space="preserve">
</t>
    </r>
    <r>
      <rPr>
        <sz val="11"/>
        <color rgb="FF000000"/>
        <rFont val="Calibri"/>
      </rPr>
      <t xml:space="preserve">4. For all existing policies, select the policy, then select </t>
    </r>
    <r>
      <rPr>
        <b/>
        <sz val="11"/>
        <color rgb="FF000000"/>
        <rFont val="Calibri"/>
      </rPr>
      <t>Manage domains</t>
    </r>
    <r>
      <rPr>
        <sz val="11"/>
        <color rgb="FF000000"/>
        <rFont val="Calibri"/>
      </rPr>
      <t>.</t>
    </r>
    <r>
      <rPr>
        <sz val="11"/>
        <color rgb="FF000000"/>
        <rFont val="Calibri"/>
      </rPr>
      <t xml:space="preserve">
</t>
    </r>
    <r>
      <rPr>
        <sz val="11"/>
        <color rgb="FF000000"/>
        <rFont val="Calibri"/>
      </rPr>
      <t xml:space="preserve">5. For all sharing rules under all existing policies, ensure </t>
    </r>
    <r>
      <rPr>
        <b/>
        <sz val="11"/>
        <color rgb="FF000000"/>
        <rFont val="Calibri"/>
      </rPr>
      <t>Sharing with all domains</t>
    </r>
    <r>
      <rPr>
        <sz val="11"/>
        <color rgb="FF000000"/>
        <rFont val="Calibri"/>
      </rPr>
      <t xml:space="preserve"> is not selected.</t>
    </r>
  </si>
  <si>
    <r>
      <rPr>
        <sz val="11"/>
        <color rgb="FF000000"/>
        <rFont val="Calibri"/>
      </rPr>
      <t>Contact folders may contain information that should not be shared by default with all domains. Disabling sharing with all domains closes an avenue for data exfiltration while still allowing for specific legitimate use as needed.</t>
    </r>
  </si>
  <si>
    <r>
      <rPr>
        <sz val="11"/>
        <color rgb="FF000000"/>
        <rFont val="Calibri"/>
      </rPr>
      <t>Exchange Online allows creation of sharing polices that soften default restrictions on contact and calendar details sharing. These policies should be enabled with caution and only after considering the following policies.</t>
    </r>
  </si>
  <si>
    <r>
      <rPr>
        <b/>
        <sz val="11"/>
        <color rgb="FF000000"/>
        <rFont val="Calibri"/>
      </rPr>
      <t>Sharing in Exchange Online | Microsoft Learn</t>
    </r>
    <r>
      <rPr>
        <sz val="11"/>
        <color rgb="FF000000"/>
        <rFont val="Calibri"/>
      </rPr>
      <t xml:space="preserve">
</t>
    </r>
    <r>
      <rPr>
        <sz val="11"/>
        <color rgb="FF0000FF"/>
        <rFont val="Calibri"/>
      </rPr>
      <t>https://learn.microsoft.com/en-us/exchange/sharing/sharing</t>
    </r>
    <r>
      <rPr>
        <sz val="11"/>
        <color rgb="FF000000"/>
        <rFont val="Calibri"/>
      </rPr>
      <t xml:space="preserve">
</t>
    </r>
    <r>
      <rPr>
        <b/>
        <sz val="11"/>
        <color rgb="FF000000"/>
        <rFont val="Calibri"/>
      </rPr>
      <t>Organization relationships in Exchange Online | Microsoft Learn</t>
    </r>
    <r>
      <rPr>
        <sz val="11"/>
        <color rgb="FF000000"/>
        <rFont val="Calibri"/>
      </rPr>
      <t xml:space="preserve">
</t>
    </r>
    <r>
      <rPr>
        <sz val="11"/>
        <color rgb="FF0000FF"/>
        <rFont val="Calibri"/>
      </rPr>
      <t>https://learn.microsoft.com/en-us/exchange/sharing/organization-relationships/organization-relationships</t>
    </r>
    <r>
      <rPr>
        <sz val="11"/>
        <color rgb="FF000000"/>
        <rFont val="Calibri"/>
      </rPr>
      <t xml:space="preserve">
</t>
    </r>
    <r>
      <rPr>
        <b/>
        <sz val="11"/>
        <color rgb="FF000000"/>
        <rFont val="Calibri"/>
      </rPr>
      <t>Sharing policies in Exchange Online | Microsoft Learn</t>
    </r>
    <r>
      <rPr>
        <sz val="11"/>
        <color rgb="FF000000"/>
        <rFont val="Calibri"/>
      </rPr>
      <t xml:space="preserve">
</t>
    </r>
    <r>
      <rPr>
        <sz val="11"/>
        <color rgb="FF0000FF"/>
        <rFont val="Calibri"/>
      </rPr>
      <t>https://learn.microsoft.com/en-us/exchange/sharing/sharing-policies/sharing-policies</t>
    </r>
  </si>
  <si>
    <t>MS.EXO.6.2v1</t>
  </si>
  <si>
    <r>
      <rPr>
        <sz val="11"/>
        <color rgb="FF000000"/>
        <rFont val="Calibri"/>
      </rPr>
      <t>Calendar details SHALL NOT be shared with all domains.</t>
    </r>
  </si>
  <si>
    <r>
      <rPr>
        <sz val="11"/>
        <color rgb="FF000000"/>
        <rFont val="Calibri"/>
      </rPr>
      <t>To restrict sharing calendar details with all domains:</t>
    </r>
    <r>
      <rPr>
        <sz val="11"/>
        <color rgb="FF000000"/>
        <rFont val="Calibri"/>
      </rPr>
      <t xml:space="preserve">
</t>
    </r>
    <r>
      <rPr>
        <sz val="11"/>
        <color rgb="FF000000"/>
        <rFont val="Calibri"/>
      </rPr>
      <t xml:space="preserve">1. Refer to step 5 in MS.EXO.6.1v1 Instructions </t>
    </r>
    <r>
      <rPr>
        <sz val="11"/>
        <color rgb="FF0000FF"/>
        <rFont val="Calibri"/>
      </rPr>
      <t>(#msexo61v1-instructions)</t>
    </r>
    <r>
      <rPr>
        <sz val="11"/>
        <color rgb="FF000000"/>
        <rFont val="Calibri"/>
      </rPr>
      <t xml:space="preserve"> to implement</t>
    </r>
    <r>
      <rPr>
        <sz val="11"/>
        <color rgb="FF000000"/>
        <rFont val="Calibri"/>
      </rPr>
      <t xml:space="preserve">
</t>
    </r>
    <r>
      <rPr>
        <sz val="11"/>
        <color rgb="FF000000"/>
        <rFont val="Calibri"/>
      </rPr>
      <t>this policy.</t>
    </r>
  </si>
  <si>
    <r>
      <rPr>
        <sz val="11"/>
        <color rgb="FF000000"/>
        <rFont val="Calibri"/>
      </rPr>
      <t>Calendar details may contain information that should not be shared by default with all domains. Disabling sharing with all domains closes an avenue for data exfiltration while still allowing for legitimate use as needed.</t>
    </r>
  </si>
  <si>
    <t>External Sender Warnings</t>
  </si>
  <si>
    <t>MS.EXO.7.1v1</t>
  </si>
  <si>
    <r>
      <rPr>
        <sz val="11"/>
        <color rgb="FF000000"/>
        <rFont val="Calibri"/>
      </rPr>
      <t>External sender warnings SHALL be implemented.</t>
    </r>
  </si>
  <si>
    <r>
      <rPr>
        <sz val="11"/>
        <color rgb="FF000000"/>
        <rFont val="Calibri"/>
      </rPr>
      <t>Alerting users when email originates from outside their organization can encourage them to exercise increased caution, especially if an email is one they expected from an internal sender.</t>
    </r>
  </si>
  <si>
    <r>
      <rPr>
        <sz val="11"/>
        <color rgb="FF000000"/>
        <rFont val="Calibri"/>
      </rPr>
      <t>Mail flow rules allow incoming email modification, such that email from external users can be easily identified (e.g., by prepending the subject line with "\[External\]").</t>
    </r>
  </si>
  <si>
    <r>
      <rPr>
        <b/>
        <sz val="11"/>
        <color rgb="FF000000"/>
        <rFont val="Calibri"/>
      </rPr>
      <t>Mail flow rules (transport rules) in Exchange Online | Microsoft Learn</t>
    </r>
    <r>
      <rPr>
        <sz val="11"/>
        <color rgb="FF000000"/>
        <rFont val="Calibri"/>
      </rPr>
      <t xml:space="preserve">
</t>
    </r>
    <r>
      <rPr>
        <sz val="11"/>
        <color rgb="FF0000FF"/>
        <rFont val="Calibri"/>
      </rPr>
      <t>https://learn.microsoft.com/en-us/exchange/security-and-compliance/mail-flow-rules/mail-flow-rules</t>
    </r>
    <r>
      <rPr>
        <sz val="11"/>
        <color rgb="FF000000"/>
        <rFont val="Calibri"/>
      </rPr>
      <t xml:space="preserve">
</t>
    </r>
    <r>
      <rPr>
        <b/>
        <sz val="11"/>
        <color rgb="FF000000"/>
        <rFont val="Calibri"/>
      </rPr>
      <t>Capacity Enhancement Guide: Counter-Phishing Recommendations for Federal Agencies | CISA</t>
    </r>
    <r>
      <rPr>
        <sz val="11"/>
        <color rgb="FF000000"/>
        <rFont val="Calibri"/>
      </rPr>
      <t xml:space="preserve">
</t>
    </r>
    <r>
      <rPr>
        <sz val="11"/>
        <color rgb="FF0000FF"/>
        <rFont val="Calibri"/>
      </rPr>
      <t>https://www.cisa.gov/sites/default/files/publications/Capacity_Enhancement_Guide-Counter-Phishing_Recommendations_for_Federal_Agencies.pdf</t>
    </r>
    <r>
      <rPr>
        <sz val="11"/>
        <color rgb="FF000000"/>
        <rFont val="Calibri"/>
      </rPr>
      <t xml:space="preserve">
</t>
    </r>
    <r>
      <rPr>
        <b/>
        <sz val="11"/>
        <color rgb="FF000000"/>
        <rFont val="Calibri"/>
      </rPr>
      <t>Actions To Counter Email-Based Attacks On Election-Related Entities | CISA</t>
    </r>
    <r>
      <rPr>
        <sz val="11"/>
        <color rgb="FF000000"/>
        <rFont val="Calibri"/>
      </rPr>
      <t xml:space="preserve">
</t>
    </r>
    <r>
      <rPr>
        <sz val="11"/>
        <color rgb="FF0000FF"/>
        <rFont val="Calibri"/>
      </rPr>
      <t>https://www.cisa.gov/sites/default/files/publications/CISA_Insights_Actions_to_Counter_Email-Based_Attacks_on_Election-Related_S508C.pdf</t>
    </r>
  </si>
  <si>
    <t>Data Loss Prevention Solutions</t>
  </si>
  <si>
    <t>MS.EXO.8.1v2</t>
  </si>
  <si>
    <r>
      <rPr>
        <sz val="11"/>
        <color rgb="FF000000"/>
        <rFont val="Calibri"/>
      </rPr>
      <t>A DLP solution SHALL be used.</t>
    </r>
  </si>
  <si>
    <r>
      <rPr>
        <sz val="11"/>
        <color rgb="FF000000"/>
        <rFont val="Calibri"/>
      </rPr>
      <t xml:space="preserve">Any product meeting the requirements outlined in this baseline policy may be used. If the agency uses Microsoft Defender, see the following implementation steps for DLP </t>
    </r>
    <r>
      <rPr>
        <sz val="11"/>
        <color rgb="FF0000FF"/>
        <rFont val="Calibri"/>
      </rPr>
      <t>(./defender.md#implementation-3)</t>
    </r>
    <r>
      <rPr>
        <sz val="11"/>
        <color rgb="FF000000"/>
        <rFont val="Calibri"/>
      </rPr>
      <t xml:space="preserve"> for additional guidance.</t>
    </r>
  </si>
  <si>
    <r>
      <rPr>
        <sz val="11"/>
        <color rgb="FF000000"/>
        <rFont val="Calibri"/>
      </rPr>
      <t>Users may inadvertently disclose sensitive information to unauthorized individuals. A DLP solution may detect the presence of sensitive information in Exchange Online and block access to unauthorized entities.</t>
    </r>
  </si>
  <si>
    <r>
      <rPr>
        <sz val="11"/>
        <color rgb="FF000000"/>
        <rFont val="Calibri"/>
      </rPr>
      <t>Data loss prevention (DLP) helps prevent both accidental leakage of sensitive information as well as intentional exfiltration of data. DLP forms an integral part of securing Microsoft Exchange Online. There are several commercial DLP solutions available that document support for M365. Microsoft itself offer DLP services, controlled within the Microsoft Purview compliance portal. Agencies may select any service that fits their needs and meets the requirements outlined in this baseline setting. The DLP solution selected by an agency should offer services comparable to those offered by Microsoft.</t>
    </r>
    <r>
      <rPr>
        <sz val="11"/>
        <color rgb="FF000000"/>
        <rFont val="Calibri"/>
      </rPr>
      <t xml:space="preserve">
</t>
    </r>
    <r>
      <rPr>
        <sz val="11"/>
        <color rgb="FF000000"/>
        <rFont val="Calibri"/>
      </rPr>
      <t>Though use of Microsoft's DLP solution is not strictly required, guidance for configuring Microsoft's DLP solution can be found in the following section of the CISA M365 Secure Configuration Baseline for Defender for Office 365.</t>
    </r>
    <r>
      <rPr>
        <sz val="11"/>
        <color rgb="FF000000"/>
        <rFont val="Calibri"/>
      </rPr>
      <t xml:space="preserve">
</t>
    </r>
    <r>
      <rPr>
        <sz val="11"/>
        <color rgb="FF000000"/>
        <rFont val="Calibri"/>
      </rPr>
      <t xml:space="preserve">- Data Loss Prevention \| CISA M365 Secure Configuration Baseline for Defender for Office 365 </t>
    </r>
    <r>
      <rPr>
        <sz val="11"/>
        <color rgb="FF0000FF"/>
        <rFont val="Calibri"/>
      </rPr>
      <t>(./defender.md#4-data-loss-prevention)</t>
    </r>
  </si>
  <si>
    <t>MS.EXO.8.2v2</t>
  </si>
  <si>
    <r>
      <rPr>
        <sz val="11"/>
        <color rgb="FF000000"/>
        <rFont val="Calibri"/>
      </rPr>
      <t>The DLP solution SHALL protect personally identifiable information (PII) and sensitive information, as defined by the agency.</t>
    </r>
  </si>
  <si>
    <r>
      <rPr>
        <sz val="11"/>
        <color rgb="FF000000"/>
        <rFont val="Calibri"/>
      </rPr>
      <t xml:space="preserve">Any product meeting the requirements outlined in this baseline policy may be used. If the agency uses Microsoft Defender, see the following implementation steps for protecting PII </t>
    </r>
    <r>
      <rPr>
        <sz val="11"/>
        <color rgb="FF0000FF"/>
        <rFont val="Calibri"/>
      </rPr>
      <t>(./defender.md#msdefender41v2-instructions)</t>
    </r>
    <r>
      <rPr>
        <sz val="11"/>
        <color rgb="FF000000"/>
        <rFont val="Calibri"/>
      </rPr>
      <t xml:space="preserve"> for additional guidance.</t>
    </r>
  </si>
  <si>
    <r>
      <rPr>
        <sz val="11"/>
        <color rgb="FF000000"/>
        <rFont val="Calibri"/>
      </rPr>
      <t>Users may inadvertently share sensitive information with others who should not have access to it. Data loss prevention (DLP) policies provide a way for agencies to detect and prevent unauthorized disclosures.</t>
    </r>
  </si>
  <si>
    <t>MS.EXO.8.3v1</t>
  </si>
  <si>
    <r>
      <rPr>
        <sz val="11"/>
        <color rgb="FF000000"/>
        <rFont val="Calibri"/>
      </rPr>
      <t>The selected DLP solution SHOULD offer services comparable to the native DLP solution offered by Microsoft.</t>
    </r>
  </si>
  <si>
    <r>
      <rPr>
        <sz val="11"/>
        <color rgb="FF000000"/>
        <rFont val="Calibri"/>
      </rPr>
      <t>Any alternative DLP solution should be able to detect sensitive information in Exchange Online and block access to unauthorized entities.</t>
    </r>
  </si>
  <si>
    <t>MS.EXO.8.4v1</t>
  </si>
  <si>
    <r>
      <rPr>
        <sz val="11"/>
        <color rgb="FF000000"/>
        <rFont val="Calibri"/>
      </rPr>
      <t>At a minimum, the DLP solution SHALL restrict sharing credit card numbers, U.S. Individual Taxpayer Identification Numbers (ITIN), and U.S. Social Security numbers (SSN) via email.</t>
    </r>
  </si>
  <si>
    <t>Attachment File Type</t>
  </si>
  <si>
    <t>MS.EXO.9.1v2</t>
  </si>
  <si>
    <r>
      <rPr>
        <sz val="11"/>
        <color rgb="FF000000"/>
        <rFont val="Calibri"/>
      </rPr>
      <t>Emails SHALL be filtered by attachment file types.</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</si>
  <si>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(./defender.md#implementation)</t>
    </r>
    <r>
      <rPr>
        <sz val="11"/>
        <color rgb="FF000000"/>
        <rFont val="Calibri"/>
      </rPr>
      <t>, which include email filtering based on attachment file type.</t>
    </r>
  </si>
  <si>
    <r>
      <rPr>
        <sz val="11"/>
        <color rgb="FF000000"/>
        <rFont val="Calibri"/>
      </rPr>
      <t>Malicious attachments often take the form of click-to-run files. Sharing high risk file types, when necessary, is better left to a means other than email; the dangers of allowing them to be sent over email outweigh any potential benefits. Filtering email attachments based on file types can prevent spread of malware distributed via click-to-run email attachments.</t>
    </r>
  </si>
  <si>
    <r>
      <rPr>
        <sz val="11"/>
        <color rgb="FF000000"/>
        <rFont val="Calibri"/>
      </rPr>
      <t>For some types of files (e.g., executable files), the dangers of allowing them to be sent via email outweigh any potential benefits. Some services, such as the Common Attachment Filter of Microsoft Defender, filter emails based on the attachment file types. Using Microsoft Defender for this purpose is not required. However, the solution selected by an agency should offer services comparable to those offered by Microsoft.</t>
    </r>
    <r>
      <rPr>
        <sz val="11"/>
        <color rgb="FF000000"/>
        <rFont val="Calibri"/>
      </rPr>
      <t xml:space="preserve">
</t>
    </r>
    <r>
      <rPr>
        <sz val="11"/>
        <color rgb="FF000000"/>
        <rFont val="Calibri"/>
      </rPr>
      <t>Though using Microsoft Defender's solution is not strictly required for this purpose, guidance for configuring the Common Attachment Filter in Microsoft Defender can be found in the follow section of the CISA M365 Secure Configuration Baseline for Defender for Office 365.</t>
    </r>
    <r>
      <rPr>
        <sz val="11"/>
        <color rgb="FF000000"/>
        <rFont val="Calibri"/>
      </rPr>
      <t xml:space="preserve">
</t>
    </r>
    <r>
      <rPr>
        <sz val="11"/>
        <color rgb="FF000000"/>
        <rFont val="Calibri"/>
      </rPr>
      <t xml:space="preserve">- Preset Security Policies \| CISA M365 Secure Configuration Baseline for Defender for Office 365 </t>
    </r>
    <r>
      <rPr>
        <sz val="11"/>
        <color rgb="FF0000FF"/>
        <rFont val="Calibri"/>
      </rPr>
      <t>(./defender.md#1-preset-security-profiles)</t>
    </r>
  </si>
  <si>
    <r>
      <rPr>
        <b/>
        <sz val="11"/>
        <color rgb="FF000000"/>
        <rFont val="Calibri"/>
      </rPr>
      <t>Common attachments filter in anti-malware policies | Microsoft Learn</t>
    </r>
    <r>
      <rPr>
        <sz val="11"/>
        <color rgb="FF000000"/>
        <rFont val="Calibri"/>
      </rPr>
      <t xml:space="preserve">
</t>
    </r>
    <r>
      <rPr>
        <sz val="11"/>
        <color rgb="FF0000FF"/>
        <rFont val="Calibri"/>
      </rPr>
      <t>https://learn.microsoft.com/en-us/defender-office-365/anti-malware-protection-about#common-attachments-filter-in-anti-malware-policies</t>
    </r>
  </si>
  <si>
    <t>MS.EXO.9.2v1</t>
  </si>
  <si>
    <r>
      <rPr>
        <sz val="11"/>
        <color rgb="FF000000"/>
        <rFont val="Calibri"/>
      </rPr>
      <t>The attachment filter SHOULD attempt to determine the true file type and assess the file extension.</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</si>
  <si>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(./defender.md#implementation)</t>
    </r>
    <r>
      <rPr>
        <sz val="11"/>
        <color rgb="FF000000"/>
        <rFont val="Calibri"/>
      </rPr>
      <t>, which attempt to determine the true file type and assess the file extension.</t>
    </r>
  </si>
  <si>
    <r>
      <rPr>
        <sz val="11"/>
        <color rgb="FF000000"/>
        <rFont val="Calibri"/>
      </rPr>
      <t>Users can change a file extension at the end of a file name (e.g., notepad.exe to notepad.txt) to obscure the actual file type. Verifying the file type and checking that this matches the designated file extension can help detect instances where the file extension was changed.</t>
    </r>
  </si>
  <si>
    <t>MS.EXO.9.3v2</t>
  </si>
  <si>
    <r>
      <rPr>
        <sz val="11"/>
        <color rgb="FF000000"/>
        <rFont val="Calibri"/>
      </rPr>
      <t>Disallowed file types SHALL be determined and enforced.</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</si>
  <si>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(./defender.md#implementation)</t>
    </r>
    <r>
      <rPr>
        <sz val="11"/>
        <color rgb="FF000000"/>
        <rFont val="Calibri"/>
      </rPr>
      <t>, which disallow click-to-run file types.</t>
    </r>
  </si>
  <si>
    <r>
      <rPr>
        <sz val="11"/>
        <color rgb="FF000000"/>
        <rFont val="Calibri"/>
      </rPr>
      <t>Malicious attachments often take the form of click-to-run files, though other file types can contain malicious content as well. As such, determining the full list of file types to block is left to each organization, to be made in accordance with their risk tolerance.</t>
    </r>
  </si>
  <si>
    <t>MS.EXO.9.4v1</t>
  </si>
  <si>
    <r>
      <rPr>
        <sz val="11"/>
        <color rgb="FF000000"/>
        <rFont val="Calibri"/>
      </rPr>
      <t>If a third-party filtering solution is used, it SHOULD offer services comparable to Microsoft Defender's Common Attachment Filter.</t>
    </r>
  </si>
  <si>
    <t>MS.EXO.9.5v1</t>
  </si>
  <si>
    <r>
      <rPr>
        <sz val="11"/>
        <color rgb="FF000000"/>
        <rFont val="Calibri"/>
      </rPr>
      <t>At a minimum, click-to-run files SHOULD be blocked (e.g., .exe, .cmd, and .vbe).</t>
    </r>
  </si>
  <si>
    <r>
      <rPr>
        <sz val="11"/>
        <color rgb="FF000000"/>
        <rFont val="Calibri"/>
      </rPr>
      <t>Malicious attachments often take the form of click-to-run files. Blocking a list of common executable files helps mitigate the risk of adversarial exploitation.</t>
    </r>
  </si>
  <si>
    <t>Malware Scanning</t>
  </si>
  <si>
    <t>MS.EXO.10.1v1</t>
  </si>
  <si>
    <r>
      <rPr>
        <sz val="11"/>
        <color rgb="FF000000"/>
        <rFont val="Calibri"/>
      </rPr>
      <t>Emails SHALL be scanned for malware.</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</si>
  <si>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(./defender.md#implementation)</t>
    </r>
    <r>
      <rPr>
        <sz val="11"/>
        <color rgb="FF000000"/>
        <rFont val="Calibri"/>
      </rPr>
      <t>, which include anti-malware protection.</t>
    </r>
  </si>
  <si>
    <r>
      <rPr>
        <sz val="11"/>
        <color rgb="FF000000"/>
        <rFont val="Calibri"/>
      </rPr>
      <t>Threat actors can use email as a mechanism for delivering malware. In many cases, scanning can detect malware, reducing the risk for end users.</t>
    </r>
  </si>
  <si>
    <r>
      <rPr>
        <sz val="11"/>
        <color rgb="FF000000"/>
        <rFont val="Calibri"/>
      </rPr>
      <t>Email messages may include attachments that contain malware. Therefore, email messages should be scanned for malware to prevent infections. Once malware has been identified, the scanner should drop or quarantine the associated messages. Because malware detections may be updated, it is also important that emails that were already delivered to users are also scanned and removed.</t>
    </r>
    <r>
      <rPr>
        <sz val="11"/>
        <color rgb="FF000000"/>
        <rFont val="Calibri"/>
      </rPr>
      <t xml:space="preserve">
</t>
    </r>
    <r>
      <rPr>
        <sz val="11"/>
        <color rgb="FF000000"/>
        <rFont val="Calibri"/>
      </rPr>
      <t>Using Microsoft Defender for this purpose is not required. However, the solution selected by an agency should offer services comparable to those offered by Microsoft. If the agency uses Microsoft Defender to implement malware scanning, see the following policies of the CISA M365 Secure Configuration Baseline for Defender for Office 365 for additional guidance.</t>
    </r>
    <r>
      <rPr>
        <sz val="11"/>
        <color rgb="FF000000"/>
        <rFont val="Calibri"/>
      </rPr>
      <t xml:space="preserve">
</t>
    </r>
    <r>
      <rPr>
        <sz val="11"/>
        <color rgb="FF000000"/>
        <rFont val="Calibri"/>
      </rPr>
      <t xml:space="preserve">- MS.DEFENDER.1.2v1 \| CISA M365 Secure Configuration Baseline for Defender for Office 365 </t>
    </r>
    <r>
      <rPr>
        <sz val="11"/>
        <color rgb="FF0000FF"/>
        <rFont val="Calibri"/>
      </rPr>
      <t>(./defender.md#msdefender12v1)</t>
    </r>
    <r>
      <rPr>
        <sz val="11"/>
        <color rgb="FF000000"/>
        <rFont val="Calibri"/>
      </rPr>
      <t xml:space="preserve">
</t>
    </r>
    <r>
      <rPr>
        <sz val="11"/>
        <color rgb="FF000000"/>
        <rFont val="Calibri"/>
      </rPr>
      <t>- All users SHALL be added to Exchange Online Protection in either the standard or strict preset security policy.</t>
    </r>
    <r>
      <rPr>
        <sz val="11"/>
        <color rgb="FF000000"/>
        <rFont val="Calibri"/>
      </rPr>
      <t xml:space="preserve">
</t>
    </r>
    <r>
      <rPr>
        <sz val="11"/>
        <color rgb="FF000000"/>
        <rFont val="Calibri"/>
      </rPr>
      <t xml:space="preserve">- MS.DEFENDER.1.3v1 \| CISA M365 Secure Configuration Baseline for Defender for Office 365 </t>
    </r>
    <r>
      <rPr>
        <sz val="11"/>
        <color rgb="FF0000FF"/>
        <rFont val="Calibri"/>
      </rPr>
      <t>(./defender.md#msdefender13v1)</t>
    </r>
    <r>
      <rPr>
        <sz val="11"/>
        <color rgb="FF000000"/>
        <rFont val="Calibri"/>
      </rPr>
      <t xml:space="preserve">
</t>
    </r>
    <r>
      <rPr>
        <sz val="11"/>
        <color rgb="FF000000"/>
        <rFont val="Calibri"/>
      </rPr>
      <t>- All users SHALL be added to Defender for Office 365 Protection in either the standard or strict preset security policy.</t>
    </r>
  </si>
  <si>
    <t>MS.EXO.10.2v1</t>
  </si>
  <si>
    <r>
      <rPr>
        <sz val="11"/>
        <color rgb="FF000000"/>
        <rFont val="Calibri"/>
      </rPr>
      <t>Emails identified as containing malware SHALL be quarantined or dropped.</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</si>
  <si>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(./defender.md#implementation)</t>
    </r>
    <r>
      <rPr>
        <sz val="11"/>
        <color rgb="FF000000"/>
        <rFont val="Calibri"/>
      </rPr>
      <t>, which include anti-malware protection to quarantine malware in email.</t>
    </r>
  </si>
  <si>
    <r>
      <rPr>
        <sz val="11"/>
        <color rgb="FF000000"/>
        <rFont val="Calibri"/>
      </rPr>
      <t>Email can be used as a mechanism for delivering malware. Preventing emails with known malware from reaching user mailboxes helps ensure users cannot interact with those emails.</t>
    </r>
  </si>
  <si>
    <t>MS.EXO.10.3v1</t>
  </si>
  <si>
    <r>
      <rPr>
        <sz val="11"/>
        <color rgb="FF000000"/>
        <rFont val="Calibri"/>
      </rPr>
      <t>Email scanning SHALL be capable of reviewing emails after delivery.</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</si>
  <si>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(./defender.md#implementation)</t>
    </r>
    <r>
      <rPr>
        <sz val="11"/>
        <color rgb="FF000000"/>
        <rFont val="Calibri"/>
      </rPr>
      <t>, which include zero-hour auto purge (ZAP) to retroactively detect malware in messages already delivered to mailboxes and removes them.</t>
    </r>
  </si>
  <si>
    <r>
      <rPr>
        <sz val="11"/>
        <color rgb="FF000000"/>
        <rFont val="Calibri"/>
      </rPr>
      <t>As known malware signatures are updated, it is possible for an email to be retroactively identified as containing malware after delivery. Scanning emails can reduce the number of malware-infected emails in users' mailboxes.</t>
    </r>
  </si>
  <si>
    <t>Phishing Protections</t>
  </si>
  <si>
    <t>MS.EXO.11.1v1</t>
  </si>
  <si>
    <r>
      <rPr>
        <sz val="11"/>
        <color rgb="FF000000"/>
        <rFont val="Calibri"/>
      </rPr>
      <t>Impersonation protection checks SHOULD be used.</t>
    </r>
  </si>
  <si>
    <r>
      <rPr>
        <sz val="11"/>
        <color rgb="FF000000"/>
        <rFont val="Calibri"/>
      </rPr>
      <t xml:space="preserve">Any product meeting the requirements outlined in this baseline policy may be used. If the agency uses Microsoft Defender, see the following implementation steps for enabling impersonation protection </t>
    </r>
    <r>
      <rPr>
        <sz val="11"/>
        <color rgb="FF0000FF"/>
        <rFont val="Calibri"/>
      </rPr>
      <t>(./defender.md#msdefender21v1-instructions)</t>
    </r>
    <r>
      <rPr>
        <sz val="11"/>
        <color rgb="FF000000"/>
        <rFont val="Calibri"/>
      </rPr>
      <t>.</t>
    </r>
  </si>
  <si>
    <r>
      <rPr>
        <sz val="11"/>
        <color rgb="FF000000"/>
        <rFont val="Calibri"/>
      </rPr>
      <t xml:space="preserve">Users might not be able to reliably identify phishing emails, especially if the </t>
    </r>
    <r>
      <rPr>
        <b/>
        <sz val="11"/>
        <color rgb="FF000000"/>
        <rFont val="Calibri"/>
      </rPr>
      <t>FROM</t>
    </r>
    <r>
      <rPr>
        <sz val="11"/>
        <color rgb="FF000000"/>
        <rFont val="Calibri"/>
      </rPr>
      <t xml:space="preserve"> address is nearly indistinguishable from that of a known entity. By automatically identifying senders who appear to be impersonating known senders, the risk of a successful phishing attempt can be reduced.</t>
    </r>
  </si>
  <si>
    <r>
      <rPr>
        <sz val="11"/>
        <color rgb="FF000000"/>
        <rFont val="Calibri"/>
      </rPr>
      <t>Several techniques exist for protecting against phishing attacks, including the following:</t>
    </r>
    <r>
      <rPr>
        <sz val="11"/>
        <color rgb="FF000000"/>
        <rFont val="Calibri"/>
      </rPr>
      <t xml:space="preserve">
</t>
    </r>
    <r>
      <rPr>
        <sz val="11"/>
        <color rgb="FF000000"/>
        <rFont val="Calibri"/>
      </rPr>
      <t xml:space="preserve">- Impersonation protection checks, wherein a tool compares the sender's address to the addresses of known senders to flag look-alike addresses, such as </t>
    </r>
    <r>
      <rPr>
        <b/>
        <sz val="11"/>
        <color rgb="FF000000"/>
        <rFont val="Calibri"/>
      </rPr>
      <t>user@exmple.com</t>
    </r>
    <r>
      <rPr>
        <sz val="11"/>
        <color rgb="FF000000"/>
        <rFont val="Calibri"/>
      </rPr>
      <t xml:space="preserve"> and </t>
    </r>
    <r>
      <rPr>
        <b/>
        <sz val="11"/>
        <color rgb="FF000000"/>
        <rFont val="Calibri"/>
      </rPr>
      <t>user@example.com</t>
    </r>
    <r>
      <rPr>
        <sz val="11"/>
        <color rgb="FF000000"/>
        <rFont val="Calibri"/>
      </rPr>
      <t>.</t>
    </r>
    <r>
      <rPr>
        <sz val="11"/>
        <color rgb="FF000000"/>
        <rFont val="Calibri"/>
      </rPr>
      <t xml:space="preserve">
</t>
    </r>
    <r>
      <rPr>
        <sz val="11"/>
        <color rgb="FF000000"/>
        <rFont val="Calibri"/>
      </rPr>
      <t>- User warnings, such as displaying a notice the first time a user receives an email from a new sender.</t>
    </r>
    <r>
      <rPr>
        <sz val="11"/>
        <color rgb="FF000000"/>
        <rFont val="Calibri"/>
      </rPr>
      <t xml:space="preserve">
</t>
    </r>
    <r>
      <rPr>
        <sz val="11"/>
        <color rgb="FF000000"/>
        <rFont val="Calibri"/>
      </rPr>
      <t>- Artificial intelligence (AI)-based tools.</t>
    </r>
    <r>
      <rPr>
        <sz val="11"/>
        <color rgb="FF000000"/>
        <rFont val="Calibri"/>
      </rPr>
      <t xml:space="preserve">
</t>
    </r>
    <r>
      <rPr>
        <sz val="11"/>
        <color rgb="FF000000"/>
        <rFont val="Calibri"/>
      </rPr>
      <t>Any product meeting the requirements outlined in this baseline policy group may be used. If the agency uses Exchange Online Protection (EOP), which is included in all Microsoft 365 subscriptions containing Exchange Online mailboxes, see the following policy and section of the CISA M365 Secure Configuration Baseline for Defender for Office 365.</t>
    </r>
    <r>
      <rPr>
        <sz val="11"/>
        <color rgb="FF000000"/>
        <rFont val="Calibri"/>
      </rPr>
      <t xml:space="preserve">
</t>
    </r>
    <r>
      <rPr>
        <sz val="11"/>
        <color rgb="FF000000"/>
        <rFont val="Calibri"/>
      </rPr>
      <t xml:space="preserve">- MS.DEFENDER.1.2v1 \| CISA M365 Secure Configuration Baseline for Defender for Office 365 </t>
    </r>
    <r>
      <rPr>
        <sz val="11"/>
        <color rgb="FF0000FF"/>
        <rFont val="Calibri"/>
      </rPr>
      <t>(./defender.md#msdefender12v1)</t>
    </r>
    <r>
      <rPr>
        <sz val="11"/>
        <color rgb="FF000000"/>
        <rFont val="Calibri"/>
      </rPr>
      <t>.</t>
    </r>
    <r>
      <rPr>
        <sz val="11"/>
        <color rgb="FF000000"/>
        <rFont val="Calibri"/>
      </rPr>
      <t xml:space="preserve">
</t>
    </r>
    <r>
      <rPr>
        <sz val="11"/>
        <color rgb="FF000000"/>
        <rFont val="Calibri"/>
      </rPr>
      <t>- All users SHALL be added to Exchange Online Protection in either the standard or strict preset security policy.</t>
    </r>
    <r>
      <rPr>
        <sz val="11"/>
        <color rgb="FF000000"/>
        <rFont val="Calibri"/>
      </rPr>
      <t xml:space="preserve">
</t>
    </r>
    <r>
      <rPr>
        <sz val="11"/>
        <color rgb="FF000000"/>
        <rFont val="Calibri"/>
      </rPr>
      <t>EOP alone does not support impersonation protection, but this is provided through Defender for Office 365. If using Defender for Office 365 for impersonation protection, see the following policy and section of the CISA M365 Secure Configuration Baseline for Defender for Office 365.</t>
    </r>
    <r>
      <rPr>
        <sz val="11"/>
        <color rgb="FF000000"/>
        <rFont val="Calibri"/>
      </rPr>
      <t xml:space="preserve">
</t>
    </r>
    <r>
      <rPr>
        <sz val="11"/>
        <color rgb="FF000000"/>
        <rFont val="Calibri"/>
      </rPr>
      <t xml:space="preserve">- Impersonation Protection \| CISA M365 Secure Configuration Baseline for Defender for Office 365 </t>
    </r>
    <r>
      <rPr>
        <sz val="11"/>
        <color rgb="FF0000FF"/>
        <rFont val="Calibri"/>
      </rPr>
      <t>(./defender.md#2-impersonation-protection)</t>
    </r>
  </si>
  <si>
    <r>
      <rPr>
        <sz val="11"/>
        <color rgb="FF000000"/>
        <rFont val="Calibri"/>
      </rPr>
      <t xml:space="preserve">If using Defender for Office 365 for impersonation protection and advanced phishing thresholds, Defender for Office 365 Plan 1 or 2 is required. These are included with E5 and G5 and are available as add-ons for E3 and G3. As of November 14, 2023, anti-phishing for user and domain impersonation and spoof intelligence are not yet available in M365 Government Community Cloud High (GCC High) and M365 Department of Defense (DOD). See Platform features \| Microsoft Docs </t>
    </r>
    <r>
      <rPr>
        <sz val="11"/>
        <color rgb="FF0000FF"/>
        <rFont val="Calibri"/>
      </rPr>
      <t>(https://docs.microsoft.com/en-us/office365/servicedescriptions/office-365-platform-service-description/office-365-us-government/office-365-us-government#platform-features)</t>
    </r>
    <r>
      <rPr>
        <sz val="11"/>
        <color rgb="FF000000"/>
        <rFont val="Calibri"/>
      </rPr>
      <t xml:space="preserve"> for current offerings.</t>
    </r>
  </si>
  <si>
    <t>MS.EXO.11.2v1</t>
  </si>
  <si>
    <r>
      <rPr>
        <sz val="11"/>
        <color rgb="FF000000"/>
        <rFont val="Calibri"/>
      </rPr>
      <t>User warnings, comparable to the user safety tips included with EOP, SHOULD be displayed.</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</si>
  <si>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(./defender.md#msdefender12v1)</t>
    </r>
    <r>
      <rPr>
        <sz val="11"/>
        <color rgb="FF000000"/>
        <rFont val="Calibri"/>
      </rPr>
      <t xml:space="preserve"> which include user safety tips to warn users.</t>
    </r>
  </si>
  <si>
    <r>
      <rPr>
        <sz val="11"/>
        <color rgb="FF000000"/>
        <rFont val="Calibri"/>
      </rPr>
      <t xml:space="preserve">Many tasks are better suited for automated processes, such as identifying unusual characters in the </t>
    </r>
    <r>
      <rPr>
        <b/>
        <sz val="11"/>
        <color rgb="FF000000"/>
        <rFont val="Calibri"/>
      </rPr>
      <t>FROM</t>
    </r>
    <r>
      <rPr>
        <sz val="11"/>
        <color rgb="FF000000"/>
        <rFont val="Calibri"/>
      </rPr>
      <t xml:space="preserve"> address or identifying a first-time sender. User warnings can handle these tasks, reducing the burden on end users and the risk of successful phishing attempts.</t>
    </r>
  </si>
  <si>
    <t>MS.EXO.11.3v1</t>
  </si>
  <si>
    <r>
      <rPr>
        <sz val="11"/>
        <color rgb="FF000000"/>
        <rFont val="Calibri"/>
      </rPr>
      <t>The phishing protection solution SHOULD include an AI-based phishing detection tool comparable to EOP Mailbox Intelligence.</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</si>
  <si>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(./defender.md#msdefender13v1)</t>
    </r>
    <r>
      <rPr>
        <sz val="11"/>
        <color rgb="FF000000"/>
        <rFont val="Calibri"/>
      </rPr>
      <t xml:space="preserve"> which include mailbox intelligence for detecting phishing attacks using AI.</t>
    </r>
  </si>
  <si>
    <r>
      <rPr>
        <sz val="11"/>
        <color rgb="FF000000"/>
        <rFont val="Calibri"/>
      </rPr>
      <t>Phishing attacks can result in unauthorized data disclosure and unauthorized access. Using AI-based phishing detection tools to improve the detection rate of phishing attempts helps reduce the risk of successful phishing attacks.</t>
    </r>
  </si>
  <si>
    <t>IP Allow Lists</t>
  </si>
  <si>
    <t>MS.EXO.12.1v1</t>
  </si>
  <si>
    <r>
      <rPr>
        <sz val="11"/>
        <color rgb="FF000000"/>
        <rFont val="Calibri"/>
      </rPr>
      <t>IP allow lists SHOULD NOT be created.</t>
    </r>
  </si>
  <si>
    <t>SHOULD NOT</t>
  </si>
  <si>
    <r>
      <rPr>
        <sz val="11"/>
        <color rgb="FF000000"/>
        <rFont val="Calibri"/>
      </rPr>
      <t xml:space="preserve">To modify the connection filters, follow the instructions found in Use the Microsoft 365 Defender portal to modify the default connection filter policy </t>
    </r>
    <r>
      <rPr>
        <sz val="11"/>
        <color rgb="FF0000FF"/>
        <rFont val="Calibri"/>
      </rPr>
      <t>(https://learn.microsoft.com/en-us/microsoft-365/security/office-365-security/connection-filter-policies-configure?view=o365-worldwide#use-the-microsoft-365-defender-portal-to-modify-the-default-connection-filter-policy)</t>
    </r>
    <r>
      <rPr>
        <sz val="11"/>
        <color rgb="FF000000"/>
        <rFont val="Calibri"/>
      </rPr>
      <t>.</t>
    </r>
    <r>
      <rPr>
        <sz val="11"/>
        <color rgb="FF000000"/>
        <rFont val="Calibri"/>
      </rPr>
      <t xml:space="preserve">
</t>
    </r>
    <r>
      <rPr>
        <sz val="11"/>
        <color rgb="FF000000"/>
        <rFont val="Calibri"/>
      </rPr>
      <t xml:space="preserve">1. Sign in to </t>
    </r>
    <r>
      <rPr>
        <b/>
        <sz val="11"/>
        <color rgb="FF000000"/>
        <rFont val="Calibri"/>
      </rPr>
      <t>Microsoft 365 Defender portal</t>
    </r>
    <r>
      <rPr>
        <sz val="11"/>
        <color rgb="FF000000"/>
        <rFont val="Calibri"/>
      </rPr>
      <t>.</t>
    </r>
    <r>
      <rPr>
        <sz val="11"/>
        <color rgb="FF000000"/>
        <rFont val="Calibri"/>
      </rPr>
      <t xml:space="preserve">
</t>
    </r>
    <r>
      <rPr>
        <sz val="11"/>
        <color rgb="FF000000"/>
        <rFont val="Calibri"/>
      </rPr>
      <t xml:space="preserve">2. From the left-hand menu, find </t>
    </r>
    <r>
      <rPr>
        <b/>
        <sz val="11"/>
        <color rgb="FF000000"/>
        <rFont val="Calibri"/>
      </rPr>
      <t>Email &amp; collaboration</t>
    </r>
    <r>
      <rPr>
        <sz val="11"/>
        <color rgb="FF000000"/>
        <rFont val="Calibri"/>
      </rPr>
      <t xml:space="preserve"> and select </t>
    </r>
    <r>
      <rPr>
        <b/>
        <sz val="11"/>
        <color rgb="FF000000"/>
        <rFont val="Calibri"/>
      </rPr>
      <t>Policies and Rules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Threat Policies</t>
    </r>
    <r>
      <rPr>
        <sz val="11"/>
        <color rgb="FF000000"/>
        <rFont val="Calibri"/>
      </rPr>
      <t xml:space="preserve"> from the list of policy names.</t>
    </r>
    <r>
      <rPr>
        <sz val="11"/>
        <color rgb="FF000000"/>
        <rFont val="Calibri"/>
      </rPr>
      <t xml:space="preserve">
</t>
    </r>
    <r>
      <rPr>
        <sz val="11"/>
        <color rgb="FF000000"/>
        <rFont val="Calibri"/>
      </rPr>
      <t xml:space="preserve">4. Under </t>
    </r>
    <r>
      <rPr>
        <b/>
        <sz val="11"/>
        <color rgb="FF000000"/>
        <rFont val="Calibri"/>
      </rPr>
      <t>Policies</t>
    </r>
    <r>
      <rPr>
        <sz val="11"/>
        <color rgb="FF000000"/>
        <rFont val="Calibri"/>
      </rPr>
      <t xml:space="preserve">,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6. Click </t>
    </r>
    <r>
      <rPr>
        <b/>
        <sz val="11"/>
        <color rgb="FF000000"/>
        <rFont val="Calibri"/>
      </rPr>
      <t>Edit connection filter policy</t>
    </r>
    <r>
      <rPr>
        <sz val="11"/>
        <color rgb="FF000000"/>
        <rFont val="Calibri"/>
      </rPr>
      <t>.</t>
    </r>
    <r>
      <rPr>
        <sz val="11"/>
        <color rgb="FF000000"/>
        <rFont val="Calibri"/>
      </rPr>
      <t xml:space="preserve">
</t>
    </r>
    <r>
      <rPr>
        <sz val="11"/>
        <color rgb="FF000000"/>
        <rFont val="Calibri"/>
      </rPr>
      <t xml:space="preserve">7. Ensure no addresses are specified under </t>
    </r>
    <r>
      <rPr>
        <b/>
        <sz val="11"/>
        <color rgb="FF000000"/>
        <rFont val="Calibri"/>
      </rPr>
      <t>Always allow messages from the following IP addresses or address range</t>
    </r>
    <r>
      <rPr>
        <sz val="11"/>
        <color rgb="FF000000"/>
        <rFont val="Calibri"/>
      </rPr>
      <t>.</t>
    </r>
    <r>
      <rPr>
        <sz val="11"/>
        <color rgb="FF000000"/>
        <rFont val="Calibri"/>
      </rPr>
      <t xml:space="preserve">
</t>
    </r>
    <r>
      <rPr>
        <sz val="11"/>
        <color rgb="FF000000"/>
        <rFont val="Calibri"/>
      </rPr>
      <t xml:space="preserve">8. Ensure </t>
    </r>
    <r>
      <rPr>
        <b/>
        <sz val="11"/>
        <color rgb="FF000000"/>
        <rFont val="Calibri"/>
      </rPr>
      <t>Turn on safe list</t>
    </r>
    <r>
      <rPr>
        <sz val="11"/>
        <color rgb="FF000000"/>
        <rFont val="Calibri"/>
      </rPr>
      <t xml:space="preserve"> is not selected.</t>
    </r>
  </si>
  <si>
    <r>
      <rPr>
        <sz val="11"/>
        <color rgb="FF000000"/>
        <rFont val="Calibri"/>
      </rPr>
      <t>Messages sent from IP addresses on an allow list bypass important security mechanisms, including spam filtering and sender authentication checks. Avoiding use of IP allow lists prevents potential threats from circumventing security mechanisms.</t>
    </r>
  </si>
  <si>
    <r>
      <rPr>
        <sz val="11"/>
        <color rgb="FF000000"/>
        <rFont val="Calibri"/>
      </rPr>
      <t xml:space="preserve">Microsoft Defender supports creating IP allow lists intended to prevent blocking emails from </t>
    </r>
    <r>
      <rPr>
        <i/>
        <sz val="11"/>
        <color rgb="FF000000"/>
        <rFont val="Calibri"/>
      </rPr>
      <t>specific</t>
    </r>
    <r>
      <rPr>
        <sz val="11"/>
        <color rgb="FF000000"/>
        <rFont val="Calibri"/>
      </rPr>
      <t xml:space="preserve"> senders. However, as a result, emails from these senders bypass important security mechanisms, such as spam filtering, SPF, DKIM, DMARC, and FROM address enforcement </t>
    </r>
    <r>
      <rPr>
        <sz val="11"/>
        <color rgb="FF0000FF"/>
        <rFont val="Calibri"/>
      </rPr>
      <t>(https://learn.microsoft.com/en-us/microsoft-365/security/office-365-security/anti-phishing-from-email-address-validation?view=o365-worldwide#override-from-address-enforcement)</t>
    </r>
    <r>
      <rPr>
        <sz val="11"/>
        <color rgb="FF000000"/>
        <rFont val="Calibri"/>
      </rPr>
      <t>.</t>
    </r>
    <r>
      <rPr>
        <sz val="11"/>
        <color rgb="FF000000"/>
        <rFont val="Calibri"/>
      </rPr>
      <t xml:space="preserve">
</t>
    </r>
    <r>
      <rPr>
        <sz val="11"/>
        <color rgb="FF000000"/>
        <rFont val="Calibri"/>
      </rPr>
      <t>IP block lists block email from listed IP addresses. Although we have no specific guidance on which IP addresses to add, block lists can be used to block mail from known spammers.</t>
    </r>
    <r>
      <rPr>
        <sz val="11"/>
        <color rgb="FF000000"/>
        <rFont val="Calibri"/>
      </rPr>
      <t xml:space="preserve">
</t>
    </r>
    <r>
      <rPr>
        <sz val="11"/>
        <color rgb="FF000000"/>
        <rFont val="Calibri"/>
      </rPr>
      <t>IP safe lists are dynamic lists of "known, good senders," which Microsoft sources from various third-party subscriptions. As with senders in the allow list, emails from these senders bypass important security mechanisms.</t>
    </r>
  </si>
  <si>
    <r>
      <rPr>
        <b/>
        <sz val="11"/>
        <color rgb="FF000000"/>
        <rFont val="Calibri"/>
      </rPr>
      <t>Use the IP Allow List | Microsoft Learn</t>
    </r>
    <r>
      <rPr>
        <sz val="11"/>
        <color rgb="FF000000"/>
        <rFont val="Calibri"/>
      </rPr>
      <t xml:space="preserve">
</t>
    </r>
    <r>
      <rPr>
        <sz val="11"/>
        <color rgb="FF0000FF"/>
        <rFont val="Calibri"/>
      </rPr>
      <t>https://learn.microsoft.com/en-us/microsoft-365/security/office-365-security/create-safe-sender-lists-in-office-365?view=o365-worldwide#use-the-ip-allow-list</t>
    </r>
    <r>
      <rPr>
        <sz val="11"/>
        <color rgb="FF000000"/>
        <rFont val="Calibri"/>
      </rPr>
      <t xml:space="preserve">
</t>
    </r>
    <r>
      <rPr>
        <b/>
        <sz val="11"/>
        <color rgb="FF000000"/>
        <rFont val="Calibri"/>
      </rPr>
      <t>Configure connection filtering | Microsoft Learn</t>
    </r>
    <r>
      <rPr>
        <sz val="11"/>
        <color rgb="FF000000"/>
        <rFont val="Calibri"/>
      </rPr>
      <t xml:space="preserve">
</t>
    </r>
    <r>
      <rPr>
        <sz val="11"/>
        <color rgb="FF0000FF"/>
        <rFont val="Calibri"/>
      </rPr>
      <t>https://learn.microsoft.com/en-us/microsoft-365/security/office-365-security/connection-filter-policies-configure?view=o365-worldwide</t>
    </r>
    <r>
      <rPr>
        <sz val="11"/>
        <color rgb="FF000000"/>
        <rFont val="Calibri"/>
      </rPr>
      <t xml:space="preserve">
</t>
    </r>
    <r>
      <rPr>
        <b/>
        <sz val="11"/>
        <color rgb="FF000000"/>
        <rFont val="Calibri"/>
      </rPr>
      <t>Use the Microsoft 365 Defender portal to modify the default connection filter policy | Microsoft Learn</t>
    </r>
    <r>
      <rPr>
        <sz val="11"/>
        <color rgb="FF000000"/>
        <rFont val="Calibri"/>
      </rPr>
      <t xml:space="preserve">
</t>
    </r>
    <r>
      <rPr>
        <sz val="11"/>
        <color rgb="FF0000FF"/>
        <rFont val="Calibri"/>
      </rPr>
      <t>https://learn.microsoft.com/en-us/microsoft-365/security/office-365-security/connection-filter-policies-configure?view=o365-worldwide#use-the-microsoft-365-defender-portal-to-modify-the-default-connection-filter-policy</t>
    </r>
  </si>
  <si>
    <t>MS.EXO.12.2v1</t>
  </si>
  <si>
    <r>
      <rPr>
        <sz val="11"/>
        <color rgb="FF000000"/>
        <rFont val="Calibri"/>
      </rPr>
      <t>Safe lists SHOULD NOT be enabled.</t>
    </r>
  </si>
  <si>
    <r>
      <rPr>
        <sz val="11"/>
        <color rgb="FF000000"/>
        <rFont val="Calibri"/>
      </rPr>
      <t xml:space="preserve">1. Sign in to </t>
    </r>
    <r>
      <rPr>
        <b/>
        <sz val="11"/>
        <color rgb="FF000000"/>
        <rFont val="Calibri"/>
      </rPr>
      <t>Microsoft 365 Defender portal</t>
    </r>
    <r>
      <rPr>
        <sz val="11"/>
        <color rgb="FF000000"/>
        <rFont val="Calibri"/>
      </rPr>
      <t>.</t>
    </r>
    <r>
      <rPr>
        <sz val="11"/>
        <color rgb="FF000000"/>
        <rFont val="Calibri"/>
      </rPr>
      <t xml:space="preserve">
</t>
    </r>
    <r>
      <rPr>
        <sz val="11"/>
        <color rgb="FF000000"/>
        <rFont val="Calibri"/>
      </rPr>
      <t xml:space="preserve">2. From the left-hand menu, find </t>
    </r>
    <r>
      <rPr>
        <b/>
        <sz val="11"/>
        <color rgb="FF000000"/>
        <rFont val="Calibri"/>
      </rPr>
      <t>Email &amp; collaboration</t>
    </r>
    <r>
      <rPr>
        <sz val="11"/>
        <color rgb="FF000000"/>
        <rFont val="Calibri"/>
      </rPr>
      <t xml:space="preserve"> and select </t>
    </r>
    <r>
      <rPr>
        <b/>
        <sz val="11"/>
        <color rgb="FF000000"/>
        <rFont val="Calibri"/>
      </rPr>
      <t>Policies and Rules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Threat Policies</t>
    </r>
    <r>
      <rPr>
        <sz val="11"/>
        <color rgb="FF000000"/>
        <rFont val="Calibri"/>
      </rPr>
      <t xml:space="preserve"> from the list of policy names.</t>
    </r>
    <r>
      <rPr>
        <sz val="11"/>
        <color rgb="FF000000"/>
        <rFont val="Calibri"/>
      </rPr>
      <t xml:space="preserve">
</t>
    </r>
    <r>
      <rPr>
        <sz val="11"/>
        <color rgb="FF000000"/>
        <rFont val="Calibri"/>
      </rPr>
      <t xml:space="preserve">4. Under </t>
    </r>
    <r>
      <rPr>
        <b/>
        <sz val="11"/>
        <color rgb="FF000000"/>
        <rFont val="Calibri"/>
      </rPr>
      <t>Policies</t>
    </r>
    <r>
      <rPr>
        <sz val="11"/>
        <color rgb="FF000000"/>
        <rFont val="Calibri"/>
      </rPr>
      <t xml:space="preserve">, select </t>
    </r>
    <r>
      <rPr>
        <b/>
        <sz val="11"/>
        <color rgb="FF000000"/>
        <rFont val="Calibri"/>
      </rPr>
      <t>Anti-spam</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Connection filter policy (Default)</t>
    </r>
    <r>
      <rPr>
        <sz val="11"/>
        <color rgb="FF000000"/>
        <rFont val="Calibri"/>
      </rPr>
      <t>.</t>
    </r>
    <r>
      <rPr>
        <sz val="11"/>
        <color rgb="FF000000"/>
        <rFont val="Calibri"/>
      </rPr>
      <t xml:space="preserve">
</t>
    </r>
    <r>
      <rPr>
        <sz val="11"/>
        <color rgb="FF000000"/>
        <rFont val="Calibri"/>
      </rPr>
      <t xml:space="preserve">6. Click </t>
    </r>
    <r>
      <rPr>
        <b/>
        <sz val="11"/>
        <color rgb="FF000000"/>
        <rFont val="Calibri"/>
      </rPr>
      <t>Edit connection filter policy</t>
    </r>
    <r>
      <rPr>
        <sz val="11"/>
        <color rgb="FF000000"/>
        <rFont val="Calibri"/>
      </rPr>
      <t>.</t>
    </r>
    <r>
      <rPr>
        <sz val="11"/>
        <color rgb="FF000000"/>
        <rFont val="Calibri"/>
      </rPr>
      <t xml:space="preserve">
</t>
    </r>
    <r>
      <rPr>
        <sz val="11"/>
        <color rgb="FF000000"/>
        <rFont val="Calibri"/>
      </rPr>
      <t xml:space="preserve">7. (Optional) Enter addresses under </t>
    </r>
    <r>
      <rPr>
        <b/>
        <sz val="11"/>
        <color rgb="FF000000"/>
        <rFont val="Calibri"/>
      </rPr>
      <t>Always block messages from the following IP addresses or address range</t>
    </r>
    <r>
      <rPr>
        <sz val="11"/>
        <color rgb="FF000000"/>
        <rFont val="Calibri"/>
      </rPr>
      <t xml:space="preserve"> as needed.</t>
    </r>
    <r>
      <rPr>
        <sz val="11"/>
        <color rgb="FF000000"/>
        <rFont val="Calibri"/>
      </rPr>
      <t xml:space="preserve">
</t>
    </r>
    <r>
      <rPr>
        <sz val="11"/>
        <color rgb="FF000000"/>
        <rFont val="Calibri"/>
      </rPr>
      <t xml:space="preserve">8. Ensure </t>
    </r>
    <r>
      <rPr>
        <b/>
        <sz val="11"/>
        <color rgb="FF000000"/>
        <rFont val="Calibri"/>
      </rPr>
      <t>Turn on safe list</t>
    </r>
    <r>
      <rPr>
        <sz val="11"/>
        <color rgb="FF000000"/>
        <rFont val="Calibri"/>
      </rPr>
      <t xml:space="preserve"> is not selected.</t>
    </r>
  </si>
  <si>
    <r>
      <rPr>
        <sz val="11"/>
        <color rgb="FF000000"/>
        <rFont val="Calibri"/>
      </rPr>
      <t>Messages sent from allowed safe list addresses bypass important security mechanisms, including spam filtering and sender authentication checks. Avoiding use of safe lists prevents potential threats from circumventing security mechanisms. While blocking all malicious senders is not feasible, blocking specific known, malicious IP addresses may reduce the threat from specific senders.</t>
    </r>
  </si>
  <si>
    <t>Mailbox Auditing</t>
  </si>
  <si>
    <t>MS.EXO.13.1v1</t>
  </si>
  <si>
    <r>
      <rPr>
        <sz val="11"/>
        <color rgb="FF000000"/>
        <rFont val="Calibri"/>
      </rPr>
      <t>Mailbox auditing SHALL be enabled.</t>
    </r>
  </si>
  <si>
    <r>
      <rPr>
        <sz val="11"/>
        <color rgb="FF000000"/>
        <rFont val="Calibri"/>
      </rPr>
      <t xml:space="preserve">Mailbox auditing can be managed from the Exchange Online PowerShell. Follow the instructions listed on Manage mailbox auditing in Office 365 </t>
    </r>
    <r>
      <rPr>
        <sz val="11"/>
        <color rgb="FF0000FF"/>
        <rFont val="Calibri"/>
      </rPr>
      <t>(https://learn.microsoft.com/en-us/microsoft-365/compliance/audit-mailboxes?view=o365-worldwide)</t>
    </r>
    <r>
      <rPr>
        <sz val="11"/>
        <color rgb="FF000000"/>
        <rFont val="Calibri"/>
      </rPr>
      <t>.</t>
    </r>
    <r>
      <rPr>
        <sz val="11"/>
        <color rgb="FF000000"/>
        <rFont val="Calibri"/>
      </rPr>
      <t xml:space="preserve">
</t>
    </r>
    <r>
      <rPr>
        <sz val="11"/>
        <color rgb="FF000000"/>
        <rFont val="Calibri"/>
      </rPr>
      <t>To check the current mailbox auditing status for your organization via PowerShell:</t>
    </r>
    <r>
      <rPr>
        <sz val="11"/>
        <color rgb="FF000000"/>
        <rFont val="Calibri"/>
      </rPr>
      <t xml:space="preserve">
</t>
    </r>
    <r>
      <rPr>
        <sz val="11"/>
        <color rgb="FF000000"/>
        <rFont val="Calibri"/>
      </rPr>
      <t>1. Connect to the Exchange Online PowerShell.</t>
    </r>
    <r>
      <rPr>
        <sz val="11"/>
        <color rgb="FF000000"/>
        <rFont val="Calibri"/>
      </rPr>
      <t xml:space="preserve">
</t>
    </r>
    <r>
      <rPr>
        <sz val="11"/>
        <color rgb="FF000000"/>
        <rFont val="Calibri"/>
      </rPr>
      <t>2. Run the following command:</t>
    </r>
    <r>
      <rPr>
        <sz val="11"/>
        <color rgb="FF000000"/>
        <rFont val="Calibri"/>
      </rPr>
      <t xml:space="preserve">
</t>
    </r>
    <r>
      <rPr>
        <b/>
        <sz val="11"/>
        <color rgb="FF000000"/>
        <rFont val="Calibri"/>
      </rPr>
      <t>Get-OrganizationConfig | Format-List AuditDisabled</t>
    </r>
    <r>
      <rPr>
        <sz val="11"/>
        <color rgb="FF000000"/>
        <rFont val="Calibri"/>
      </rPr>
      <t xml:space="preserve">
</t>
    </r>
    <r>
      <rPr>
        <sz val="11"/>
        <color rgb="FF000000"/>
        <rFont val="Calibri"/>
      </rPr>
      <t xml:space="preserve">1. An </t>
    </r>
    <r>
      <rPr>
        <b/>
        <sz val="11"/>
        <color rgb="FF000000"/>
        <rFont val="Calibri"/>
      </rPr>
      <t>AuditDisabled : False</t>
    </r>
    <r>
      <rPr>
        <sz val="11"/>
        <color rgb="FF000000"/>
        <rFont val="Calibri"/>
      </rPr>
      <t xml:space="preserve"> result indicates mailbox auditing is enabled.</t>
    </r>
    <r>
      <rPr>
        <sz val="11"/>
        <color rgb="FF000000"/>
        <rFont val="Calibri"/>
      </rPr>
      <t xml:space="preserve">
</t>
    </r>
    <r>
      <rPr>
        <sz val="11"/>
        <color rgb="FF000000"/>
        <rFont val="Calibri"/>
      </rPr>
      <t>To enable mailbox auditing by default for your organization via PowerShell:</t>
    </r>
    <r>
      <rPr>
        <sz val="11"/>
        <color rgb="FF000000"/>
        <rFont val="Calibri"/>
      </rPr>
      <t xml:space="preserve">
</t>
    </r>
    <r>
      <rPr>
        <sz val="11"/>
        <color rgb="FF000000"/>
        <rFont val="Calibri"/>
      </rPr>
      <t>1. Connect to the Exchange Online PowerShell.</t>
    </r>
    <r>
      <rPr>
        <sz val="11"/>
        <color rgb="FF000000"/>
        <rFont val="Calibri"/>
      </rPr>
      <t xml:space="preserve">
</t>
    </r>
    <r>
      <rPr>
        <sz val="11"/>
        <color rgb="FF000000"/>
        <rFont val="Calibri"/>
      </rPr>
      <t>2. Run the following command:</t>
    </r>
    <r>
      <rPr>
        <sz val="11"/>
        <color rgb="FF000000"/>
        <rFont val="Calibri"/>
      </rPr>
      <t xml:space="preserve">
</t>
    </r>
    <r>
      <rPr>
        <b/>
        <sz val="11"/>
        <color rgb="FF000000"/>
        <rFont val="Calibri"/>
      </rPr>
      <t>Set-OrganizationConfig –AuditDisabled $false</t>
    </r>
  </si>
  <si>
    <r>
      <rPr>
        <sz val="11"/>
        <color rgb="FF000000"/>
        <rFont val="Calibri"/>
      </rPr>
      <t>Exchange Online user accounts can be compromised or misused. Enabling mailbox auditing provides a valuable source of information to detect and respond to mailbox misuse.</t>
    </r>
  </si>
  <si>
    <r>
      <rPr>
        <sz val="11"/>
        <color rgb="FF000000"/>
        <rFont val="Calibri"/>
      </rPr>
      <t>Mailbox auditing helps users investigate compromised accounts or discover illicit access to Exchange Online. As a feature of Exchange Online, mailbox auditing is enabled by default for all organizations. Microsoft defines a default audit policy that logs certain actions performed by administrators, delegates, and owners. While mailbox auditing is enabled by default, this policy helps avoid inadvertent disabling.</t>
    </r>
  </si>
  <si>
    <r>
      <rPr>
        <b/>
        <sz val="11"/>
        <color rgb="FF000000"/>
        <rFont val="Calibri"/>
      </rPr>
      <t>Manage mailbox auditing in Office 365 | Microsoft Learn</t>
    </r>
    <r>
      <rPr>
        <sz val="11"/>
        <color rgb="FF000000"/>
        <rFont val="Calibri"/>
      </rPr>
      <t xml:space="preserve">
</t>
    </r>
    <r>
      <rPr>
        <sz val="11"/>
        <color rgb="FF0000FF"/>
        <rFont val="Calibri"/>
      </rPr>
      <t>https://learn.microsoft.com/en-us/microsoft-365/compliance/audit-mailboxes?view=o365-worldwide</t>
    </r>
    <r>
      <rPr>
        <sz val="11"/>
        <color rgb="FF000000"/>
        <rFont val="Calibri"/>
      </rPr>
      <t xml:space="preserve">
</t>
    </r>
    <r>
      <rPr>
        <b/>
        <sz val="11"/>
        <color rgb="FF000000"/>
        <rFont val="Calibri"/>
      </rPr>
      <t>Supported mailbox types | Microsoft Learn</t>
    </r>
    <r>
      <rPr>
        <sz val="11"/>
        <color rgb="FF000000"/>
        <rFont val="Calibri"/>
      </rPr>
      <t xml:space="preserve">
</t>
    </r>
    <r>
      <rPr>
        <sz val="11"/>
        <color rgb="FF0000FF"/>
        <rFont val="Calibri"/>
      </rPr>
      <t>https://learn.microsoft.com/en-us/microsoft-365/compliance/audit-mailboxes?view=o365-worldwide&amp;viewFallbackFrom=o365-worldwide%22%20%5Cl%20%22supported-mailbox-types</t>
    </r>
    <r>
      <rPr>
        <sz val="11"/>
        <color rgb="FF000000"/>
        <rFont val="Calibri"/>
      </rPr>
      <t xml:space="preserve">
</t>
    </r>
    <r>
      <rPr>
        <b/>
        <sz val="11"/>
        <color rgb="FF000000"/>
        <rFont val="Calibri"/>
      </rPr>
      <t>Microsoft Purview Compliance Manager - Microsoft 365 Compliance |Microsoft Learn</t>
    </r>
    <r>
      <rPr>
        <sz val="11"/>
        <color rgb="FF000000"/>
        <rFont val="Calibri"/>
      </rPr>
      <t xml:space="preserve">
</t>
    </r>
    <r>
      <rPr>
        <sz val="11"/>
        <color rgb="FF0000FF"/>
        <rFont val="Calibri"/>
      </rPr>
      <t>https://learn.microsoft.com/en-us/microsoft-365/compliance/compliance-manager?view=o365-worldwide</t>
    </r>
  </si>
  <si>
    <t>Inbound Anti-Spam Protections</t>
  </si>
  <si>
    <t>MS.EXO.14.1v2</t>
  </si>
  <si>
    <r>
      <rPr>
        <sz val="11"/>
        <color rgb="FF000000"/>
        <rFont val="Calibri"/>
      </rPr>
      <t>A spam filter SHALL be enabled.</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</si>
  <si>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(./defender.md#msdefender12v1)</t>
    </r>
    <r>
      <rPr>
        <sz val="11"/>
        <color rgb="FF000000"/>
        <rFont val="Calibri"/>
      </rPr>
      <t>, which include spam filtering.</t>
    </r>
  </si>
  <si>
    <r>
      <rPr>
        <sz val="11"/>
        <color rgb="FF000000"/>
        <rFont val="Calibri"/>
      </rPr>
      <t>Filtering out spam reduces user workload burden, prevents junk mail congestion, and reduces potentially malicious content exposure.</t>
    </r>
  </si>
  <si>
    <r>
      <rPr>
        <sz val="11"/>
        <color rgb="FF000000"/>
        <rFont val="Calibri"/>
      </rPr>
      <t>Junk email, or spam, can clutter user mailboxes and hamper communications across an agency. Implementing a spam filter helps to identify inbound spam and quarantine or move those messages. Microsoft Defender includes several capabilities for protecting against inbound spam emails. Using Microsoft Defender is not strictly required for this purpose; any product that fulfills the requirements outlined in this baseline policy group may be used. If the agency uses Microsoft Defender to meet this baseline policy group, see the following policy of the CISA M365 Secure Configuration Baseline for Defender for Office 365.</t>
    </r>
    <r>
      <rPr>
        <sz val="11"/>
        <color rgb="FF000000"/>
        <rFont val="Calibri"/>
      </rPr>
      <t xml:space="preserve">
</t>
    </r>
    <r>
      <rPr>
        <sz val="11"/>
        <color rgb="FF000000"/>
        <rFont val="Calibri"/>
      </rPr>
      <t xml:space="preserve">- MS.DEFENDER.1.2v1 \| CISA M365 Secure Configuration Baseline for Defender for Office 365 </t>
    </r>
    <r>
      <rPr>
        <sz val="11"/>
        <color rgb="FF0000FF"/>
        <rFont val="Calibri"/>
      </rPr>
      <t>(./defender.md#msdefender12v1)</t>
    </r>
    <r>
      <rPr>
        <sz val="11"/>
        <color rgb="FF000000"/>
        <rFont val="Calibri"/>
      </rPr>
      <t xml:space="preserve">
</t>
    </r>
    <r>
      <rPr>
        <sz val="11"/>
        <color rgb="FF000000"/>
        <rFont val="Calibri"/>
      </rPr>
      <t>- All users SHALL be added to Exchange Online Protection in either the standard or strict preset security policy.</t>
    </r>
  </si>
  <si>
    <r>
      <rPr>
        <b/>
        <sz val="11"/>
        <color rgb="FF000000"/>
        <rFont val="Calibri"/>
      </rPr>
      <t>Configure anti-spam policies in EOP | Microsoft Learn</t>
    </r>
    <r>
      <rPr>
        <sz val="11"/>
        <color rgb="FF000000"/>
        <rFont val="Calibri"/>
      </rPr>
      <t xml:space="preserve">
</t>
    </r>
    <r>
      <rPr>
        <sz val="11"/>
        <color rgb="FF0000FF"/>
        <rFont val="Calibri"/>
      </rPr>
      <t>https://learn.microsoft.com/en-us/defender-office-365/anti-spam-policies-configure?view=o365-worldwide</t>
    </r>
  </si>
  <si>
    <t>MS.EXO.14.2v1</t>
  </si>
  <si>
    <r>
      <rPr>
        <sz val="11"/>
        <color rgb="FF000000"/>
        <rFont val="Calibri"/>
      </rPr>
      <t>Spam and high confidence spam SHALL be moved to either the junk email folder or the quarantine folder.</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</si>
  <si>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(./defender.md#msdefender12v1)</t>
    </r>
    <r>
      <rPr>
        <sz val="11"/>
        <color rgb="FF000000"/>
        <rFont val="Calibri"/>
      </rPr>
      <t>, which include spam filtering that moves high confidence spam to either the junk or quarantine folder.</t>
    </r>
  </si>
  <si>
    <r>
      <rPr>
        <sz val="11"/>
        <color rgb="FF000000"/>
        <rFont val="Calibri"/>
      </rPr>
      <t>Moving spam messages to a separate junk or quarantine folder helps users filter out spam while still giving them the ability to review messages, as needed, in case a message is filtered incorrectly.</t>
    </r>
  </si>
  <si>
    <t>MS.EXO.14.3v1</t>
  </si>
  <si>
    <r>
      <rPr>
        <sz val="11"/>
        <color rgb="FF000000"/>
        <rFont val="Calibri"/>
      </rPr>
      <t>Allowed domains SHALL NOT be added to inbound anti-spam protection policies.</t>
    </r>
  </si>
  <si>
    <r>
      <rPr>
        <sz val="11"/>
        <color rgb="FF000000"/>
        <rFont val="Calibri"/>
      </rPr>
      <t xml:space="preserve">Any product meeting the requirements outlined in this baseline policy may be used. If the agency uses Microsoft Defender, see the following implementation steps for enabling preset security policies </t>
    </r>
    <r>
      <rPr>
        <sz val="11"/>
        <color rgb="FF0000FF"/>
        <rFont val="Calibri"/>
      </rPr>
      <t>(./defender.md#msdefender12v1)</t>
    </r>
    <r>
      <rPr>
        <sz val="11"/>
        <color rgb="FF000000"/>
        <rFont val="Calibri"/>
      </rPr>
      <t>, which do not include any allowed sender domains by default.</t>
    </r>
  </si>
  <si>
    <r>
      <rPr>
        <sz val="11"/>
        <color rgb="FF000000"/>
        <rFont val="Calibri"/>
      </rPr>
      <t>Legitimate emails may be incorrectly filtered by spam protections. Adding allowed senders is an acceptable method of combating these false positives. However, allowing an entire domain, especially a common domain like office.com, provides for a large number of potentially unknown users to bypass spam protections.</t>
    </r>
  </si>
  <si>
    <t>MS.EXO.14.4v1</t>
  </si>
  <si>
    <r>
      <rPr>
        <sz val="11"/>
        <color rgb="FF000000"/>
        <rFont val="Calibri"/>
      </rPr>
      <t>If a third-party party filtering solution is used, the solution SHOULD offer services comparable to the native spam filtering offered by Microsoft.</t>
    </r>
  </si>
  <si>
    <t>Link Protection</t>
  </si>
  <si>
    <t>MS.EXO.15.1v1</t>
  </si>
  <si>
    <r>
      <rPr>
        <sz val="11"/>
        <color rgb="FF000000"/>
        <rFont val="Calibri"/>
      </rPr>
      <t>URL comparison with a block-list SHOULD be enabled.</t>
    </r>
  </si>
  <si>
    <r>
      <rPr>
        <sz val="11"/>
        <color rgb="FF000000"/>
        <rFont val="Calibri"/>
      </rPr>
      <t xml:space="preserve">Any product meeting the requirements outlined in this baseline policy may be used. If the agency uses Microsoft Defender for Office 365, see the following implementation steps for enabling preset security policies </t>
    </r>
    <r>
      <rPr>
        <sz val="11"/>
        <color rgb="FF0000FF"/>
        <rFont val="Calibri"/>
      </rPr>
      <t>(./defender.md#msdefender13v1)</t>
    </r>
    <r>
      <rPr>
        <sz val="11"/>
        <color rgb="FF000000"/>
        <rFont val="Calibri"/>
      </rPr>
      <t>, which include Safe Links protections to scan URLs in email messages against a list of known, malicious links.</t>
    </r>
  </si>
  <si>
    <r>
      <rPr>
        <sz val="11"/>
        <color rgb="FF000000"/>
        <rFont val="Calibri"/>
      </rPr>
      <t>Users may be directed to malicious websites via links in email. Blocking access to known, malicious URLs can prevent users from accessing known malicious websites.</t>
    </r>
  </si>
  <si>
    <r>
      <rPr>
        <sz val="11"/>
        <color rgb="FF000000"/>
        <rFont val="Calibri"/>
      </rPr>
      <t>Several technologies exist for protecting users from malicious links included in emails. For example, Microsoft Defender accomplishes this by prepending:</t>
    </r>
    <r>
      <rPr>
        <sz val="11"/>
        <color rgb="FF000000"/>
        <rFont val="Calibri"/>
      </rPr>
      <t xml:space="preserve">
</t>
    </r>
    <r>
      <rPr>
        <b/>
        <sz val="11"/>
        <color rgb="FF000000"/>
        <rFont val="Calibri"/>
      </rPr>
      <t>https://*.safelinks.protection.outlook.com/?url=</t>
    </r>
    <r>
      <rPr>
        <sz val="11"/>
        <color rgb="FF000000"/>
        <rFont val="Calibri"/>
      </rPr>
      <t xml:space="preserve">
</t>
    </r>
    <r>
      <rPr>
        <sz val="11"/>
        <color rgb="FF000000"/>
        <rFont val="Calibri"/>
      </rPr>
      <t>to any URLs included in emails. By prepending the safe links URL, Microsoft can proxy the initial URL through their scanning service. Their proxy can perform the following actions:</t>
    </r>
    <r>
      <rPr>
        <sz val="11"/>
        <color rgb="FF000000"/>
        <rFont val="Calibri"/>
      </rPr>
      <t xml:space="preserve">
</t>
    </r>
    <r>
      <rPr>
        <sz val="11"/>
        <color rgb="FF000000"/>
        <rFont val="Calibri"/>
      </rPr>
      <t>- Compare the URL with a block list.</t>
    </r>
    <r>
      <rPr>
        <sz val="11"/>
        <color rgb="FF000000"/>
        <rFont val="Calibri"/>
      </rPr>
      <t xml:space="preserve">
</t>
    </r>
    <r>
      <rPr>
        <sz val="11"/>
        <color rgb="FF000000"/>
        <rFont val="Calibri"/>
      </rPr>
      <t>- Compare the URL with a list of know malicious sites.</t>
    </r>
    <r>
      <rPr>
        <sz val="11"/>
        <color rgb="FF000000"/>
        <rFont val="Calibri"/>
      </rPr>
      <t xml:space="preserve">
</t>
    </r>
    <r>
      <rPr>
        <sz val="11"/>
        <color rgb="FF000000"/>
        <rFont val="Calibri"/>
      </rPr>
      <t>- If the URL points to a downloadable file, apply real-time file scanning.</t>
    </r>
    <r>
      <rPr>
        <sz val="11"/>
        <color rgb="FF000000"/>
        <rFont val="Calibri"/>
      </rPr>
      <t xml:space="preserve">
</t>
    </r>
    <r>
      <rPr>
        <sz val="11"/>
        <color rgb="FF000000"/>
        <rFont val="Calibri"/>
      </rPr>
      <t>If all checks pass, the user is redirected to the original URL.</t>
    </r>
    <r>
      <rPr>
        <sz val="11"/>
        <color rgb="FF000000"/>
        <rFont val="Calibri"/>
      </rPr>
      <t xml:space="preserve">
</t>
    </r>
    <r>
      <rPr>
        <sz val="11"/>
        <color rgb="FF000000"/>
        <rFont val="Calibri"/>
      </rPr>
      <t>Microsoft Defender for Office 365 includes link scanning capabilities. Using Microsoft Defender is not strictly required for this purpose; any product fulfilling the requirements outlined in this baseline policy group may be used. If the agency uses Microsoft Defender for Office 365 to meet this baseline policy group, see the following policy of the CISA M365 Secure Configuration Baseline for Defender for Office 365 for additional guidance.</t>
    </r>
    <r>
      <rPr>
        <sz val="11"/>
        <color rgb="FF000000"/>
        <rFont val="Calibri"/>
      </rPr>
      <t xml:space="preserve">
</t>
    </r>
    <r>
      <rPr>
        <sz val="11"/>
        <color rgb="FF000000"/>
        <rFont val="Calibri"/>
      </rPr>
      <t xml:space="preserve">- MS.DEFENDER.1.3v1 \| CISA M365 Secure Configuration Baseline for Defender for Office 365 </t>
    </r>
    <r>
      <rPr>
        <sz val="11"/>
        <color rgb="FF0000FF"/>
        <rFont val="Calibri"/>
      </rPr>
      <t>(./defender.md#msdefender13v1)</t>
    </r>
    <r>
      <rPr>
        <sz val="11"/>
        <color rgb="FF000000"/>
        <rFont val="Calibri"/>
      </rPr>
      <t>.</t>
    </r>
    <r>
      <rPr>
        <sz val="11"/>
        <color rgb="FF000000"/>
        <rFont val="Calibri"/>
      </rPr>
      <t xml:space="preserve">
</t>
    </r>
    <r>
      <rPr>
        <sz val="11"/>
        <color rgb="FF000000"/>
        <rFont val="Calibri"/>
      </rPr>
      <t>- All users SHALL be added to Defender for Office 365 Protection in either the standard or strict preset security policy.</t>
    </r>
  </si>
  <si>
    <t>MS.EXO.15.2v1</t>
  </si>
  <si>
    <r>
      <rPr>
        <sz val="11"/>
        <color rgb="FF000000"/>
        <rFont val="Calibri"/>
      </rPr>
      <t>Direct download links SHOULD be scanned for malware.</t>
    </r>
  </si>
  <si>
    <r>
      <rPr>
        <sz val="11"/>
        <color rgb="FF000000"/>
        <rFont val="Calibri"/>
      </rPr>
      <t xml:space="preserve">Any product meeting the requirements outlined in this baseline policy may be used. If the agency uses Microsoft Defender for Office 365, see the following implementation steps for enabling preset security policies </t>
    </r>
    <r>
      <rPr>
        <sz val="11"/>
        <color rgb="FF0000FF"/>
        <rFont val="Calibri"/>
      </rPr>
      <t>(./defender.md#msdefender13v1)</t>
    </r>
    <r>
      <rPr>
        <sz val="11"/>
        <color rgb="FF000000"/>
        <rFont val="Calibri"/>
      </rPr>
      <t>, which include Safe Links protections to scan links to files for malware.</t>
    </r>
  </si>
  <si>
    <r>
      <rPr>
        <sz val="11"/>
        <color rgb="FF000000"/>
        <rFont val="Calibri"/>
      </rPr>
      <t>URLs in emails may direct users to download and run malware. Scanning direct download links in real-time for known malware and blocking access can prevent users from infecting their devices.</t>
    </r>
  </si>
  <si>
    <t>MS.EXO.15.3v1</t>
  </si>
  <si>
    <r>
      <rPr>
        <sz val="11"/>
        <color rgb="FF000000"/>
        <rFont val="Calibri"/>
      </rPr>
      <t>User click tracking SHOULD be enabled.</t>
    </r>
  </si>
  <si>
    <r>
      <rPr>
        <sz val="11"/>
        <color rgb="FF000000"/>
        <rFont val="Calibri"/>
      </rPr>
      <t xml:space="preserve">Any product meeting the requirements outlined in this baseline policy may be used. If the agency uses Microsoft Defender for Office 365, see the following implementation steps for enabling preset security policies </t>
    </r>
    <r>
      <rPr>
        <sz val="11"/>
        <color rgb="FF0000FF"/>
        <rFont val="Calibri"/>
      </rPr>
      <t>(./defender.md#msdefender13v1)</t>
    </r>
    <r>
      <rPr>
        <sz val="11"/>
        <color rgb="FF000000"/>
        <rFont val="Calibri"/>
      </rPr>
      <t>, which include Safe Links click protections to track user clicks on links in email.</t>
    </r>
  </si>
  <si>
    <r>
      <rPr>
        <sz val="11"/>
        <color rgb="FF000000"/>
        <rFont val="Calibri"/>
      </rPr>
      <t>Users may click on malicious links in emails, leading to compromise or unauthorized data disclosure. Enabling user click tracking lets agencies know if a malicious link may have been visited after the fact to help tailor a response to a potential incident.</t>
    </r>
  </si>
  <si>
    <t>Alerts</t>
  </si>
  <si>
    <t>MS.EXO.16.1v1</t>
  </si>
  <si>
    <r>
      <rPr>
        <sz val="11"/>
        <color rgb="FF000000"/>
        <rFont val="Calibri"/>
      </rPr>
      <t>At a minimum, the following alerts SHALL be enabled:</t>
    </r>
  </si>
  <si>
    <r>
      <rPr>
        <sz val="11"/>
        <color rgb="FF000000"/>
        <rFont val="Calibri"/>
      </rPr>
      <t xml:space="preserve">Any product meeting the requirements outlined in this baseline policy may be used. If the agency uses Microsoft 365 alert policies, see the following implementation steps for enabling alerts </t>
    </r>
    <r>
      <rPr>
        <sz val="11"/>
        <color rgb="FF0000FF"/>
        <rFont val="Calibri"/>
      </rPr>
      <t>(./defender.md#msdefender51v1-instructions)</t>
    </r>
    <r>
      <rPr>
        <sz val="11"/>
        <color rgb="FF000000"/>
        <rFont val="Calibri"/>
      </rPr>
      <t xml:space="preserve"> for additional guidance.</t>
    </r>
  </si>
  <si>
    <r>
      <rPr>
        <sz val="11"/>
        <color rgb="FF000000"/>
        <rFont val="Calibri"/>
      </rPr>
      <t>Potentially malicious or service impacting events may go undetected without a means of detecting these events. Setting up a mechanism to alert administrators to events listed above draws attention to them to help minimize impact to users and the agency.</t>
    </r>
  </si>
  <si>
    <r>
      <rPr>
        <sz val="11"/>
        <color rgb="FF000000"/>
        <rFont val="Calibri"/>
      </rPr>
      <t>Managing and monitoring Exchange mailboxes and user activity requires a means to define activity of concern and notify administrators. Alerts can be generated to help identify suspicious or malicious activity in Exchange Online. These alerts give administrators better real-time insight into possible security incidents.</t>
    </r>
    <r>
      <rPr>
        <sz val="11"/>
        <color rgb="FF000000"/>
        <rFont val="Calibri"/>
      </rPr>
      <t xml:space="preserve">
</t>
    </r>
    <r>
      <rPr>
        <sz val="11"/>
        <color rgb="FF000000"/>
        <rFont val="Calibri"/>
      </rPr>
      <t>Using Microsoft 365 alert policies is not strictly required for this purpose; any product fulfilling the requirements outlined in this baseline policy group may be used. If the agency uses Microsoft 365 alert policies, this includes several prebuilt alert policies, many of which pertain to Exchange Online. Guidance for configuring alerts in Microsoft 365 is given in the following section of the CISA M365 Secure Configuration Baseline for Defender for Office 365.</t>
    </r>
    <r>
      <rPr>
        <sz val="11"/>
        <color rgb="FF000000"/>
        <rFont val="Calibri"/>
      </rPr>
      <t xml:space="preserve">
</t>
    </r>
    <r>
      <rPr>
        <sz val="11"/>
        <color rgb="FF000000"/>
        <rFont val="Calibri"/>
      </rPr>
      <t xml:space="preserve">- Alerts \| CISA M365 Secure Configuration Baseline for Defender for Office 365 </t>
    </r>
    <r>
      <rPr>
        <sz val="11"/>
        <color rgb="FF0000FF"/>
        <rFont val="Calibri"/>
      </rPr>
      <t>(./defender.md#5-alerts)</t>
    </r>
  </si>
  <si>
    <t>MS.EXO.16.2v1</t>
  </si>
  <si>
    <r>
      <rPr>
        <sz val="11"/>
        <color rgb="FF000000"/>
        <rFont val="Calibri"/>
      </rPr>
      <t>The alerts SHOULD be sent to a monitored address or incorporated into a security information and event management (SIEM) system.</t>
    </r>
  </si>
  <si>
    <r>
      <rPr>
        <sz val="11"/>
        <color rgb="FF000000"/>
        <rFont val="Calibri"/>
      </rPr>
      <t xml:space="preserve">Any product meeting the requirements outlined in this baseline policy may be used. If the agency uses Microsoft 365 alert policies, see the following implementation steps to add email recipients to an alert </t>
    </r>
    <r>
      <rPr>
        <sz val="11"/>
        <color rgb="FF0000FF"/>
        <rFont val="Calibri"/>
      </rPr>
      <t>(./defender.md#msdefender51v1-instructions)</t>
    </r>
    <r>
      <rPr>
        <sz val="11"/>
        <color rgb="FF000000"/>
        <rFont val="Calibri"/>
      </rPr>
      <t xml:space="preserve"> for additional guidance.</t>
    </r>
  </si>
  <si>
    <r>
      <rPr>
        <sz val="11"/>
        <color rgb="FF000000"/>
        <rFont val="Calibri"/>
      </rPr>
      <t>Suspicious or malicious events, if not resolved promptly, may have a greater impact to users and the agency. Sending alerts to a monitored email address or SIEM system helps ensure these suspicious or malicious events are acted upon in a timely manner to limit overall impact.</t>
    </r>
  </si>
  <si>
    <t>Audit Logging</t>
  </si>
  <si>
    <t>MS.EXO.17.1v1</t>
  </si>
  <si>
    <r>
      <rPr>
        <sz val="11"/>
        <color rgb="FF000000"/>
        <rFont val="Calibri"/>
      </rPr>
      <t>Unified Audit logging SHALL be enabled.</t>
    </r>
  </si>
  <si>
    <r>
      <rPr>
        <sz val="11"/>
        <color rgb="FF000000"/>
        <rFont val="Calibri"/>
      </rPr>
      <t xml:space="preserve">See the following implementation steps for enabling Unified Audit logging </t>
    </r>
    <r>
      <rPr>
        <sz val="11"/>
        <color rgb="FF0000FF"/>
        <rFont val="Calibri"/>
      </rPr>
      <t>(./defender.md#msdefender61v1-instructions)</t>
    </r>
    <r>
      <rPr>
        <sz val="11"/>
        <color rgb="FF000000"/>
        <rFont val="Calibri"/>
      </rPr>
      <t xml:space="preserve"> for additional guidance.</t>
    </r>
  </si>
  <si>
    <r>
      <rPr>
        <sz val="11"/>
        <color rgb="FF000000"/>
        <rFont val="Calibri"/>
      </rPr>
      <t>Responding to incidents without detailed information about activities that took place slows response actions. Enabling Unified Audit logging helps ensure agencies have visibility into user actions. Furthermore, enabling the Unified Audit log is required for government agencies by OMB M-21-31.</t>
    </r>
  </si>
  <si>
    <r>
      <rPr>
        <sz val="11"/>
        <color rgb="FF000000"/>
        <rFont val="Calibri"/>
      </rPr>
      <t>User activity from M365 services is captured in the organization's unified audit log. These logs are essential for conducting incident response and threat detection activity.</t>
    </r>
    <r>
      <rPr>
        <sz val="11"/>
        <color rgb="FF000000"/>
        <rFont val="Calibri"/>
      </rPr>
      <t xml:space="preserve">
</t>
    </r>
    <r>
      <rPr>
        <sz val="11"/>
        <color rgb="FF000000"/>
        <rFont val="Calibri"/>
      </rPr>
      <t>By default, Microsoft retains the audit logs for 180 days. Activity by users with E5 licenses assigned is retained for one year.</t>
    </r>
    <r>
      <rPr>
        <sz val="11"/>
        <color rgb="FF000000"/>
        <rFont val="Calibri"/>
      </rPr>
      <t xml:space="preserve">
</t>
    </r>
    <r>
      <rPr>
        <sz val="11"/>
        <color rgb="FF000000"/>
        <rFont val="Calibri"/>
      </rPr>
      <t xml:space="preserve">However, in accordance with Office of Management and Budget (OMB) Memorandum 21-31, _Improving the Federal Government's Investigative and Remediation Capabilities Related to Cybersecurity Incidents_, Microsoft 365 audit logs are to be retained at least 12 months in active storage and an additional 18 months in cold storage. This can be accomplished by offloading the logs out of the cloud environment or natively through Microsoft by creating an audit log retention policy </t>
    </r>
    <r>
      <rPr>
        <sz val="11"/>
        <color rgb="FF0000FF"/>
        <rFont val="Calibri"/>
      </rPr>
      <t>(https://learn.microsoft.com/en-us/purview/audit-log-retention-policies?view=o365-worldwide#create-an-audit-log-retention-policy)</t>
    </r>
    <r>
      <rPr>
        <sz val="11"/>
        <color rgb="FF000000"/>
        <rFont val="Calibri"/>
      </rPr>
      <t>.</t>
    </r>
    <r>
      <rPr>
        <sz val="11"/>
        <color rgb="FF000000"/>
        <rFont val="Calibri"/>
      </rPr>
      <t xml:space="preserve">
</t>
    </r>
    <r>
      <rPr>
        <sz val="11"/>
        <color rgb="FF000000"/>
        <rFont val="Calibri"/>
      </rPr>
      <t>OMB M-21-31 also requires Advanced Audit be configured in M365. Advanced Audit, now Microsoft Purview Audit (Premium), adds additional event types to the Unified Audit Log.</t>
    </r>
    <r>
      <rPr>
        <sz val="11"/>
        <color rgb="FF000000"/>
        <rFont val="Calibri"/>
      </rPr>
      <t xml:space="preserve">
</t>
    </r>
    <r>
      <rPr>
        <sz val="11"/>
        <color rgb="FF000000"/>
        <rFont val="Calibri"/>
      </rPr>
      <t>Audit logging is managed from the Microsoft Purview compliance portal. For implementation guidance for configuring audit logging, see the following section of the CISA M365 Secure Configuration Baseline for Defender for Office 365.</t>
    </r>
    <r>
      <rPr>
        <sz val="11"/>
        <color rgb="FF000000"/>
        <rFont val="Calibri"/>
      </rPr>
      <t xml:space="preserve">
</t>
    </r>
    <r>
      <rPr>
        <sz val="11"/>
        <color rgb="FF000000"/>
        <rFont val="Calibri"/>
      </rPr>
      <t xml:space="preserve">- Audit Logging \| CISA M365 Secure Configuration Baseline for Defender for Office 365 </t>
    </r>
    <r>
      <rPr>
        <sz val="11"/>
        <color rgb="FF0000FF"/>
        <rFont val="Calibri"/>
      </rPr>
      <t>(./defender.md#6-audit-logging)</t>
    </r>
  </si>
  <si>
    <r>
      <rPr>
        <sz val="11"/>
        <color rgb="FF000000"/>
        <rFont val="Calibri"/>
      </rPr>
      <t>Microsoft 365 Audit (Premium) capabilities, including the creation of a custom audit log retention policy, requires E5/G5 licenses or E3/G3 licenses with add-on compliance licenses.</t>
    </r>
    <r>
      <rPr>
        <sz val="11"/>
        <color rgb="FF000000"/>
        <rFont val="Calibri"/>
      </rPr>
      <t xml:space="preserve">
</t>
    </r>
    <r>
      <rPr>
        <sz val="11"/>
        <color rgb="FF000000"/>
        <rFont val="Calibri"/>
      </rPr>
      <t xml:space="preserve">Additionally, maintaining logs in the M365 environment for longer than one year requires an add-on license. For more information, see Licensing requirements \| Microsoft Docs </t>
    </r>
    <r>
      <rPr>
        <sz val="11"/>
        <color rgb="FF0000FF"/>
        <rFont val="Calibri"/>
      </rPr>
      <t>(https://docs.microsoft.com/en-us/microsoft-365/compliance/auditing-solutions-overview?view=o365-worldwide#licensing-requirements)</t>
    </r>
    <r>
      <rPr>
        <sz val="11"/>
        <color rgb="FF000000"/>
        <rFont val="Calibri"/>
      </rPr>
      <t>. However, this requirement can also be met by exporting the logs from M365 and storing them with your solution of choice, in which case audit log retention policies are not necessary.</t>
    </r>
  </si>
  <si>
    <r>
      <rPr>
        <b/>
        <sz val="11"/>
        <color rgb="FF000000"/>
        <rFont val="Calibri"/>
      </rPr>
      <t>Expanding cloud logging to give customers deeper security visibility | Microsoft Security Blog</t>
    </r>
    <r>
      <rPr>
        <sz val="11"/>
        <color rgb="FF000000"/>
        <rFont val="Calibri"/>
      </rPr>
      <t xml:space="preserve">
</t>
    </r>
    <r>
      <rPr>
        <sz val="11"/>
        <color rgb="FF0000FF"/>
        <rFont val="Calibri"/>
      </rPr>
      <t>https://www.microsoft.com/en-us/security/blog/2023/07/19/expanding-cloud-logging-to-give-customers-deeper-security-visibility/</t>
    </r>
    <r>
      <rPr>
        <sz val="11"/>
        <color rgb="FF000000"/>
        <rFont val="Calibri"/>
      </rPr>
      <t xml:space="preserve">
</t>
    </r>
    <r>
      <rPr>
        <b/>
        <sz val="11"/>
        <color rgb="FF000000"/>
        <rFont val="Calibri"/>
      </rPr>
      <t>Export, configure, and view audit log records | Microsoft Learn</t>
    </r>
    <r>
      <rPr>
        <sz val="11"/>
        <color rgb="FF000000"/>
        <rFont val="Calibri"/>
      </rPr>
      <t xml:space="preserve">
</t>
    </r>
    <r>
      <rPr>
        <sz val="11"/>
        <color rgb="FF0000FF"/>
        <rFont val="Calibri"/>
      </rPr>
      <t>https://learn.microsoft.com/en-us/purview/audit-log-export-records</t>
    </r>
    <r>
      <rPr>
        <sz val="11"/>
        <color rgb="FF000000"/>
        <rFont val="Calibri"/>
      </rPr>
      <t xml:space="preserve">
</t>
    </r>
    <r>
      <rPr>
        <b/>
        <sz val="11"/>
        <color rgb="FF000000"/>
        <rFont val="Calibri"/>
      </rPr>
      <t>Untitled Goose Tool Fact Sheet | CISA.</t>
    </r>
    <r>
      <rPr>
        <sz val="11"/>
        <color rgb="FF000000"/>
        <rFont val="Calibri"/>
      </rPr>
      <t xml:space="preserve">
</t>
    </r>
    <r>
      <rPr>
        <sz val="11"/>
        <color rgb="FF0000FF"/>
        <rFont val="Calibri"/>
      </rPr>
      <t>https://www.cisa.gov/resources-tools/resources/untitled-goose-tool-fact-sheet</t>
    </r>
    <r>
      <rPr>
        <sz val="11"/>
        <color rgb="FF000000"/>
        <rFont val="Calibri"/>
      </rPr>
      <t xml:space="preserve">
</t>
    </r>
    <r>
      <rPr>
        <b/>
        <sz val="11"/>
        <color rgb="FF000000"/>
        <rFont val="Calibri"/>
      </rPr>
      <t>Manage audit log retention policies | Microsoft Learn</t>
    </r>
    <r>
      <rPr>
        <sz val="11"/>
        <color rgb="FF000000"/>
        <rFont val="Calibri"/>
      </rPr>
      <t xml:space="preserve">
</t>
    </r>
    <r>
      <rPr>
        <sz val="11"/>
        <color rgb="FF0000FF"/>
        <rFont val="Calibri"/>
      </rPr>
      <t>https://learn.microsoft.com/en-us/purview/audit-log-retention-policies?tabs=microsoft-purview-portal#before-you-create-an-audit-log-retention-policy</t>
    </r>
  </si>
  <si>
    <t>MS.EXO.17.3v1</t>
  </si>
  <si>
    <r>
      <rPr>
        <sz val="11"/>
        <color rgb="FF000000"/>
        <rFont val="Calibri"/>
      </rPr>
      <t>Audit logs SHALL be maintained for at least the minimum duration dictated by OMB M-21-31 (Appendix C).</t>
    </r>
  </si>
  <si>
    <r>
      <rPr>
        <sz val="11"/>
        <color rgb="FF000000"/>
        <rFont val="Calibri"/>
      </rPr>
      <t xml:space="preserve">See the following implementation steps to create an audit retention policy </t>
    </r>
    <r>
      <rPr>
        <sz val="11"/>
        <color rgb="FF0000FF"/>
        <rFont val="Calibri"/>
      </rPr>
      <t>(./defender.md#msdefender63v1-instructions)</t>
    </r>
    <r>
      <rPr>
        <sz val="11"/>
        <color rgb="FF000000"/>
        <rFont val="Calibri"/>
      </rPr>
      <t xml:space="preserve"> for additional guidance.</t>
    </r>
  </si>
  <si>
    <r>
      <rPr>
        <sz val="11"/>
        <color rgb="FF000000"/>
        <rFont val="Calibri"/>
      </rPr>
      <t>Increased log retention time gives an agency the necessary visibility to investigate incidents that occurred some time ago. OMB M-21-13, Appendix C, Table 5 specifically calls out Unified Audit Logs in the Cloud Azure log category.</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</si>
  <si>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</si>
  <si>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</si>
  <si>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</si>
  <si>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</si>
  <si>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</si>
  <si>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</si>
  <si>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</si>
  <si>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</si>
  <si>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</si>
  <si>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</si>
  <si>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</si>
  <si>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</si>
  <si>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</si>
  <si>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</si>
  <si>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</si>
  <si>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</si>
  <si>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</si>
  <si>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</si>
  <si>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</si>
  <si>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</si>
  <si>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</si>
  <si>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</si>
  <si>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</si>
  <si>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</si>
  <si>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</si>
  <si>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</si>
  <si>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</si>
  <si>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</si>
  <si>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</si>
  <si>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M365 Secure Configuration Baseline for Exchange Online</t>
  </si>
  <si>
    <t>Developed By:</t>
  </si>
  <si>
    <t>Cybersecurity and Infrastructure Security Agency (CISA)</t>
  </si>
  <si>
    <t>Release Information:</t>
  </si>
  <si>
    <r>
      <rPr>
        <b/>
        <sz val="11"/>
        <color rgb="FF000000"/>
        <rFont val="Calibri"/>
      </rPr>
      <t>Version:</t>
    </r>
    <r>
      <rPr>
        <sz val="11"/>
        <color rgb="FF000000"/>
        <rFont val="Calibri"/>
      </rPr>
      <t xml:space="preserve"> 1.8.0     </t>
    </r>
    <r>
      <rPr>
        <b/>
        <sz val="11"/>
        <color rgb="FF000000"/>
        <rFont val="Calibri"/>
      </rPr>
      <t>Date:</t>
    </r>
    <r>
      <rPr>
        <sz val="11"/>
        <color rgb="FF000000"/>
        <rFont val="Calibri"/>
      </rPr>
      <t xml:space="preserve"> 07 May 2026     </t>
    </r>
    <r>
      <rPr>
        <b/>
        <sz val="11"/>
        <color rgb="FF000000"/>
        <rFont val="Calibri"/>
      </rPr>
      <t>Classification:</t>
    </r>
    <r>
      <rPr>
        <sz val="11"/>
        <color rgb="FF000000"/>
        <rFont val="Calibri"/>
      </rPr>
      <t xml:space="preserve"> TLP:CLEAR     </t>
    </r>
    <r>
      <rPr>
        <b/>
        <sz val="11"/>
        <color rgb="FF000000"/>
        <rFont val="Calibri"/>
      </rPr>
      <t>Recommendation Count:</t>
    </r>
    <r>
      <rPr>
        <sz val="11"/>
        <color rgb="FF000000"/>
        <rFont val="Calibri"/>
      </rPr>
      <t xml:space="preserve"> 40</t>
    </r>
  </si>
  <si>
    <t>Development Url:</t>
  </si>
  <si>
    <t>https://github.com/cisagov/ScubaGear/blob/v1.8.0/PowerShell/ScubaGear/baselines/exo.md</t>
  </si>
  <si>
    <t>Guide Overview:</t>
  </si>
  <si>
    <r>
      <rPr>
        <sz val="11"/>
        <color rgb="FF000000"/>
        <rFont val="Calibri"/>
      </rPr>
      <t>Microsoft 365 (M365) Exchange Online is a cloud-based messaging platform that gives users easy access to their email and supports organizational meetings, contacts, and calendars. This Secure Configuration Baseline (SCB) provides specific policies to strengthen Exchange Online security.</t>
    </r>
    <r>
      <rPr>
        <sz val="11"/>
        <color rgb="FF000000"/>
        <rFont val="Calibri"/>
      </rPr>
      <t xml:space="preserve">
</t>
    </r>
    <r>
      <rPr>
        <sz val="11"/>
        <color rgb="FF000000"/>
        <rFont val="Calibri"/>
      </rPr>
      <t xml:space="preserve">Many admin controls for Exchange Online are found in the </t>
    </r>
    <r>
      <rPr>
        <b/>
        <sz val="11"/>
        <color rgb="FF000000"/>
        <rFont val="Calibri"/>
      </rPr>
      <t>Exchange admin center</t>
    </r>
    <r>
      <rPr>
        <sz val="11"/>
        <color rgb="FF000000"/>
        <rFont val="Calibri"/>
      </rPr>
      <t xml:space="preserve">. However, several of the security features for Exchange Online are shared between Microsoft products and are configured in either the </t>
    </r>
    <r>
      <rPr>
        <b/>
        <sz val="11"/>
        <color rgb="FF000000"/>
        <rFont val="Calibri"/>
      </rPr>
      <t>Microsoft 365 Defender portal</t>
    </r>
    <r>
      <rPr>
        <sz val="11"/>
        <color rgb="FF000000"/>
        <rFont val="Calibri"/>
      </rPr>
      <t xml:space="preserve"> or </t>
    </r>
    <r>
      <rPr>
        <b/>
        <sz val="11"/>
        <color rgb="FF000000"/>
        <rFont val="Calibri"/>
      </rPr>
      <t>Microsoft Purview compliance portal</t>
    </r>
    <r>
      <rPr>
        <sz val="11"/>
        <color rgb="FF000000"/>
        <rFont val="Calibri"/>
      </rPr>
      <t>. Generally speaking, the use of Microsoft Defender is not strictly required for this baseline. When noted, alternative products may be used in lieu of Defender, on the condition that they fulfill these required baseline settings.</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M365 help secure federal information assets stored within M365 cloud business application environments through consistent, effective, and manageable security configurations. CISA created baselines tailored to the federal government’s threats and risk tolerance with the knowledge that every organization has different threat models and risk tolerance. While use of these baselines will be mandatory for civilian Federal Government agencies, organizations outside of the Federal Government may also find these baselines to be useful references to help reduce risks.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M365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i/>
        <sz val="11"/>
        <color rgb="FF000000"/>
        <rFont val="Calibri"/>
      </rPr>
      <t xml:space="preserve">This document is marked TLP:CLEAR. Recipients may share this information without restriction. Information is subject to standard copyright rules. For more information on the Traffic Light Protocol, see </t>
    </r>
    <r>
      <rPr>
        <i/>
        <sz val="11"/>
        <color rgb="FF0000FF"/>
        <rFont val="Calibri"/>
      </rPr>
      <t>https://www.cisa.gov/tlp.</t>
    </r>
  </si>
  <si>
    <t>License Compliance and Copyright</t>
  </si>
  <si>
    <r>
      <rPr>
        <sz val="11"/>
        <color rgb="FF000000"/>
        <rFont val="Calibri"/>
      </rPr>
      <t xml:space="preserve">Portions of this document are adapted from documents in Microsoft's M365 </t>
    </r>
    <r>
      <rPr>
        <sz val="11"/>
        <color rgb="FF0000FF"/>
        <rFont val="Calibri"/>
      </rPr>
      <t>(https://github.com/MicrosoftDocs/microsoft-365-docs/blob/public/LICENSE)</t>
    </r>
    <r>
      <rPr>
        <sz val="11"/>
        <color rgb="FF000000"/>
        <rFont val="Calibri"/>
      </rPr>
      <t xml:space="preserve"> and Azure </t>
    </r>
    <r>
      <rPr>
        <sz val="11"/>
        <color rgb="FF0000FF"/>
        <rFont val="Calibri"/>
      </rPr>
      <t>(https://github.com/MicrosoftDocs/azure-docs/blob/main/LICENSE)</t>
    </r>
    <r>
      <rPr>
        <sz val="11"/>
        <color rgb="FF000000"/>
        <rFont val="Calibri"/>
      </rPr>
      <t xml:space="preserve"> GitHub repositories. The respective documents are subject to copyright and are adapted under the terms of the Creative Commons Attribution 4.0 International license. Sources are linked throughout this document. The United States government has adapted selections of these documents to develop innovative and scalable configuration standards to strengthen the security of widely used cloud-based software services.</t>
    </r>
  </si>
  <si>
    <t>Assumptions</t>
  </si>
  <si>
    <r>
      <rPr>
        <sz val="11"/>
        <color rgb="FF000000"/>
        <rFont val="Calibri"/>
      </rPr>
      <t xml:space="preserve">The </t>
    </r>
    <r>
      <rPr>
        <b/>
        <sz val="11"/>
        <color rgb="FF000000"/>
        <rFont val="Calibri"/>
      </rPr>
      <t>License Requirements</t>
    </r>
    <r>
      <rPr>
        <sz val="11"/>
        <color rgb="FF000000"/>
        <rFont val="Calibri"/>
      </rPr>
      <t xml:space="preserve"> sections of this document assume the organization is using an M365 E3 </t>
    </r>
    <r>
      <rPr>
        <sz val="11"/>
        <color rgb="FF0000FF"/>
        <rFont val="Calibri"/>
      </rPr>
      <t>(https://www.microsoft.com/en-us/microsoft-365/compare-microsoft-365-enterprise-plans)</t>
    </r>
    <r>
      <rPr>
        <sz val="11"/>
        <color rgb="FF000000"/>
        <rFont val="Calibri"/>
      </rPr>
      <t xml:space="preserve"> or G3 </t>
    </r>
    <r>
      <rPr>
        <sz val="11"/>
        <color rgb="FF0000FF"/>
        <rFont val="Calibri"/>
      </rPr>
      <t>(https://www.microsoft.com/en-us/microsoft-365/government)</t>
    </r>
    <r>
      <rPr>
        <sz val="11"/>
        <color rgb="FF000000"/>
        <rFont val="Calibri"/>
      </rPr>
      <t xml:space="preserve"> license level at a minimum. Therefore, only licenses not included in E3/G3 are listed.</t>
    </r>
  </si>
  <si>
    <t>Key Terminology</t>
  </si>
  <si>
    <r>
      <rPr>
        <sz val="11"/>
        <color rgb="FF000000"/>
        <rFont val="Calibri"/>
      </rPr>
      <t xml:space="preserve">The key words "MUST", "MUST NOT", "REQUIRED", "SHALL", "SHALL NOT", "SHOULD", "SHOULD NOT", "RECOMMENDED", "MAY", and "OPTIONAL" in this document are to be interpreted as described in RFC 2119 </t>
    </r>
    <r>
      <rPr>
        <sz val="11"/>
        <color rgb="FF0000FF"/>
        <rFont val="Calibri"/>
      </rPr>
      <t>(https://datatracker.ietf.org/doc/html/rfc2119)</t>
    </r>
    <r>
      <rPr>
        <sz val="11"/>
        <color rgb="FF000000"/>
        <rFont val="Calibri"/>
      </rPr>
      <t>.</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</si>
  <si>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</si>
  <si>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</si>
  <si>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</si>
  <si>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</si>
  <si>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</si>
  <si>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</si>
  <si>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</si>
  <si>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</si>
  <si>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</si>
  <si>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</si>
  <si>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</si>
  <si>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</si>
  <si>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</si>
  <si>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</si>
  <si>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</si>
  <si>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</si>
  <si>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</si>
  <si>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M365 Secure Configuration Baseline for Exchange Online 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</si>
  <si>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</si>
  <si>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</si>
  <si>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</si>
  <si>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</si>
  <si>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</si>
  <si>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</si>
  <si>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</si>
  <si>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</si>
  <si>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</si>
  <si>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</si>
  <si>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</si>
  <si>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</si>
  <si>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</si>
  <si>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</si>
  <si>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</si>
  <si>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</si>
  <si>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</si>
  <si>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</si>
  <si>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</si>
  <si>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</si>
  <si>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</si>
  <si>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</si>
  <si>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</si>
  <si>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</si>
  <si>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</si>
  <si>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</si>
  <si>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</si>
  <si>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</si>
  <si>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</si>
  <si>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</si>
  <si>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</si>
  <si>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</si>
  <si>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</si>
  <si>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</si>
  <si>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</si>
  <si>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</si>
  <si>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</si>
  <si>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</si>
  <si>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</si>
  <si>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</si>
  <si>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</si>
  <si>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</si>
  <si>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</si>
  <si>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</si>
  <si>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</si>
  <si>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</si>
  <si>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(C71)</t>
  </si>
  <si>
    <t>% Must</t>
  </si>
  <si>
    <t>Should Count (C72)</t>
  </si>
  <si>
    <t>% Should</t>
  </si>
  <si>
    <t>Could Count (C73)</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</si>
  <si>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</si>
  <si>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</si>
  <si>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</si>
  <si>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</si>
  <si>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</si>
  <si>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</si>
  <si>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</si>
  <si>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</si>
  <si>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</si>
  <si>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</si>
  <si>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</si>
  <si>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</si>
  <si>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</si>
  <si>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</si>
  <si>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</si>
  <si>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</si>
  <si>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</si>
  <si>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</si>
  <si>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</si>
  <si>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</si>
  <si>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</si>
  <si>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</si>
  <si>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</si>
  <si>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</si>
  <si>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</si>
  <si>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</si>
  <si>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</si>
  <si>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</si>
  <si>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</si>
  <si>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</si>
  <si>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</si>
  <si>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</si>
  <si>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</si>
  <si>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</si>
  <si>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</si>
  <si>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</si>
  <si>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</si>
  <si>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</si>
  <si>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</si>
  <si>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</si>
  <si>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</si>
  <si>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</si>
  <si>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</si>
  <si>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</si>
  <si>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</si>
  <si>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</si>
  <si>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</si>
  <si>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</si>
  <si>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</si>
  <si>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</si>
  <si>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</si>
  <si>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</si>
  <si>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</si>
  <si>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</si>
  <si>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</si>
  <si>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</si>
  <si>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</si>
  <si>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</si>
  <si>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</si>
  <si>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</si>
  <si>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</si>
  <si>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</si>
  <si>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</si>
  <si>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</si>
  <si>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</si>
  <si>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</si>
  <si>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</si>
  <si>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</si>
  <si>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</si>
  <si>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</si>
  <si>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</si>
  <si>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</si>
  <si>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</si>
  <si>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</si>
  <si>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</si>
  <si>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</si>
  <si>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</si>
  <si>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</si>
  <si>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</si>
  <si>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</si>
  <si>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</si>
  <si>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</si>
  <si>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</si>
  <si>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</si>
  <si>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</si>
  <si>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</si>
  <si>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</si>
  <si>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</si>
  <si>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</si>
  <si>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</si>
  <si>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</si>
  <si>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</si>
  <si>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</si>
  <si>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</si>
  <si>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</si>
  <si>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</si>
  <si>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</si>
  <si>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</si>
  <si>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</si>
  <si>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</si>
  <si>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</si>
  <si>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</si>
  <si>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r>
      <rPr>
        <sz val="11"/>
        <color rgb="FF000000"/>
        <rFont val="Calibri"/>
      </rPr>
      <t xml:space="preserve">To disable SMTP AUTH for the organization:
1. Sign in to the </t>
    </r>
    <r>
      <rPr>
        <b/>
        <sz val="11"/>
        <color rgb="FF000000"/>
        <rFont val="Calibri"/>
      </rPr>
      <t>Exchange admin center</t>
    </r>
    <r>
      <rPr>
        <sz val="11"/>
        <color rgb="FF000000"/>
        <rFont val="Calibri"/>
      </rPr>
      <t xml:space="preserve">.
2. On the left hand pane, select </t>
    </r>
    <r>
      <rPr>
        <b/>
        <sz val="11"/>
        <color rgb="FF000000"/>
        <rFont val="Calibri"/>
      </rPr>
      <t>Settings</t>
    </r>
    <r>
      <rPr>
        <sz val="11"/>
        <color rgb="FF000000"/>
        <rFont val="Calibri"/>
      </rPr>
      <t xml:space="preserve">; then from the settings list, select </t>
    </r>
    <r>
      <rPr>
        <b/>
        <sz val="11"/>
        <color rgb="FF000000"/>
        <rFont val="Calibri"/>
      </rPr>
      <t>Mail Flow</t>
    </r>
    <r>
      <rPr>
        <sz val="11"/>
        <color rgb="FF000000"/>
        <rFont val="Calibri"/>
      </rPr>
      <t xml:space="preserve">.
3. Make sure the setting </t>
    </r>
    <r>
      <rPr>
        <b/>
        <sz val="11"/>
        <color rgb="FF000000"/>
        <rFont val="Calibri"/>
      </rPr>
      <t>Turn off SMTP AUTH protocol for your organization</t>
    </r>
    <r>
      <rPr>
        <sz val="11"/>
        <color rgb="FF000000"/>
        <rFont val="Calibri"/>
      </rPr>
      <t xml:space="preserve"> is checked.</t>
    </r>
  </si>
  <si>
    <r>
      <rPr>
        <sz val="11"/>
        <color rgb="FF000000"/>
        <rFont val="Calibri"/>
      </rPr>
      <t xml:space="preserve">To create a mail flow rule to produce external sender warnings:
1. Sign in to the </t>
    </r>
    <r>
      <rPr>
        <b/>
        <sz val="11"/>
        <color rgb="FF000000"/>
        <rFont val="Calibri"/>
      </rPr>
      <t>Exchange admin center</t>
    </r>
    <r>
      <rPr>
        <sz val="11"/>
        <color rgb="FF000000"/>
        <rFont val="Calibri"/>
      </rPr>
      <t xml:space="preserve">.
2. Under </t>
    </r>
    <r>
      <rPr>
        <b/>
        <sz val="11"/>
        <color rgb="FF000000"/>
        <rFont val="Calibri"/>
      </rPr>
      <t>Mail flow</t>
    </r>
    <r>
      <rPr>
        <sz val="11"/>
        <color rgb="FF000000"/>
        <rFont val="Calibri"/>
      </rPr>
      <t xml:space="preserve">, select </t>
    </r>
    <r>
      <rPr>
        <b/>
        <sz val="11"/>
        <color rgb="FF000000"/>
        <rFont val="Calibri"/>
      </rPr>
      <t>Rules</t>
    </r>
    <r>
      <rPr>
        <sz val="11"/>
        <color rgb="FF000000"/>
        <rFont val="Calibri"/>
      </rPr>
      <t>.
3. Click the plus (</t>
    </r>
    <r>
      <rPr>
        <b/>
        <sz val="11"/>
        <color rgb="FF000000"/>
        <rFont val="Calibri"/>
      </rPr>
      <t>+</t>
    </r>
    <r>
      <rPr>
        <sz val="11"/>
        <color rgb="FF000000"/>
        <rFont val="Calibri"/>
      </rPr>
      <t xml:space="preserve">) button to create a new rule.
4. Select </t>
    </r>
    <r>
      <rPr>
        <b/>
        <sz val="11"/>
        <color rgb="FF000000"/>
        <rFont val="Calibri"/>
      </rPr>
      <t>Modify messages…</t>
    </r>
    <r>
      <rPr>
        <sz val="11"/>
        <color rgb="FF000000"/>
        <rFont val="Calibri"/>
      </rPr>
      <t xml:space="preserve">.
5. Give the rule an appropriate name.
6. Under </t>
    </r>
    <r>
      <rPr>
        <b/>
        <sz val="11"/>
        <color rgb="FF000000"/>
        <rFont val="Calibri"/>
      </rPr>
      <t>Apply this rule if…,</t>
    </r>
    <r>
      <rPr>
        <sz val="11"/>
        <color rgb="FF000000"/>
        <rFont val="Calibri"/>
      </rPr>
      <t xml:space="preserve"> select </t>
    </r>
    <r>
      <rPr>
        <b/>
        <sz val="11"/>
        <color rgb="FF000000"/>
        <rFont val="Calibri"/>
      </rPr>
      <t>The sender is external/internal</t>
    </r>
    <r>
      <rPr>
        <sz val="11"/>
        <color rgb="FF000000"/>
        <rFont val="Calibri"/>
      </rPr>
      <t xml:space="preserve">.
7. Under </t>
    </r>
    <r>
      <rPr>
        <b/>
        <sz val="11"/>
        <color rgb="FF000000"/>
        <rFont val="Calibri"/>
      </rPr>
      <t>select sender location</t>
    </r>
    <r>
      <rPr>
        <sz val="11"/>
        <color rgb="FF000000"/>
        <rFont val="Calibri"/>
      </rPr>
      <t xml:space="preserve">, select </t>
    </r>
    <r>
      <rPr>
        <b/>
        <sz val="11"/>
        <color rgb="FF000000"/>
        <rFont val="Calibri"/>
      </rPr>
      <t>Outside the organization</t>
    </r>
    <r>
      <rPr>
        <sz val="11"/>
        <color rgb="FF000000"/>
        <rFont val="Calibri"/>
      </rPr>
      <t xml:space="preserve">, then click </t>
    </r>
    <r>
      <rPr>
        <b/>
        <sz val="11"/>
        <color rgb="FF000000"/>
        <rFont val="Calibri"/>
      </rPr>
      <t>OK</t>
    </r>
    <r>
      <rPr>
        <sz val="11"/>
        <color rgb="FF000000"/>
        <rFont val="Calibri"/>
      </rPr>
      <t xml:space="preserve">.
8. Under </t>
    </r>
    <r>
      <rPr>
        <b/>
        <sz val="11"/>
        <color rgb="FF000000"/>
        <rFont val="Calibri"/>
      </rPr>
      <t>Do the following…,</t>
    </r>
    <r>
      <rPr>
        <sz val="11"/>
        <color rgb="FF000000"/>
        <rFont val="Calibri"/>
      </rPr>
      <t xml:space="preserve"> select </t>
    </r>
    <r>
      <rPr>
        <b/>
        <sz val="11"/>
        <color rgb="FF000000"/>
        <rFont val="Calibri"/>
      </rPr>
      <t>Prepend the subject of the message with…</t>
    </r>
    <r>
      <rPr>
        <sz val="11"/>
        <color rgb="FF000000"/>
        <rFont val="Calibri"/>
      </rPr>
      <t xml:space="preserve">.
9. Under </t>
    </r>
    <r>
      <rPr>
        <b/>
        <sz val="11"/>
        <color rgb="FF000000"/>
        <rFont val="Calibri"/>
      </rPr>
      <t>specify subject prefix</t>
    </r>
    <r>
      <rPr>
        <sz val="11"/>
        <color rgb="FF000000"/>
        <rFont val="Calibri"/>
      </rPr>
      <t xml:space="preserve">, enter a message such as "\[External\]" (without the quotation marks), then click </t>
    </r>
    <r>
      <rPr>
        <b/>
        <sz val="11"/>
        <color rgb="FF000000"/>
        <rFont val="Calibri"/>
      </rPr>
      <t>OK</t>
    </r>
    <r>
      <rPr>
        <sz val="11"/>
        <color rgb="FF000000"/>
        <rFont val="Calibri"/>
      </rPr>
      <t xml:space="preserve">.
10. Click </t>
    </r>
    <r>
      <rPr>
        <b/>
        <sz val="11"/>
        <color rgb="FF000000"/>
        <rFont val="Calibri"/>
      </rPr>
      <t>Next</t>
    </r>
    <r>
      <rPr>
        <sz val="11"/>
        <color rgb="FF000000"/>
        <rFont val="Calibri"/>
      </rPr>
      <t xml:space="preserve">.
11. Under </t>
    </r>
    <r>
      <rPr>
        <b/>
        <sz val="11"/>
        <color rgb="FF000000"/>
        <rFont val="Calibri"/>
      </rPr>
      <t>Choose a mode for this rule</t>
    </r>
    <r>
      <rPr>
        <sz val="11"/>
        <color rgb="FF000000"/>
        <rFont val="Calibri"/>
      </rPr>
      <t xml:space="preserve">, select </t>
    </r>
    <r>
      <rPr>
        <b/>
        <sz val="11"/>
        <color rgb="FF000000"/>
        <rFont val="Calibri"/>
      </rPr>
      <t>Enforce</t>
    </r>
    <r>
      <rPr>
        <sz val="11"/>
        <color rgb="FF000000"/>
        <rFont val="Calibri"/>
      </rPr>
      <t xml:space="preserve">.
12. Leave the </t>
    </r>
    <r>
      <rPr>
        <b/>
        <sz val="11"/>
        <color rgb="FF000000"/>
        <rFont val="Calibri"/>
      </rPr>
      <t>Severity</t>
    </r>
    <r>
      <rPr>
        <sz val="11"/>
        <color rgb="FF000000"/>
        <rFont val="Calibri"/>
      </rPr>
      <t xml:space="preserve"> as </t>
    </r>
    <r>
      <rPr>
        <b/>
        <sz val="11"/>
        <color rgb="FF000000"/>
        <rFont val="Calibri"/>
      </rPr>
      <t>Not Specified</t>
    </r>
    <r>
      <rPr>
        <sz val="11"/>
        <color rgb="FF000000"/>
        <rFont val="Calibri"/>
      </rPr>
      <t xml:space="preserve">.
13. Leave the </t>
    </r>
    <r>
      <rPr>
        <b/>
        <sz val="11"/>
        <color rgb="FF000000"/>
        <rFont val="Calibri"/>
      </rPr>
      <t>Match sender address in message</t>
    </r>
    <r>
      <rPr>
        <sz val="11"/>
        <color rgb="FF000000"/>
        <rFont val="Calibri"/>
      </rPr>
      <t xml:space="preserve"> as </t>
    </r>
    <r>
      <rPr>
        <b/>
        <sz val="11"/>
        <color rgb="FF000000"/>
        <rFont val="Calibri"/>
      </rPr>
      <t>Header</t>
    </r>
    <r>
      <rPr>
        <sz val="11"/>
        <color rgb="FF000000"/>
        <rFont val="Calibri"/>
      </rPr>
      <t xml:space="preserve"> and click </t>
    </r>
    <r>
      <rPr>
        <b/>
        <sz val="11"/>
        <color rgb="FF000000"/>
        <rFont val="Calibri"/>
      </rPr>
      <t>Next</t>
    </r>
    <r>
      <rPr>
        <sz val="11"/>
        <color rgb="FF000000"/>
        <rFont val="Calibri"/>
      </rPr>
      <t xml:space="preserve">.
14. Click </t>
    </r>
    <r>
      <rPr>
        <b/>
        <sz val="11"/>
        <color rgb="FF000000"/>
        <rFont val="Calibri"/>
      </rPr>
      <t>Finish</t>
    </r>
    <r>
      <rPr>
        <sz val="11"/>
        <color rgb="FF000000"/>
        <rFont val="Calibri"/>
      </rPr>
      <t xml:space="preserve"> and then </t>
    </r>
    <r>
      <rPr>
        <b/>
        <sz val="11"/>
        <color rgb="FF000000"/>
        <rFont val="Calibri"/>
      </rPr>
      <t>Done</t>
    </r>
    <r>
      <rPr>
        <sz val="11"/>
        <color rgb="FF000000"/>
        <rFont val="Calibri"/>
      </rPr>
      <t xml:space="preserve">.
15. The new rule will be disabled. Re-select the new rule to show its settings and slide the </t>
    </r>
    <r>
      <rPr>
        <b/>
        <sz val="11"/>
        <color rgb="FF000000"/>
        <rFont val="Calibri"/>
      </rPr>
      <t>Enable or disable rule</t>
    </r>
    <r>
      <rPr>
        <sz val="11"/>
        <color rgb="FF000000"/>
        <rFont val="Calibri"/>
      </rPr>
      <t xml:space="preserve"> slider to the right until it shows as </t>
    </r>
    <r>
      <rPr>
        <b/>
        <sz val="11"/>
        <color rgb="FF000000"/>
        <rFont val="Calibri"/>
      </rPr>
      <t>Enabled</t>
    </r>
    <r>
      <rPr>
        <sz val="11"/>
        <color rgb="FF00000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</si>
</sst>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9"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2">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9" fillId="2" borderId="11" xfId="0" applyNumberFormat="1" applyFont="1" applyFill="1" applyBorder="1" applyAlignment="1" applyProtection="1">
      <alignment horizontal="center" vertical="center"/>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0" xfId="0" applyNumberFormat="1" applyFont="1" applyFill="1" applyProtection="1"/>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0" fontId="9" fillId="2"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3" fillId="3" borderId="0" xfId="0" applyNumberFormat="1" applyFont="1" applyFill="1" applyAlignment="1" applyProtection="1">
      <alignment horizontal="left" vertical="center"/>
    </xf>
    <xf numFmtId="0" fontId="1" fillId="4" borderId="11" xfId="0" applyNumberFormat="1" applyFont="1" applyFill="1" applyBorder="1" applyAlignment="1" applyProtection="1">
      <alignment horizontal="left" vertical="center"/>
    </xf>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xf numFmtId="0" fontId="21" fillId="0" borderId="1" xfId="0" applyNumberFormat="1" applyFont="1" applyBorder="1" applyAlignment="1" applyProtection="1">
      <alignment horizontal="left" vertical="top" wrapText="1"/>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CCC-4620-B481-66D83EE53BD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CCC-4620-B481-66D83EE53BD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40</c:v>
                </c:pt>
              </c:numCache>
            </c:numRef>
          </c:val>
          <c:extLst>
            <c:ext xmlns:c16="http://schemas.microsoft.com/office/drawing/2014/chart" uri="{C3380CC4-5D6E-409C-BE32-E72D297353CC}">
              <c16:uniqueId val="{00000002-8CCC-4620-B481-66D83EE53BD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SHALL</c:v>
                </c:pt>
                <c:pt idx="1">
                  <c:v>SHALL NOT</c:v>
                </c:pt>
                <c:pt idx="2">
                  <c:v>SHOULD</c:v>
                </c:pt>
                <c:pt idx="3">
                  <c:v>SHOULD NOT</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C43-4C49-9668-19FE58708B8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SHALL</c:v>
                </c:pt>
                <c:pt idx="1">
                  <c:v>SHALL NOT</c:v>
                </c:pt>
                <c:pt idx="2">
                  <c:v>SHOULD</c:v>
                </c:pt>
                <c:pt idx="3">
                  <c:v>SHOULD NOT</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C43-4C49-9668-19FE58708B8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SHALL</c:v>
                </c:pt>
                <c:pt idx="1">
                  <c:v>SHALL NOT</c:v>
                </c:pt>
                <c:pt idx="2">
                  <c:v>SHOULD</c:v>
                </c:pt>
                <c:pt idx="3">
                  <c:v>SHOULD NOT</c:v>
                </c:pt>
              </c:strCache>
            </c:strRef>
          </c:cat>
          <c:val>
            <c:numRef>
              <c:f>Dashboard!$E$29:$E$32</c:f>
              <c:numCache>
                <c:formatCode>General</c:formatCode>
                <c:ptCount val="4"/>
                <c:pt idx="0">
                  <c:v>21</c:v>
                </c:pt>
                <c:pt idx="1">
                  <c:v>3</c:v>
                </c:pt>
                <c:pt idx="2">
                  <c:v>14</c:v>
                </c:pt>
                <c:pt idx="3">
                  <c:v>2</c:v>
                </c:pt>
              </c:numCache>
            </c:numRef>
          </c:val>
          <c:extLst>
            <c:ext xmlns:c16="http://schemas.microsoft.com/office/drawing/2014/chart" uri="{C3380CC4-5D6E-409C-BE32-E72D297353CC}">
              <c16:uniqueId val="{00000002-1C43-4C49-9668-19FE58708B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4DC-4704-AD32-687B6CB769F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4DC-4704-AD32-687B6CB769F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40</c:v>
                </c:pt>
              </c:numCache>
            </c:numRef>
          </c:val>
          <c:extLst>
            <c:ext xmlns:c16="http://schemas.microsoft.com/office/drawing/2014/chart" uri="{C3380CC4-5D6E-409C-BE32-E72D297353CC}">
              <c16:uniqueId val="{00000002-D4DC-4704-AD32-687B6CB769F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Dashboard!$B$71:$B$75</c:f>
              <c:strCache>
                <c:ptCount val="5"/>
                <c:pt idx="0">
                  <c:v>Must</c:v>
                </c:pt>
                <c:pt idx="1">
                  <c:v>Should</c:v>
                </c:pt>
                <c:pt idx="2">
                  <c:v>Could</c:v>
                </c:pt>
                <c:pt idx="3">
                  <c:v>Won't</c:v>
                </c:pt>
                <c:pt idx="4">
                  <c:v>Unassigned</c:v>
                </c:pt>
              </c:strCache>
            </c:strRef>
          </c:cat>
          <c:val>
            <c:numRef>
              <c:f>Dashboard!$C$71:$C$75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25B-419C-86DE-2ED8C0702E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Dashboard!$B$71:$B$75</c:f>
              <c:strCache>
                <c:ptCount val="5"/>
                <c:pt idx="0">
                  <c:v>Must</c:v>
                </c:pt>
                <c:pt idx="1">
                  <c:v>Should</c:v>
                </c:pt>
                <c:pt idx="2">
                  <c:v>Could</c:v>
                </c:pt>
                <c:pt idx="3">
                  <c:v>Won't</c:v>
                </c:pt>
                <c:pt idx="4">
                  <c:v>Unassigned</c:v>
                </c:pt>
              </c:strCache>
            </c:strRef>
          </c:cat>
          <c:val>
            <c:numRef>
              <c:f>Dashboard!$D$71:$D$75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25B-419C-86DE-2ED8C0702E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Dashboard!$B$71:$B$75</c:f>
              <c:strCache>
                <c:ptCount val="5"/>
                <c:pt idx="0">
                  <c:v>Must</c:v>
                </c:pt>
                <c:pt idx="1">
                  <c:v>Should</c:v>
                </c:pt>
                <c:pt idx="2">
                  <c:v>Could</c:v>
                </c:pt>
                <c:pt idx="3">
                  <c:v>Won't</c:v>
                </c:pt>
                <c:pt idx="4">
                  <c:v>Unassigned</c:v>
                </c:pt>
              </c:strCache>
            </c:strRef>
          </c:cat>
          <c:val>
            <c:numRef>
              <c:f>Dashboard!$E$71:$E$75</c:f>
              <c:numCache>
                <c:formatCode>General</c:formatCode>
                <c:ptCount val="5"/>
                <c:pt idx="0">
                  <c:v>0</c:v>
                </c:pt>
                <c:pt idx="1">
                  <c:v>0</c:v>
                </c:pt>
                <c:pt idx="2">
                  <c:v>0</c:v>
                </c:pt>
                <c:pt idx="3">
                  <c:v>0</c:v>
                </c:pt>
                <c:pt idx="4">
                  <c:v>40</c:v>
                </c:pt>
              </c:numCache>
            </c:numRef>
          </c:val>
          <c:extLst>
            <c:ext xmlns:c16="http://schemas.microsoft.com/office/drawing/2014/chart" uri="{C3380CC4-5D6E-409C-BE32-E72D297353CC}">
              <c16:uniqueId val="{00000002-025B-419C-86DE-2ED8C0702E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Dashboard!$B$92:$B$95</c:f>
              <c:strCache>
                <c:ptCount val="4"/>
                <c:pt idx="0">
                  <c:v>Low</c:v>
                </c:pt>
                <c:pt idx="1">
                  <c:v>Medium</c:v>
                </c:pt>
                <c:pt idx="2">
                  <c:v>High</c:v>
                </c:pt>
                <c:pt idx="3">
                  <c:v>Unassessed</c:v>
                </c:pt>
              </c:strCache>
            </c:strRef>
          </c:cat>
          <c:val>
            <c:numRef>
              <c:f>Dashboard!$C$92:$C$95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6F9-4AED-B747-4B4AE2D1AAF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Dashboard!$B$92:$B$95</c:f>
              <c:strCache>
                <c:ptCount val="4"/>
                <c:pt idx="0">
                  <c:v>Low</c:v>
                </c:pt>
                <c:pt idx="1">
                  <c:v>Medium</c:v>
                </c:pt>
                <c:pt idx="2">
                  <c:v>High</c:v>
                </c:pt>
                <c:pt idx="3">
                  <c:v>Unassessed</c:v>
                </c:pt>
              </c:strCache>
            </c:strRef>
          </c:cat>
          <c:val>
            <c:numRef>
              <c:f>Dashboard!$D$92:$D$95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6F9-4AED-B747-4B4AE2D1AAF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Dashboard!$B$92:$B$95</c:f>
              <c:strCache>
                <c:ptCount val="4"/>
                <c:pt idx="0">
                  <c:v>Low</c:v>
                </c:pt>
                <c:pt idx="1">
                  <c:v>Medium</c:v>
                </c:pt>
                <c:pt idx="2">
                  <c:v>High</c:v>
                </c:pt>
                <c:pt idx="3">
                  <c:v>Unassessed</c:v>
                </c:pt>
              </c:strCache>
            </c:strRef>
          </c:cat>
          <c:val>
            <c:numRef>
              <c:f>Dashboard!$E$92:$E$95</c:f>
              <c:numCache>
                <c:formatCode>General</c:formatCode>
                <c:ptCount val="4"/>
                <c:pt idx="0">
                  <c:v>0</c:v>
                </c:pt>
                <c:pt idx="1">
                  <c:v>0</c:v>
                </c:pt>
                <c:pt idx="2">
                  <c:v>0</c:v>
                </c:pt>
                <c:pt idx="3">
                  <c:v>40</c:v>
                </c:pt>
              </c:numCache>
            </c:numRef>
          </c:val>
          <c:extLst>
            <c:ext xmlns:c16="http://schemas.microsoft.com/office/drawing/2014/chart" uri="{C3380CC4-5D6E-409C-BE32-E72D297353CC}">
              <c16:uniqueId val="{00000002-16F9-4AED-B747-4B4AE2D1AAF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Dashboard!$P$128:$P$157</c:f>
              <c:numCache>
                <c:formatCode>yyyy\-mm\-dd</c:formatCode>
                <c:ptCount val="30"/>
              </c:numCache>
            </c:numRef>
          </c:cat>
          <c:val>
            <c:numRef>
              <c:f>Dashboard!$R$128:$R$157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CF1-4D14-9C76-8F896315A39C}"/>
            </c:ext>
          </c:extLst>
        </c:ser>
        <c:ser>
          <c:idx val="1"/>
          <c:order val="1"/>
          <c:tx>
            <c:v>Must % Resolved</c:v>
          </c:tx>
          <c:spPr>
            <a:ln w="22225" cap="rnd">
              <a:solidFill>
                <a:schemeClr val="accent2"/>
              </a:solidFill>
              <a:round/>
            </a:ln>
            <a:effectLst/>
          </c:spPr>
          <c:marker>
            <c:symbol val="none"/>
          </c:marker>
          <c:cat>
            <c:numRef>
              <c:f>Dashboard!$P$128:$P$157</c:f>
              <c:numCache>
                <c:formatCode>yyyy\-mm\-dd</c:formatCode>
                <c:ptCount val="30"/>
              </c:numCache>
            </c:numRef>
          </c:cat>
          <c:val>
            <c:numRef>
              <c:f>Dashboard!$T$128:$T$157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CF1-4D14-9C76-8F896315A39C}"/>
            </c:ext>
          </c:extLst>
        </c:ser>
        <c:ser>
          <c:idx val="2"/>
          <c:order val="2"/>
          <c:tx>
            <c:v>Should % Resolved</c:v>
          </c:tx>
          <c:spPr>
            <a:ln w="22225" cap="rnd">
              <a:solidFill>
                <a:schemeClr val="accent3"/>
              </a:solidFill>
              <a:round/>
            </a:ln>
            <a:effectLst/>
          </c:spPr>
          <c:marker>
            <c:symbol val="none"/>
          </c:marker>
          <c:cat>
            <c:numRef>
              <c:f>Dashboard!$P$128:$P$157</c:f>
              <c:numCache>
                <c:formatCode>yyyy\-mm\-dd</c:formatCode>
                <c:ptCount val="30"/>
              </c:numCache>
            </c:numRef>
          </c:cat>
          <c:val>
            <c:numRef>
              <c:f>Dashboard!$V$128:$V$157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CF1-4D14-9C76-8F896315A39C}"/>
            </c:ext>
          </c:extLst>
        </c:ser>
        <c:ser>
          <c:idx val="3"/>
          <c:order val="3"/>
          <c:tx>
            <c:v>Could % Resolved</c:v>
          </c:tx>
          <c:spPr>
            <a:ln w="22225" cap="rnd">
              <a:solidFill>
                <a:schemeClr val="accent4"/>
              </a:solidFill>
              <a:round/>
            </a:ln>
            <a:effectLst/>
          </c:spPr>
          <c:marker>
            <c:symbol val="none"/>
          </c:marker>
          <c:cat>
            <c:numRef>
              <c:f>Dashboard!$P$128:$P$157</c:f>
              <c:numCache>
                <c:formatCode>yyyy\-mm\-dd</c:formatCode>
                <c:ptCount val="30"/>
              </c:numCache>
            </c:numRef>
          </c:cat>
          <c:val>
            <c:numRef>
              <c:f>Dashboard!$X$128:$X$157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CF1-4D14-9C76-8F896315A39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Dashboard!$P$170:$P$189</c:f>
              <c:numCache>
                <c:formatCode>yyyy\-mm\-dd</c:formatCode>
                <c:ptCount val="20"/>
              </c:numCache>
            </c:numRef>
          </c:cat>
          <c:val>
            <c:numRef>
              <c:f>Dashboard!$R$170:$R$189</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F2C-4F09-9346-863E1AC2A04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rsli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drjdzm">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1ftwr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83</xdr:row>
      <xdr:rowOff>0</xdr:rowOff>
    </xdr:to>
    <xdr:graphicFrame macro="">
      <xdr:nvGraphicFramePr>
        <xdr:cNvPr id="5" name="Chart3kjtl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86</xdr:row>
      <xdr:rowOff>95250</xdr:rowOff>
    </xdr:from>
    <xdr:to>
      <xdr:col>15</xdr:col>
      <xdr:colOff>28575</xdr:colOff>
      <xdr:row>101</xdr:row>
      <xdr:rowOff>142875</xdr:rowOff>
    </xdr:to>
    <xdr:graphicFrame macro="">
      <xdr:nvGraphicFramePr>
        <xdr:cNvPr id="6" name="Chart2aoqx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123</xdr:row>
      <xdr:rowOff>95250</xdr:rowOff>
    </xdr:from>
    <xdr:to>
      <xdr:col>14</xdr:col>
      <xdr:colOff>0</xdr:colOff>
      <xdr:row>146</xdr:row>
      <xdr:rowOff>38100</xdr:rowOff>
    </xdr:to>
    <xdr:graphicFrame macro="">
      <xdr:nvGraphicFramePr>
        <xdr:cNvPr id="7" name="Chart0bqay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164</xdr:row>
      <xdr:rowOff>95250</xdr:rowOff>
    </xdr:from>
    <xdr:to>
      <xdr:col>14</xdr:col>
      <xdr:colOff>0</xdr:colOff>
      <xdr:row>182</xdr:row>
      <xdr:rowOff>123825</xdr:rowOff>
    </xdr:to>
    <xdr:graphicFrame macro="">
      <xdr:nvGraphicFramePr>
        <xdr:cNvPr id="8" name="Chartmwzzt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41">
  <autoFilter ref="A1:P41"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Licens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ear/blob/v1.8.0/PowerShell/ScubaGear/baselines/exo.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6"/>
  <sheetViews>
    <sheetView showGridLines="0" workbookViewId="0">
      <pane ySplit="3" topLeftCell="A5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224</v>
      </c>
    </row>
    <row r="3" spans="2:3" ht="15" customHeight="1" x14ac:dyDescent="0.35"/>
    <row r="4" spans="2:3" ht="58" x14ac:dyDescent="0.35">
      <c r="B4" s="20" t="s">
        <v>225</v>
      </c>
      <c r="C4" s="21" t="s">
        <v>226</v>
      </c>
    </row>
    <row r="5" spans="2:3" x14ac:dyDescent="0.35">
      <c r="C5" s="21" t="s">
        <v>227</v>
      </c>
    </row>
    <row r="6" spans="2:3" x14ac:dyDescent="0.35">
      <c r="C6" s="18" t="s">
        <v>228</v>
      </c>
    </row>
    <row r="7" spans="2:3" ht="10" customHeight="1" x14ac:dyDescent="0.35"/>
    <row r="8" spans="2:3" ht="232" x14ac:dyDescent="0.35">
      <c r="B8" s="22" t="s">
        <v>229</v>
      </c>
      <c r="C8" s="21" t="s">
        <v>230</v>
      </c>
    </row>
    <row r="9" spans="2:3" ht="10" customHeight="1" x14ac:dyDescent="0.35"/>
    <row r="10" spans="2:3" ht="35" customHeight="1" x14ac:dyDescent="0.35">
      <c r="B10" s="22" t="s">
        <v>231</v>
      </c>
      <c r="C10" s="21" t="s">
        <v>232</v>
      </c>
    </row>
    <row r="11" spans="2:3" ht="75" customHeight="1" x14ac:dyDescent="0.35">
      <c r="B11" s="18" t="s">
        <v>23</v>
      </c>
      <c r="C11" s="21" t="s">
        <v>233</v>
      </c>
    </row>
    <row r="12" spans="2:3" ht="47" customHeight="1" x14ac:dyDescent="0.35">
      <c r="B12" s="18" t="s">
        <v>23</v>
      </c>
      <c r="C12" s="21" t="s">
        <v>234</v>
      </c>
    </row>
    <row r="13" spans="2:3" ht="35" customHeight="1" x14ac:dyDescent="0.35">
      <c r="B13" s="18" t="s">
        <v>23</v>
      </c>
      <c r="C13" s="21" t="s">
        <v>235</v>
      </c>
    </row>
    <row r="14" spans="2:3" ht="32" customHeight="1" x14ac:dyDescent="0.35">
      <c r="B14" s="18" t="s">
        <v>23</v>
      </c>
      <c r="C14" s="21" t="s">
        <v>236</v>
      </c>
    </row>
    <row r="15" spans="2:3" ht="30" customHeight="1" x14ac:dyDescent="0.35">
      <c r="B15" s="18" t="s">
        <v>23</v>
      </c>
      <c r="C15" s="21" t="s">
        <v>237</v>
      </c>
    </row>
    <row r="16" spans="2:3" ht="10" customHeight="1" x14ac:dyDescent="0.35"/>
    <row r="17" spans="1:3" ht="145" customHeight="1" x14ac:dyDescent="0.35">
      <c r="B17" s="22" t="s">
        <v>238</v>
      </c>
      <c r="C17" s="21" t="s">
        <v>239</v>
      </c>
    </row>
    <row r="18" spans="1:3" ht="10" customHeight="1" x14ac:dyDescent="0.35"/>
    <row r="19" spans="1:3" ht="3" customHeight="1" x14ac:dyDescent="0.35">
      <c r="B19" s="23"/>
      <c r="C19" s="23"/>
    </row>
    <row r="20" spans="1:3" ht="12" customHeight="1" x14ac:dyDescent="0.35"/>
    <row r="21" spans="1:3" ht="35" customHeight="1" x14ac:dyDescent="0.35">
      <c r="A21" s="25"/>
      <c r="B21" s="26" t="s">
        <v>240</v>
      </c>
      <c r="C21" s="27" t="s">
        <v>241</v>
      </c>
    </row>
    <row r="22" spans="1:3" ht="18" customHeight="1" x14ac:dyDescent="0.35">
      <c r="A22" s="25"/>
      <c r="B22" s="25" t="s">
        <v>23</v>
      </c>
      <c r="C22" s="27" t="s">
        <v>242</v>
      </c>
    </row>
    <row r="23" spans="1:3" ht="18" customHeight="1" x14ac:dyDescent="0.35">
      <c r="A23" s="25"/>
      <c r="B23" s="25" t="s">
        <v>23</v>
      </c>
      <c r="C23" s="27" t="s">
        <v>243</v>
      </c>
    </row>
    <row r="24" spans="1:3" ht="18" customHeight="1" x14ac:dyDescent="0.35">
      <c r="A24" s="25"/>
      <c r="B24" s="25" t="s">
        <v>23</v>
      </c>
      <c r="C24" s="27" t="s">
        <v>244</v>
      </c>
    </row>
    <row r="25" spans="1:3" ht="18" customHeight="1" x14ac:dyDescent="0.35">
      <c r="A25" s="25"/>
      <c r="B25" s="25" t="s">
        <v>23</v>
      </c>
      <c r="C25" s="27" t="s">
        <v>245</v>
      </c>
    </row>
    <row r="26" spans="1:3" ht="18" customHeight="1" x14ac:dyDescent="0.35">
      <c r="A26" s="25"/>
      <c r="B26" s="25" t="s">
        <v>23</v>
      </c>
      <c r="C26" s="27" t="s">
        <v>246</v>
      </c>
    </row>
    <row r="27" spans="1:3" ht="18" customHeight="1" x14ac:dyDescent="0.35">
      <c r="A27" s="25"/>
      <c r="B27" s="25" t="s">
        <v>23</v>
      </c>
      <c r="C27" s="27" t="s">
        <v>247</v>
      </c>
    </row>
    <row r="28" spans="1:3" ht="18" customHeight="1" x14ac:dyDescent="0.35">
      <c r="A28" s="25"/>
      <c r="B28" s="25" t="s">
        <v>23</v>
      </c>
      <c r="C28" s="27" t="s">
        <v>248</v>
      </c>
    </row>
    <row r="29" spans="1:3" ht="18" customHeight="1" x14ac:dyDescent="0.35">
      <c r="A29" s="25"/>
      <c r="B29" s="25" t="s">
        <v>23</v>
      </c>
      <c r="C29" s="27" t="s">
        <v>249</v>
      </c>
    </row>
    <row r="30" spans="1:3" ht="44" customHeight="1" x14ac:dyDescent="0.35">
      <c r="A30" s="25"/>
      <c r="B30" s="25" t="s">
        <v>23</v>
      </c>
      <c r="C30" s="28" t="s">
        <v>250</v>
      </c>
    </row>
    <row r="31" spans="1:3" ht="10" customHeight="1" x14ac:dyDescent="0.35"/>
    <row r="32" spans="1:3" ht="3" customHeight="1" x14ac:dyDescent="0.35">
      <c r="B32" s="23"/>
      <c r="C32" s="23"/>
    </row>
    <row r="33" spans="2:3" ht="12" customHeight="1" x14ac:dyDescent="0.35"/>
    <row r="34" spans="2:3" ht="24" customHeight="1" x14ac:dyDescent="0.35">
      <c r="B34" s="29" t="s">
        <v>251</v>
      </c>
      <c r="C34" s="30" t="s">
        <v>252</v>
      </c>
    </row>
    <row r="35" spans="2:3" ht="18.5" x14ac:dyDescent="0.35">
      <c r="B35" s="29" t="s">
        <v>253</v>
      </c>
      <c r="C35" s="31" t="s">
        <v>254</v>
      </c>
    </row>
    <row r="36" spans="2:3" ht="27" customHeight="1" x14ac:dyDescent="0.35">
      <c r="B36" s="32" t="s">
        <v>255</v>
      </c>
      <c r="C36" s="24" t="s">
        <v>256</v>
      </c>
    </row>
    <row r="37" spans="2:3" x14ac:dyDescent="0.35">
      <c r="B37" s="29" t="s">
        <v>257</v>
      </c>
      <c r="C37" s="33" t="s">
        <v>258</v>
      </c>
    </row>
    <row r="38" spans="2:3" ht="10" customHeight="1" x14ac:dyDescent="0.35"/>
    <row r="39" spans="2:3" ht="220" customHeight="1" x14ac:dyDescent="0.35">
      <c r="B39" s="29" t="s">
        <v>259</v>
      </c>
      <c r="C39" s="34" t="s">
        <v>260</v>
      </c>
    </row>
    <row r="40" spans="2:3" x14ac:dyDescent="0.35">
      <c r="C40" s="35" t="s">
        <v>261</v>
      </c>
    </row>
    <row r="41" spans="2:3" ht="100" customHeight="1" x14ac:dyDescent="0.35">
      <c r="C41" s="34" t="s">
        <v>262</v>
      </c>
    </row>
    <row r="42" spans="2:3" ht="6" customHeight="1" x14ac:dyDescent="0.35"/>
    <row r="43" spans="2:3" x14ac:dyDescent="0.35">
      <c r="C43" s="35" t="s">
        <v>263</v>
      </c>
    </row>
    <row r="44" spans="2:3" ht="58" x14ac:dyDescent="0.35">
      <c r="C44" s="34" t="s">
        <v>264</v>
      </c>
    </row>
    <row r="45" spans="2:3" ht="6" customHeight="1" x14ac:dyDescent="0.35"/>
    <row r="46" spans="2:3" x14ac:dyDescent="0.35">
      <c r="C46" s="35" t="s">
        <v>265</v>
      </c>
    </row>
    <row r="47" spans="2:3" ht="43.5" x14ac:dyDescent="0.35">
      <c r="C47" s="34" t="s">
        <v>266</v>
      </c>
    </row>
    <row r="49" spans="2:3" ht="10" customHeight="1" x14ac:dyDescent="0.35"/>
    <row r="50" spans="2:3" ht="3" customHeight="1" x14ac:dyDescent="0.35">
      <c r="B50" s="23"/>
      <c r="C50" s="23"/>
    </row>
    <row r="51" spans="2:3" ht="12" customHeight="1" x14ac:dyDescent="0.35"/>
    <row r="52" spans="2:3" ht="130.5" x14ac:dyDescent="0.35">
      <c r="B52" s="20" t="s">
        <v>267</v>
      </c>
      <c r="C52" s="21" t="s">
        <v>268</v>
      </c>
    </row>
    <row r="53" spans="2:3" ht="6" customHeight="1" x14ac:dyDescent="0.35"/>
    <row r="54" spans="2:3" ht="217.5" x14ac:dyDescent="0.35">
      <c r="C54" s="21" t="s">
        <v>269</v>
      </c>
    </row>
    <row r="55" spans="2:3" ht="6" customHeight="1" x14ac:dyDescent="0.35"/>
    <row r="56" spans="2:3" ht="43.5" x14ac:dyDescent="0.35">
      <c r="C56" s="21" t="s">
        <v>270</v>
      </c>
    </row>
    <row r="57" spans="2:3" ht="10" customHeight="1" x14ac:dyDescent="0.35"/>
    <row r="58" spans="2:3" ht="3" customHeight="1" x14ac:dyDescent="0.35">
      <c r="B58" s="23"/>
      <c r="C58" s="23"/>
    </row>
    <row r="59" spans="2:3" ht="12" customHeight="1" x14ac:dyDescent="0.35"/>
    <row r="60" spans="2:3" ht="145" x14ac:dyDescent="0.35">
      <c r="B60" s="20" t="s">
        <v>271</v>
      </c>
      <c r="C60" s="21" t="s">
        <v>272</v>
      </c>
    </row>
    <row r="61" spans="2:3" ht="6" customHeight="1" x14ac:dyDescent="0.35"/>
    <row r="62" spans="2:3" ht="203" x14ac:dyDescent="0.35">
      <c r="C62" s="21" t="s">
        <v>273</v>
      </c>
    </row>
    <row r="63" spans="2:3" ht="6" customHeight="1" x14ac:dyDescent="0.35"/>
    <row r="64" spans="2:3" ht="43.5" x14ac:dyDescent="0.35">
      <c r="C64" s="21" t="s">
        <v>274</v>
      </c>
    </row>
    <row r="65" spans="2:3" ht="10" customHeight="1" x14ac:dyDescent="0.35"/>
    <row r="66" spans="2:3" ht="3" customHeight="1" x14ac:dyDescent="0.35">
      <c r="B66" s="23"/>
      <c r="C66" s="23"/>
    </row>
    <row r="67" spans="2:3" ht="12" customHeight="1" x14ac:dyDescent="0.35"/>
    <row r="68" spans="2:3" ht="101.5" x14ac:dyDescent="0.35">
      <c r="B68" s="20" t="s">
        <v>275</v>
      </c>
      <c r="C68" s="21" t="s">
        <v>276</v>
      </c>
    </row>
    <row r="69" spans="2:3" ht="6" customHeight="1" x14ac:dyDescent="0.35"/>
    <row r="70" spans="2:3" ht="145" x14ac:dyDescent="0.35">
      <c r="C70" s="21" t="s">
        <v>277</v>
      </c>
    </row>
    <row r="71" spans="2:3" ht="6" customHeight="1" x14ac:dyDescent="0.35"/>
    <row r="72" spans="2:3" ht="43.5" x14ac:dyDescent="0.35">
      <c r="C72" s="21" t="s">
        <v>278</v>
      </c>
    </row>
    <row r="76" spans="2:3" ht="32" customHeight="1" x14ac:dyDescent="0.35">
      <c r="B76" s="78" t="s">
        <v>223</v>
      </c>
      <c r="C76" s="78"/>
    </row>
  </sheetData>
  <sheetProtection password="90EA" sheet="1"/>
  <mergeCells count="1">
    <mergeCell ref="B76:C76"/>
  </mergeCells>
  <hyperlinks>
    <hyperlink ref="C5" r:id="rId1" xr:uid="{00000000-0004-0000-0000-000000000000}"/>
    <hyperlink ref="C6" r:id="rId2" xr:uid="{00000000-0004-0000-0000-000001000000}"/>
    <hyperlink ref="C37" r:id="rId3" xr:uid="{00000000-0004-0000-0000-000002000000}"/>
    <hyperlink ref="B76"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3"/>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93" t="s">
        <v>279</v>
      </c>
      <c r="C2" s="87"/>
      <c r="D2" s="87"/>
      <c r="E2" s="87"/>
      <c r="F2" s="87"/>
      <c r="G2" s="87"/>
      <c r="H2" s="87"/>
      <c r="I2" s="87"/>
    </row>
    <row r="4" spans="2:15" ht="18.5" x14ac:dyDescent="0.45">
      <c r="B4" s="37" t="s">
        <v>280</v>
      </c>
    </row>
    <row r="5" spans="2:15" x14ac:dyDescent="0.35">
      <c r="B5" s="39" t="s">
        <v>23</v>
      </c>
      <c r="C5" s="39" t="s">
        <v>281</v>
      </c>
      <c r="D5" s="39" t="s">
        <v>282</v>
      </c>
      <c r="F5" s="91" t="s">
        <v>283</v>
      </c>
      <c r="G5" s="91"/>
      <c r="H5" s="91"/>
      <c r="I5" s="94" t="s">
        <v>284</v>
      </c>
      <c r="J5" s="94"/>
      <c r="K5" s="94"/>
      <c r="L5" s="94"/>
      <c r="M5" s="94"/>
      <c r="N5" s="94"/>
      <c r="O5" s="94"/>
    </row>
    <row r="6" spans="2:15" x14ac:dyDescent="0.35">
      <c r="B6" s="45" t="s">
        <v>285</v>
      </c>
      <c r="C6" s="46">
        <v>40</v>
      </c>
      <c r="D6" s="47" t="s">
        <v>23</v>
      </c>
      <c r="F6" s="91" t="s">
        <v>286</v>
      </c>
      <c r="G6" s="91"/>
      <c r="H6" s="91"/>
      <c r="I6" s="92" t="s">
        <v>287</v>
      </c>
      <c r="J6" s="92"/>
      <c r="K6" s="92"/>
      <c r="L6" s="92"/>
      <c r="M6" s="92"/>
      <c r="N6" s="92"/>
      <c r="O6" s="92"/>
    </row>
    <row r="7" spans="2:15" x14ac:dyDescent="0.35">
      <c r="B7" s="48" t="s">
        <v>288</v>
      </c>
      <c r="C7" s="49">
        <f>C6-C8-C9</f>
        <v>40</v>
      </c>
      <c r="D7" s="50">
        <f>IF(C6&gt;0,C7/C6,0)</f>
        <v>1</v>
      </c>
      <c r="F7" s="91" t="s">
        <v>289</v>
      </c>
      <c r="G7" s="91"/>
      <c r="H7" s="91"/>
      <c r="I7" s="92" t="s">
        <v>287</v>
      </c>
      <c r="J7" s="92"/>
      <c r="K7" s="92"/>
      <c r="L7" s="92"/>
      <c r="M7" s="92"/>
      <c r="N7" s="92"/>
      <c r="O7" s="92"/>
    </row>
    <row r="8" spans="2:15" x14ac:dyDescent="0.35">
      <c r="B8" s="41" t="s">
        <v>290</v>
      </c>
      <c r="C8" s="42">
        <f>COUNTIF('Recommendations'!H:H,"Risk Accepted")</f>
        <v>0</v>
      </c>
      <c r="D8" s="43">
        <f>IF(C6&gt;0,C8/C6,0)</f>
        <v>0</v>
      </c>
      <c r="F8" s="91" t="s">
        <v>291</v>
      </c>
      <c r="G8" s="91"/>
      <c r="H8" s="91"/>
      <c r="I8" s="92" t="s">
        <v>287</v>
      </c>
      <c r="J8" s="92"/>
      <c r="K8" s="92"/>
      <c r="L8" s="92"/>
      <c r="M8" s="92"/>
      <c r="N8" s="92"/>
      <c r="O8" s="92"/>
    </row>
    <row r="9" spans="2:15" x14ac:dyDescent="0.35">
      <c r="B9" s="41" t="s">
        <v>292</v>
      </c>
      <c r="C9" s="42">
        <f>COUNTIF('Recommendations'!H:H,"N/A")</f>
        <v>0</v>
      </c>
      <c r="D9" s="43">
        <f>IF(C6&gt;0,C9/C6,0)</f>
        <v>0</v>
      </c>
      <c r="F9" s="91" t="s">
        <v>293</v>
      </c>
      <c r="G9" s="91"/>
      <c r="H9" s="91"/>
      <c r="I9" s="92" t="s">
        <v>287</v>
      </c>
      <c r="J9" s="92"/>
      <c r="K9" s="92"/>
      <c r="L9" s="92"/>
      <c r="M9" s="92"/>
      <c r="N9" s="92"/>
      <c r="O9" s="92"/>
    </row>
    <row r="12" spans="2:15" ht="18.5" x14ac:dyDescent="0.45">
      <c r="B12" s="37" t="s">
        <v>294</v>
      </c>
    </row>
    <row r="14" spans="2:15" x14ac:dyDescent="0.35">
      <c r="B14" s="51" t="s">
        <v>295</v>
      </c>
    </row>
    <row r="15" spans="2:15" x14ac:dyDescent="0.35">
      <c r="B15" s="39" t="s">
        <v>23</v>
      </c>
      <c r="C15" s="39" t="s">
        <v>296</v>
      </c>
      <c r="D15" s="39" t="s">
        <v>297</v>
      </c>
      <c r="E15" s="39" t="s">
        <v>298</v>
      </c>
      <c r="F15" s="39" t="s">
        <v>299</v>
      </c>
    </row>
    <row r="16" spans="2:15" x14ac:dyDescent="0.35">
      <c r="B16" s="41" t="s">
        <v>300</v>
      </c>
      <c r="C16" s="42">
        <f>COUNTIF('Recommendations'!O:O,"Resolved")</f>
        <v>0</v>
      </c>
      <c r="D16" s="42">
        <f>COUNTIF('Recommendations'!O:O,"Testing")</f>
        <v>0</v>
      </c>
      <c r="E16" s="42">
        <f>COUNTIF('Recommendations'!O:O,"Outstanding")</f>
        <v>40</v>
      </c>
      <c r="F16" s="42">
        <f>SUM(C16:E16)</f>
        <v>40</v>
      </c>
    </row>
    <row r="18" spans="2:6" x14ac:dyDescent="0.35">
      <c r="B18" s="51" t="s">
        <v>301</v>
      </c>
    </row>
    <row r="19" spans="2:6" x14ac:dyDescent="0.35">
      <c r="B19" s="52" t="s">
        <v>23</v>
      </c>
      <c r="C19" s="52" t="s">
        <v>296</v>
      </c>
      <c r="D19" s="52" t="s">
        <v>297</v>
      </c>
      <c r="E19" s="52" t="s">
        <v>298</v>
      </c>
      <c r="F19" s="52" t="s">
        <v>23</v>
      </c>
    </row>
    <row r="20" spans="2:6" x14ac:dyDescent="0.35">
      <c r="B20" s="41" t="s">
        <v>300</v>
      </c>
      <c r="C20" s="43">
        <f>IF(F16&gt;0, C16/F16, 0)</f>
        <v>0</v>
      </c>
      <c r="D20" s="43">
        <f>IF(F16&gt;0, D16/F16, 0)</f>
        <v>0</v>
      </c>
      <c r="E20" s="43">
        <f>IF(F16&gt;0, E16/F16, 0)</f>
        <v>1</v>
      </c>
      <c r="F20" s="44" t="s">
        <v>23</v>
      </c>
    </row>
    <row r="25" spans="2:6" ht="18.5" x14ac:dyDescent="0.45">
      <c r="B25" s="37" t="s">
        <v>302</v>
      </c>
    </row>
    <row r="27" spans="2:6" x14ac:dyDescent="0.35">
      <c r="B27" s="51" t="s">
        <v>295</v>
      </c>
    </row>
    <row r="28" spans="2:6" x14ac:dyDescent="0.35">
      <c r="B28" s="39" t="s">
        <v>3</v>
      </c>
      <c r="C28" s="39" t="s">
        <v>296</v>
      </c>
      <c r="D28" s="39" t="s">
        <v>297</v>
      </c>
      <c r="E28" s="39" t="s">
        <v>298</v>
      </c>
      <c r="F28" s="39" t="s">
        <v>299</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21</v>
      </c>
      <c r="F29" s="42">
        <f>SUM(C29:E29)</f>
        <v>21</v>
      </c>
    </row>
    <row r="30" spans="2:6" x14ac:dyDescent="0.35">
      <c r="B30" s="41" t="s">
        <v>72</v>
      </c>
      <c r="C30" s="42">
        <f>COUNTIFS('Recommendations'!D:D,"SHALL NOT",'Recommendations'!O:O,"=Resolved")</f>
        <v>0</v>
      </c>
      <c r="D30" s="42">
        <f>COUNTIFS('Recommendations'!D:D,"=SHALL NOT",'Recommendations'!O:O,"=Testing")</f>
        <v>0</v>
      </c>
      <c r="E30" s="42">
        <f>COUNTIFS('Recommendations'!D:D,"=SHALL NOT",'Recommendations'!O:O,"=Outstanding")</f>
        <v>3</v>
      </c>
      <c r="F30" s="42">
        <f>SUM(C30:E30)</f>
        <v>3</v>
      </c>
    </row>
    <row r="31" spans="2:6" x14ac:dyDescent="0.35">
      <c r="B31" s="41" t="s">
        <v>39</v>
      </c>
      <c r="C31" s="42">
        <f>COUNTIFS('Recommendations'!D:D,"SHOULD",'Recommendations'!O:O,"=Resolved")</f>
        <v>0</v>
      </c>
      <c r="D31" s="42">
        <f>COUNTIFS('Recommendations'!D:D,"=SHOULD",'Recommendations'!O:O,"=Testing")</f>
        <v>0</v>
      </c>
      <c r="E31" s="42">
        <f>COUNTIFS('Recommendations'!D:D,"=SHOULD",'Recommendations'!O:O,"=Outstanding")</f>
        <v>14</v>
      </c>
      <c r="F31" s="42">
        <f>SUM(C31:E31)</f>
        <v>14</v>
      </c>
    </row>
    <row r="32" spans="2:6" x14ac:dyDescent="0.35">
      <c r="B32" s="41" t="s">
        <v>154</v>
      </c>
      <c r="C32" s="42">
        <f>COUNTIFS('Recommendations'!D:D,"SHOULD NOT",'Recommendations'!O:O,"=Resolved")</f>
        <v>0</v>
      </c>
      <c r="D32" s="42">
        <f>COUNTIFS('Recommendations'!D:D,"=SHOULD NOT",'Recommendations'!O:O,"=Testing")</f>
        <v>0</v>
      </c>
      <c r="E32" s="42">
        <f>COUNTIFS('Recommendations'!D:D,"=SHOULD NOT",'Recommendations'!O:O,"=Outstanding")</f>
        <v>2</v>
      </c>
      <c r="F32" s="42">
        <f>SUM(C32:E32)</f>
        <v>2</v>
      </c>
    </row>
    <row r="34" spans="2:6" x14ac:dyDescent="0.35">
      <c r="B34" s="51" t="s">
        <v>301</v>
      </c>
    </row>
    <row r="35" spans="2:6" x14ac:dyDescent="0.35">
      <c r="B35" s="52" t="s">
        <v>3</v>
      </c>
      <c r="C35" s="52" t="s">
        <v>296</v>
      </c>
      <c r="D35" s="52" t="s">
        <v>297</v>
      </c>
      <c r="E35" s="52" t="s">
        <v>298</v>
      </c>
      <c r="F35" s="52" t="s">
        <v>23</v>
      </c>
    </row>
    <row r="36" spans="2:6" x14ac:dyDescent="0.35">
      <c r="B36" s="41" t="s">
        <v>19</v>
      </c>
      <c r="C36" s="43">
        <f>IF(F29&gt;0, C29/F29, 0)</f>
        <v>0</v>
      </c>
      <c r="D36" s="43">
        <f>IF(F29&gt;0, D29/F29, 0)</f>
        <v>0</v>
      </c>
      <c r="E36" s="43">
        <f>IF(F29&gt;0, E29/F29, 0)</f>
        <v>1</v>
      </c>
      <c r="F36" s="44" t="s">
        <v>23</v>
      </c>
    </row>
    <row r="37" spans="2:6" x14ac:dyDescent="0.35">
      <c r="B37" s="41" t="s">
        <v>72</v>
      </c>
      <c r="C37" s="43">
        <f>IF(F30&gt;0, C30/F30, 0)</f>
        <v>0</v>
      </c>
      <c r="D37" s="43">
        <f>IF(F30&gt;0, D30/F30, 0)</f>
        <v>0</v>
      </c>
      <c r="E37" s="43">
        <f>IF(F30&gt;0, E30/F30, 0)</f>
        <v>1</v>
      </c>
      <c r="F37" s="44" t="s">
        <v>23</v>
      </c>
    </row>
    <row r="38" spans="2:6" x14ac:dyDescent="0.35">
      <c r="B38" s="41" t="s">
        <v>39</v>
      </c>
      <c r="C38" s="43">
        <f>IF(F31&gt;0, C31/F31, 0)</f>
        <v>0</v>
      </c>
      <c r="D38" s="43">
        <f>IF(F31&gt;0, D31/F31, 0)</f>
        <v>0</v>
      </c>
      <c r="E38" s="43">
        <f>IF(F31&gt;0, E31/F31, 0)</f>
        <v>1</v>
      </c>
      <c r="F38" s="44" t="s">
        <v>23</v>
      </c>
    </row>
    <row r="39" spans="2:6" x14ac:dyDescent="0.35">
      <c r="B39" s="41" t="s">
        <v>154</v>
      </c>
      <c r="C39" s="43">
        <f>IF(F32&gt;0, C32/F32, 0)</f>
        <v>0</v>
      </c>
      <c r="D39" s="43">
        <f>IF(F32&gt;0, D32/F32, 0)</f>
        <v>0</v>
      </c>
      <c r="E39" s="43">
        <f>IF(F32&gt;0, E32/F32, 0)</f>
        <v>1</v>
      </c>
      <c r="F39" s="44" t="s">
        <v>23</v>
      </c>
    </row>
    <row r="44" spans="2:6" ht="18.5" x14ac:dyDescent="0.45">
      <c r="B44" s="37" t="s">
        <v>303</v>
      </c>
    </row>
    <row r="46" spans="2:6" x14ac:dyDescent="0.35">
      <c r="B46" s="51" t="s">
        <v>295</v>
      </c>
    </row>
    <row r="47" spans="2:6" x14ac:dyDescent="0.35">
      <c r="B47" s="39" t="s">
        <v>6</v>
      </c>
      <c r="C47" s="39" t="s">
        <v>296</v>
      </c>
      <c r="D47" s="39" t="s">
        <v>297</v>
      </c>
      <c r="E47" s="39" t="s">
        <v>298</v>
      </c>
      <c r="F47" s="39" t="s">
        <v>299</v>
      </c>
    </row>
    <row r="48" spans="2:6" x14ac:dyDescent="0.35">
      <c r="B48" s="41" t="s">
        <v>304</v>
      </c>
      <c r="C48" s="42">
        <f>COUNTIFS('Recommendations'!G:G,"Phase1",'Recommendations'!O:O,"=Resolved")</f>
        <v>0</v>
      </c>
      <c r="D48" s="42">
        <f>COUNTIFS('Recommendations'!G:G,"=Phase1",'Recommendations'!O:O,"=Testing")</f>
        <v>0</v>
      </c>
      <c r="E48" s="42">
        <f>COUNTIFS('Recommendations'!G:G,"=Phase1",'Recommendations'!O:O,"=Outstanding")</f>
        <v>0</v>
      </c>
      <c r="F48" s="42">
        <f t="shared" ref="F48:F53" si="0">SUM(C48:E48)</f>
        <v>0</v>
      </c>
    </row>
    <row r="49" spans="2:6" x14ac:dyDescent="0.35">
      <c r="B49" s="41" t="s">
        <v>305</v>
      </c>
      <c r="C49" s="42">
        <f>COUNTIFS('Recommendations'!G:G,"Phase2",'Recommendations'!O:O,"=Resolved")</f>
        <v>0</v>
      </c>
      <c r="D49" s="42">
        <f>COUNTIFS('Recommendations'!G:G,"=Phase2",'Recommendations'!O:O,"=Testing")</f>
        <v>0</v>
      </c>
      <c r="E49" s="42">
        <f>COUNTIFS('Recommendations'!G:G,"=Phase2",'Recommendations'!O:O,"=Outstanding")</f>
        <v>0</v>
      </c>
      <c r="F49" s="42">
        <f t="shared" si="0"/>
        <v>0</v>
      </c>
    </row>
    <row r="50" spans="2:6" x14ac:dyDescent="0.35">
      <c r="B50" s="41" t="s">
        <v>306</v>
      </c>
      <c r="C50" s="42">
        <f>COUNTIFS('Recommendations'!G:G,"Phase3",'Recommendations'!O:O,"=Resolved")</f>
        <v>0</v>
      </c>
      <c r="D50" s="42">
        <f>COUNTIFS('Recommendations'!G:G,"=Phase3",'Recommendations'!O:O,"=Testing")</f>
        <v>0</v>
      </c>
      <c r="E50" s="42">
        <f>COUNTIFS('Recommendations'!G:G,"=Phase3",'Recommendations'!O:O,"=Outstanding")</f>
        <v>0</v>
      </c>
      <c r="F50" s="42">
        <f t="shared" si="0"/>
        <v>0</v>
      </c>
    </row>
    <row r="51" spans="2:6" x14ac:dyDescent="0.35">
      <c r="B51" s="41" t="s">
        <v>307</v>
      </c>
      <c r="C51" s="42">
        <f>COUNTIFS('Recommendations'!G:G,"Phase4",'Recommendations'!O:O,"=Resolved")</f>
        <v>0</v>
      </c>
      <c r="D51" s="42">
        <f>COUNTIFS('Recommendations'!G:G,"=Phase4",'Recommendations'!O:O,"=Testing")</f>
        <v>0</v>
      </c>
      <c r="E51" s="42">
        <f>COUNTIFS('Recommendations'!G:G,"=Phase4",'Recommendations'!O:O,"=Outstanding")</f>
        <v>0</v>
      </c>
      <c r="F51" s="42">
        <f t="shared" si="0"/>
        <v>0</v>
      </c>
    </row>
    <row r="52" spans="2:6" x14ac:dyDescent="0.35">
      <c r="B52" s="41" t="s">
        <v>308</v>
      </c>
      <c r="C52" s="42">
        <f>COUNTIFS('Recommendations'!G:G,"Phase5",'Recommendations'!O:O,"=Resolved")</f>
        <v>0</v>
      </c>
      <c r="D52" s="42">
        <f>COUNTIFS('Recommendations'!G:G,"=Phase5",'Recommendations'!O:O,"=Testing")</f>
        <v>0</v>
      </c>
      <c r="E52" s="42">
        <f>COUNTIFS('Recommendations'!G:G,"=Phase5",'Recommendations'!O:O,"=Outstanding")</f>
        <v>0</v>
      </c>
      <c r="F52" s="42">
        <f t="shared" si="0"/>
        <v>0</v>
      </c>
    </row>
    <row r="53" spans="2:6" x14ac:dyDescent="0.35">
      <c r="B53" s="41" t="s">
        <v>22</v>
      </c>
      <c r="C53" s="42">
        <f>COUNTIFS('Recommendations'!G:G,"Pending",'Recommendations'!O:O,"=Resolved")</f>
        <v>0</v>
      </c>
      <c r="D53" s="42">
        <f>COUNTIFS('Recommendations'!G:G,"=Pending",'Recommendations'!O:O,"=Testing")</f>
        <v>0</v>
      </c>
      <c r="E53" s="42">
        <f>COUNTIFS('Recommendations'!G:G,"=Pending",'Recommendations'!O:O,"=Outstanding")</f>
        <v>40</v>
      </c>
      <c r="F53" s="42">
        <f t="shared" si="0"/>
        <v>40</v>
      </c>
    </row>
    <row r="55" spans="2:6" x14ac:dyDescent="0.35">
      <c r="B55" s="51" t="s">
        <v>301</v>
      </c>
    </row>
    <row r="56" spans="2:6" x14ac:dyDescent="0.35">
      <c r="B56" s="52" t="s">
        <v>6</v>
      </c>
      <c r="C56" s="52" t="s">
        <v>296</v>
      </c>
      <c r="D56" s="52" t="s">
        <v>297</v>
      </c>
      <c r="E56" s="52" t="s">
        <v>298</v>
      </c>
      <c r="F56" s="52" t="s">
        <v>23</v>
      </c>
    </row>
    <row r="57" spans="2:6" x14ac:dyDescent="0.35">
      <c r="B57" s="41" t="s">
        <v>304</v>
      </c>
      <c r="C57" s="43">
        <f t="shared" ref="C57:C62" si="1">IF(F48&gt;0, C48/F48, 0)</f>
        <v>0</v>
      </c>
      <c r="D57" s="43">
        <f t="shared" ref="D57:D62" si="2">IF(F48&gt;0, D48/F48, 0)</f>
        <v>0</v>
      </c>
      <c r="E57" s="43">
        <f t="shared" ref="E57:E62" si="3">IF(F48&gt;0, E48/F48, 0)</f>
        <v>0</v>
      </c>
      <c r="F57" s="44" t="s">
        <v>23</v>
      </c>
    </row>
    <row r="58" spans="2:6" x14ac:dyDescent="0.35">
      <c r="B58" s="41" t="s">
        <v>305</v>
      </c>
      <c r="C58" s="43">
        <f t="shared" si="1"/>
        <v>0</v>
      </c>
      <c r="D58" s="43">
        <f t="shared" si="2"/>
        <v>0</v>
      </c>
      <c r="E58" s="43">
        <f t="shared" si="3"/>
        <v>0</v>
      </c>
      <c r="F58" s="44" t="s">
        <v>23</v>
      </c>
    </row>
    <row r="59" spans="2:6" x14ac:dyDescent="0.35">
      <c r="B59" s="41" t="s">
        <v>306</v>
      </c>
      <c r="C59" s="43">
        <f t="shared" si="1"/>
        <v>0</v>
      </c>
      <c r="D59" s="43">
        <f t="shared" si="2"/>
        <v>0</v>
      </c>
      <c r="E59" s="43">
        <f t="shared" si="3"/>
        <v>0</v>
      </c>
      <c r="F59" s="44" t="s">
        <v>23</v>
      </c>
    </row>
    <row r="60" spans="2:6" x14ac:dyDescent="0.35">
      <c r="B60" s="41" t="s">
        <v>307</v>
      </c>
      <c r="C60" s="43">
        <f t="shared" si="1"/>
        <v>0</v>
      </c>
      <c r="D60" s="43">
        <f t="shared" si="2"/>
        <v>0</v>
      </c>
      <c r="E60" s="43">
        <f t="shared" si="3"/>
        <v>0</v>
      </c>
      <c r="F60" s="44" t="s">
        <v>23</v>
      </c>
    </row>
    <row r="61" spans="2:6" x14ac:dyDescent="0.35">
      <c r="B61" s="41" t="s">
        <v>308</v>
      </c>
      <c r="C61" s="43">
        <f t="shared" si="1"/>
        <v>0</v>
      </c>
      <c r="D61" s="43">
        <f t="shared" si="2"/>
        <v>0</v>
      </c>
      <c r="E61" s="43">
        <f t="shared" si="3"/>
        <v>0</v>
      </c>
      <c r="F61" s="44" t="s">
        <v>23</v>
      </c>
    </row>
    <row r="62" spans="2:6" x14ac:dyDescent="0.35">
      <c r="B62" s="41" t="s">
        <v>22</v>
      </c>
      <c r="C62" s="43">
        <f t="shared" si="1"/>
        <v>0</v>
      </c>
      <c r="D62" s="43">
        <f t="shared" si="2"/>
        <v>0</v>
      </c>
      <c r="E62" s="43">
        <f t="shared" si="3"/>
        <v>1</v>
      </c>
      <c r="F62" s="44" t="s">
        <v>23</v>
      </c>
    </row>
    <row r="67" spans="2:6" ht="18.5" x14ac:dyDescent="0.45">
      <c r="B67" s="37" t="s">
        <v>309</v>
      </c>
    </row>
    <row r="69" spans="2:6" x14ac:dyDescent="0.35">
      <c r="B69" s="51" t="s">
        <v>295</v>
      </c>
    </row>
    <row r="70" spans="2:6" x14ac:dyDescent="0.35">
      <c r="B70" s="39" t="s">
        <v>4</v>
      </c>
      <c r="C70" s="39" t="s">
        <v>296</v>
      </c>
      <c r="D70" s="39" t="s">
        <v>297</v>
      </c>
      <c r="E70" s="39" t="s">
        <v>298</v>
      </c>
      <c r="F70" s="39" t="s">
        <v>299</v>
      </c>
    </row>
    <row r="71" spans="2:6" x14ac:dyDescent="0.35">
      <c r="B71" s="41" t="s">
        <v>310</v>
      </c>
      <c r="C71" s="42">
        <f>COUNTIFS('Recommendations'!E:E,"Must",'Recommendations'!O:O,"=Resolved")</f>
        <v>0</v>
      </c>
      <c r="D71" s="42">
        <f>COUNTIFS('Recommendations'!E:E,"=Must",'Recommendations'!O:O,"=Testing")</f>
        <v>0</v>
      </c>
      <c r="E71" s="42">
        <f>COUNTIFS('Recommendations'!E:E,"=Must",'Recommendations'!O:O,"=Outstanding")</f>
        <v>0</v>
      </c>
      <c r="F71" s="42">
        <f>SUM(C71:E71)</f>
        <v>0</v>
      </c>
    </row>
    <row r="72" spans="2:6" x14ac:dyDescent="0.35">
      <c r="B72" s="41" t="s">
        <v>311</v>
      </c>
      <c r="C72" s="42">
        <f>COUNTIFS('Recommendations'!E:E,"Should",'Recommendations'!O:O,"=Resolved")</f>
        <v>0</v>
      </c>
      <c r="D72" s="42">
        <f>COUNTIFS('Recommendations'!E:E,"=Should",'Recommendations'!O:O,"=Testing")</f>
        <v>0</v>
      </c>
      <c r="E72" s="42">
        <f>COUNTIFS('Recommendations'!E:E,"=Should",'Recommendations'!O:O,"=Outstanding")</f>
        <v>0</v>
      </c>
      <c r="F72" s="42">
        <f>SUM(C72:E72)</f>
        <v>0</v>
      </c>
    </row>
    <row r="73" spans="2:6" x14ac:dyDescent="0.35">
      <c r="B73" s="41" t="s">
        <v>312</v>
      </c>
      <c r="C73" s="42">
        <f>COUNTIFS('Recommendations'!E:E,"Could",'Recommendations'!O:O,"=Resolved")</f>
        <v>0</v>
      </c>
      <c r="D73" s="42">
        <f>COUNTIFS('Recommendations'!E:E,"=Could",'Recommendations'!O:O,"=Testing")</f>
        <v>0</v>
      </c>
      <c r="E73" s="42">
        <f>COUNTIFS('Recommendations'!E:E,"=Could",'Recommendations'!O:O,"=Outstanding")</f>
        <v>0</v>
      </c>
      <c r="F73" s="42">
        <f>SUM(C73:E73)</f>
        <v>0</v>
      </c>
    </row>
    <row r="74" spans="2:6" x14ac:dyDescent="0.35">
      <c r="B74" s="41" t="s">
        <v>313</v>
      </c>
      <c r="C74" s="42">
        <f>COUNTIFS('Recommendations'!E:E,"Won't",'Recommendations'!O:O,"=Resolved")</f>
        <v>0</v>
      </c>
      <c r="D74" s="42">
        <f>COUNTIFS('Recommendations'!E:E,"=Won't",'Recommendations'!O:O,"=Testing")</f>
        <v>0</v>
      </c>
      <c r="E74" s="42">
        <f>COUNTIFS('Recommendations'!E:E,"=Won't",'Recommendations'!O:O,"=Outstanding")</f>
        <v>0</v>
      </c>
      <c r="F74" s="42">
        <f>SUM(C74:E74)</f>
        <v>0</v>
      </c>
    </row>
    <row r="75" spans="2:6" x14ac:dyDescent="0.35">
      <c r="B75" s="41" t="s">
        <v>20</v>
      </c>
      <c r="C75" s="42">
        <f>COUNTIFS('Recommendations'!E:E,"Unassigned",'Recommendations'!O:O,"=Resolved")</f>
        <v>0</v>
      </c>
      <c r="D75" s="42">
        <f>COUNTIFS('Recommendations'!E:E,"=Unassigned",'Recommendations'!O:O,"=Testing")</f>
        <v>0</v>
      </c>
      <c r="E75" s="42">
        <f>COUNTIFS('Recommendations'!E:E,"=Unassigned",'Recommendations'!O:O,"=Outstanding")</f>
        <v>40</v>
      </c>
      <c r="F75" s="42">
        <f>SUM(C75:E75)</f>
        <v>40</v>
      </c>
    </row>
    <row r="77" spans="2:6" x14ac:dyDescent="0.35">
      <c r="B77" s="51" t="s">
        <v>301</v>
      </c>
    </row>
    <row r="78" spans="2:6" x14ac:dyDescent="0.35">
      <c r="B78" s="52" t="s">
        <v>4</v>
      </c>
      <c r="C78" s="52" t="s">
        <v>296</v>
      </c>
      <c r="D78" s="52" t="s">
        <v>297</v>
      </c>
      <c r="E78" s="52" t="s">
        <v>298</v>
      </c>
      <c r="F78" s="52" t="s">
        <v>23</v>
      </c>
    </row>
    <row r="79" spans="2:6" x14ac:dyDescent="0.35">
      <c r="B79" s="41" t="s">
        <v>310</v>
      </c>
      <c r="C79" s="43">
        <f>IF(F71&gt;0, C71/F71, 0)</f>
        <v>0</v>
      </c>
      <c r="D79" s="43">
        <f>IF(F71&gt;0, D71/F71, 0)</f>
        <v>0</v>
      </c>
      <c r="E79" s="43">
        <f>IF(F71&gt;0, E71/F71, 0)</f>
        <v>0</v>
      </c>
      <c r="F79" s="44" t="s">
        <v>23</v>
      </c>
    </row>
    <row r="80" spans="2:6" x14ac:dyDescent="0.35">
      <c r="B80" s="41" t="s">
        <v>311</v>
      </c>
      <c r="C80" s="43">
        <f>IF(F72&gt;0, C72/F72, 0)</f>
        <v>0</v>
      </c>
      <c r="D80" s="43">
        <f>IF(F72&gt;0, D72/F72, 0)</f>
        <v>0</v>
      </c>
      <c r="E80" s="43">
        <f>IF(F72&gt;0, E72/F72, 0)</f>
        <v>0</v>
      </c>
      <c r="F80" s="44" t="s">
        <v>23</v>
      </c>
    </row>
    <row r="81" spans="2:6" x14ac:dyDescent="0.35">
      <c r="B81" s="41" t="s">
        <v>312</v>
      </c>
      <c r="C81" s="43">
        <f>IF(F73&gt;0, C73/F73, 0)</f>
        <v>0</v>
      </c>
      <c r="D81" s="43">
        <f>IF(F73&gt;0, D73/F73, 0)</f>
        <v>0</v>
      </c>
      <c r="E81" s="43">
        <f>IF(F73&gt;0, E73/F73, 0)</f>
        <v>0</v>
      </c>
      <c r="F81" s="44" t="s">
        <v>23</v>
      </c>
    </row>
    <row r="82" spans="2:6" x14ac:dyDescent="0.35">
      <c r="B82" s="41" t="s">
        <v>313</v>
      </c>
      <c r="C82" s="43">
        <f>IF(F74&gt;0, C74/F74, 0)</f>
        <v>0</v>
      </c>
      <c r="D82" s="43">
        <f>IF(F74&gt;0, D74/F74, 0)</f>
        <v>0</v>
      </c>
      <c r="E82" s="43">
        <f>IF(F74&gt;0, E74/F74, 0)</f>
        <v>0</v>
      </c>
      <c r="F82" s="44" t="s">
        <v>23</v>
      </c>
    </row>
    <row r="83" spans="2:6" x14ac:dyDescent="0.35">
      <c r="B83" s="41" t="s">
        <v>20</v>
      </c>
      <c r="C83" s="43">
        <f>IF(F75&gt;0, C75/F75, 0)</f>
        <v>0</v>
      </c>
      <c r="D83" s="43">
        <f>IF(F75&gt;0, D75/F75, 0)</f>
        <v>0</v>
      </c>
      <c r="E83" s="43">
        <f>IF(F75&gt;0, E75/F75, 0)</f>
        <v>1</v>
      </c>
      <c r="F83" s="44" t="s">
        <v>23</v>
      </c>
    </row>
    <row r="88" spans="2:6" ht="18.5" x14ac:dyDescent="0.45">
      <c r="B88" s="37" t="s">
        <v>314</v>
      </c>
    </row>
    <row r="90" spans="2:6" x14ac:dyDescent="0.35">
      <c r="B90" s="51" t="s">
        <v>295</v>
      </c>
    </row>
    <row r="91" spans="2:6" x14ac:dyDescent="0.35">
      <c r="B91" s="39" t="s">
        <v>315</v>
      </c>
      <c r="C91" s="39" t="s">
        <v>296</v>
      </c>
      <c r="D91" s="39" t="s">
        <v>297</v>
      </c>
      <c r="E91" s="39" t="s">
        <v>298</v>
      </c>
      <c r="F91" s="39" t="s">
        <v>299</v>
      </c>
    </row>
    <row r="92" spans="2:6" x14ac:dyDescent="0.35">
      <c r="B92" s="41" t="s">
        <v>316</v>
      </c>
      <c r="C92" s="42">
        <f>COUNTIFS('Recommendations'!F:F,"Low",'Recommendations'!O:O,"=Resolved")</f>
        <v>0</v>
      </c>
      <c r="D92" s="42">
        <f>COUNTIFS('Recommendations'!F:F,"=Low",'Recommendations'!O:O,"=Testing")</f>
        <v>0</v>
      </c>
      <c r="E92" s="42">
        <f>COUNTIFS('Recommendations'!F:F,"=Low",'Recommendations'!O:O,"=Outstanding")</f>
        <v>0</v>
      </c>
      <c r="F92" s="42">
        <f>SUM(C92:E92)</f>
        <v>0</v>
      </c>
    </row>
    <row r="93" spans="2:6" x14ac:dyDescent="0.35">
      <c r="B93" s="41" t="s">
        <v>317</v>
      </c>
      <c r="C93" s="42">
        <f>COUNTIFS('Recommendations'!F:F,"Medium",'Recommendations'!O:O,"=Resolved")</f>
        <v>0</v>
      </c>
      <c r="D93" s="42">
        <f>COUNTIFS('Recommendations'!F:F,"=Medium",'Recommendations'!O:O,"=Testing")</f>
        <v>0</v>
      </c>
      <c r="E93" s="42">
        <f>COUNTIFS('Recommendations'!F:F,"=Medium",'Recommendations'!O:O,"=Outstanding")</f>
        <v>0</v>
      </c>
      <c r="F93" s="42">
        <f>SUM(C93:E93)</f>
        <v>0</v>
      </c>
    </row>
    <row r="94" spans="2:6" x14ac:dyDescent="0.35">
      <c r="B94" s="41" t="s">
        <v>318</v>
      </c>
      <c r="C94" s="42">
        <f>COUNTIFS('Recommendations'!F:F,"High",'Recommendations'!O:O,"=Resolved")</f>
        <v>0</v>
      </c>
      <c r="D94" s="42">
        <f>COUNTIFS('Recommendations'!F:F,"=High",'Recommendations'!O:O,"=Testing")</f>
        <v>0</v>
      </c>
      <c r="E94" s="42">
        <f>COUNTIFS('Recommendations'!F:F,"=High",'Recommendations'!O:O,"=Outstanding")</f>
        <v>0</v>
      </c>
      <c r="F94" s="42">
        <f>SUM(C94:E94)</f>
        <v>0</v>
      </c>
    </row>
    <row r="95" spans="2:6" x14ac:dyDescent="0.35">
      <c r="B95" s="41" t="s">
        <v>21</v>
      </c>
      <c r="C95" s="42">
        <f>COUNTIFS('Recommendations'!F:F,"Unassessed",'Recommendations'!O:O,"=Resolved")</f>
        <v>0</v>
      </c>
      <c r="D95" s="42">
        <f>COUNTIFS('Recommendations'!F:F,"=Unassessed",'Recommendations'!O:O,"=Testing")</f>
        <v>0</v>
      </c>
      <c r="E95" s="42">
        <f>COUNTIFS('Recommendations'!F:F,"=Unassessed",'Recommendations'!O:O,"=Outstanding")</f>
        <v>40</v>
      </c>
      <c r="F95" s="42">
        <f>SUM(C95:E95)</f>
        <v>40</v>
      </c>
    </row>
    <row r="97" spans="2:15" x14ac:dyDescent="0.35">
      <c r="B97" s="51" t="s">
        <v>301</v>
      </c>
    </row>
    <row r="98" spans="2:15" x14ac:dyDescent="0.35">
      <c r="B98" s="52" t="s">
        <v>315</v>
      </c>
      <c r="C98" s="52" t="s">
        <v>296</v>
      </c>
      <c r="D98" s="52" t="s">
        <v>297</v>
      </c>
      <c r="E98" s="52" t="s">
        <v>298</v>
      </c>
      <c r="F98" s="52" t="s">
        <v>23</v>
      </c>
    </row>
    <row r="99" spans="2:15" x14ac:dyDescent="0.35">
      <c r="B99" s="41" t="s">
        <v>316</v>
      </c>
      <c r="C99" s="43">
        <f>IF(F92&gt;0, C92/F92, 0)</f>
        <v>0</v>
      </c>
      <c r="D99" s="43">
        <f>IF(F92&gt;0, D92/F92, 0)</f>
        <v>0</v>
      </c>
      <c r="E99" s="43">
        <f>IF(F92&gt;0, E92/F92, 0)</f>
        <v>0</v>
      </c>
      <c r="F99" s="44" t="s">
        <v>23</v>
      </c>
    </row>
    <row r="100" spans="2:15" x14ac:dyDescent="0.35">
      <c r="B100" s="41" t="s">
        <v>317</v>
      </c>
      <c r="C100" s="43">
        <f>IF(F93&gt;0, C93/F93, 0)</f>
        <v>0</v>
      </c>
      <c r="D100" s="43">
        <f>IF(F93&gt;0, D93/F93, 0)</f>
        <v>0</v>
      </c>
      <c r="E100" s="43">
        <f>IF(F93&gt;0, E93/F93, 0)</f>
        <v>0</v>
      </c>
      <c r="F100" s="44" t="s">
        <v>23</v>
      </c>
    </row>
    <row r="101" spans="2:15" x14ac:dyDescent="0.35">
      <c r="B101" s="41" t="s">
        <v>318</v>
      </c>
      <c r="C101" s="43">
        <f>IF(F94&gt;0, C94/F94, 0)</f>
        <v>0</v>
      </c>
      <c r="D101" s="43">
        <f>IF(F94&gt;0, D94/F94, 0)</f>
        <v>0</v>
      </c>
      <c r="E101" s="43">
        <f>IF(F94&gt;0, E94/F94, 0)</f>
        <v>0</v>
      </c>
      <c r="F101" s="44" t="s">
        <v>23</v>
      </c>
    </row>
    <row r="102" spans="2:15" x14ac:dyDescent="0.35">
      <c r="B102" s="41" t="s">
        <v>21</v>
      </c>
      <c r="C102" s="43">
        <f>IF(F95&gt;0, C95/F95, 0)</f>
        <v>0</v>
      </c>
      <c r="D102" s="43">
        <f>IF(F95&gt;0, D95/F95, 0)</f>
        <v>0</v>
      </c>
      <c r="E102" s="43">
        <f>IF(F95&gt;0, E95/F95, 0)</f>
        <v>1</v>
      </c>
      <c r="F102" s="44" t="s">
        <v>23</v>
      </c>
    </row>
    <row r="107" spans="2:15" ht="18.5" x14ac:dyDescent="0.45">
      <c r="B107" s="37" t="s">
        <v>319</v>
      </c>
      <c r="J107" s="37" t="s">
        <v>320</v>
      </c>
    </row>
    <row r="108" spans="2:15" x14ac:dyDescent="0.35">
      <c r="B108" s="39" t="s">
        <v>6</v>
      </c>
      <c r="C108" s="81" t="s">
        <v>321</v>
      </c>
      <c r="D108" s="81"/>
      <c r="E108" s="39" t="s">
        <v>288</v>
      </c>
      <c r="F108" s="39" t="s">
        <v>296</v>
      </c>
      <c r="G108" s="81" t="s">
        <v>322</v>
      </c>
      <c r="H108" s="81"/>
      <c r="J108" s="39" t="s">
        <v>6</v>
      </c>
      <c r="K108" s="39" t="s">
        <v>310</v>
      </c>
      <c r="L108" s="39" t="s">
        <v>311</v>
      </c>
      <c r="M108" s="39" t="s">
        <v>312</v>
      </c>
      <c r="N108" s="39" t="s">
        <v>313</v>
      </c>
      <c r="O108" s="39" t="s">
        <v>20</v>
      </c>
    </row>
    <row r="109" spans="2:15" x14ac:dyDescent="0.35">
      <c r="B109" s="45" t="s">
        <v>304</v>
      </c>
      <c r="C109" s="88" t="s">
        <v>23</v>
      </c>
      <c r="D109" s="88"/>
      <c r="E109" s="42">
        <f>COUNTIF('Recommendations'!G:G,"Phase1")-COUNTIFS('Recommendations'!G:G,"Phase1",'Recommendations'!H:H,"Risk Accepted")-COUNTIFS('Recommendations'!G:G,"Phase1",'Recommendations'!H:H,"N/A")</f>
        <v>0</v>
      </c>
      <c r="F109" s="42">
        <f>COUNTIFS('Recommendations'!G:G,"Phase1",'Recommendations'!O:O,"Resolved")</f>
        <v>0</v>
      </c>
      <c r="G109" s="89">
        <f t="shared" ref="G109:G114" si="4">IF(E109&gt;0,F109/E109,0)</f>
        <v>0</v>
      </c>
      <c r="H109" s="89"/>
      <c r="J109" s="45" t="s">
        <v>304</v>
      </c>
      <c r="K109" s="42">
        <f>COUNTIFS('Recommendations'!G:G,"Phase1",'Recommendations'!E:E,"Must")</f>
        <v>0</v>
      </c>
      <c r="L109" s="42">
        <f>COUNTIFS('Recommendations'!G:G,"Phase1",'Recommendations'!E:E,"Should")</f>
        <v>0</v>
      </c>
      <c r="M109" s="42">
        <f>COUNTIFS('Recommendations'!G:G,"Phase1",'Recommendations'!E:E,"Could")</f>
        <v>0</v>
      </c>
      <c r="N109" s="42">
        <f>COUNTIFS('Recommendations'!G:G,"Phase1",'Recommendations'!E:E,"Won't")</f>
        <v>0</v>
      </c>
      <c r="O109" s="42">
        <f>COUNTIFS('Recommendations'!G:G,"Phase1",'Recommendations'!E:E,"Unassigned")</f>
        <v>0</v>
      </c>
    </row>
    <row r="110" spans="2:15" x14ac:dyDescent="0.35">
      <c r="B110" s="45" t="s">
        <v>305</v>
      </c>
      <c r="C110" s="88" t="s">
        <v>23</v>
      </c>
      <c r="D110" s="88"/>
      <c r="E110" s="42">
        <f>COUNTIF('Recommendations'!G:G,"Phase2")-COUNTIFS('Recommendations'!G:G,"Phase2",'Recommendations'!H:H,"Risk Accepted")-COUNTIFS('Recommendations'!G:G,"Phase2",'Recommendations'!H:H,"N/A")</f>
        <v>0</v>
      </c>
      <c r="F110" s="42">
        <f>COUNTIFS('Recommendations'!G:G,"Phase2",'Recommendations'!O:O,"Resolved")</f>
        <v>0</v>
      </c>
      <c r="G110" s="89">
        <f t="shared" si="4"/>
        <v>0</v>
      </c>
      <c r="H110" s="89"/>
      <c r="J110" s="45" t="s">
        <v>305</v>
      </c>
      <c r="K110" s="42">
        <f>COUNTIFS('Recommendations'!G:G,"Phase2",'Recommendations'!E:E,"Must")</f>
        <v>0</v>
      </c>
      <c r="L110" s="42">
        <f>COUNTIFS('Recommendations'!G:G,"Phase2",'Recommendations'!E:E,"Should")</f>
        <v>0</v>
      </c>
      <c r="M110" s="42">
        <f>COUNTIFS('Recommendations'!G:G,"Phase2",'Recommendations'!E:E,"Could")</f>
        <v>0</v>
      </c>
      <c r="N110" s="42">
        <f>COUNTIFS('Recommendations'!G:G,"Phase2",'Recommendations'!E:E,"Won't")</f>
        <v>0</v>
      </c>
      <c r="O110" s="42">
        <f>COUNTIFS('Recommendations'!G:G,"Phase2",'Recommendations'!E:E,"Unassigned")</f>
        <v>0</v>
      </c>
    </row>
    <row r="111" spans="2:15" x14ac:dyDescent="0.35">
      <c r="B111" s="45" t="s">
        <v>306</v>
      </c>
      <c r="C111" s="88" t="s">
        <v>23</v>
      </c>
      <c r="D111" s="88"/>
      <c r="E111" s="42">
        <f>COUNTIF('Recommendations'!G:G,"Phase3")-COUNTIFS('Recommendations'!G:G,"Phase3",'Recommendations'!H:H,"Risk Accepted")-COUNTIFS('Recommendations'!G:G,"Phase3",'Recommendations'!H:H,"N/A")</f>
        <v>0</v>
      </c>
      <c r="F111" s="42">
        <f>COUNTIFS('Recommendations'!G:G,"Phase3",'Recommendations'!O:O,"Resolved")</f>
        <v>0</v>
      </c>
      <c r="G111" s="89">
        <f t="shared" si="4"/>
        <v>0</v>
      </c>
      <c r="H111" s="89"/>
      <c r="J111" s="45" t="s">
        <v>306</v>
      </c>
      <c r="K111" s="42">
        <f>COUNTIFS('Recommendations'!G:G,"Phase3",'Recommendations'!E:E,"Must")</f>
        <v>0</v>
      </c>
      <c r="L111" s="42">
        <f>COUNTIFS('Recommendations'!G:G,"Phase3",'Recommendations'!E:E,"Should")</f>
        <v>0</v>
      </c>
      <c r="M111" s="42">
        <f>COUNTIFS('Recommendations'!G:G,"Phase3",'Recommendations'!E:E,"Could")</f>
        <v>0</v>
      </c>
      <c r="N111" s="42">
        <f>COUNTIFS('Recommendations'!G:G,"Phase3",'Recommendations'!E:E,"Won't")</f>
        <v>0</v>
      </c>
      <c r="O111" s="42">
        <f>COUNTIFS('Recommendations'!G:G,"Phase3",'Recommendations'!E:E,"Unassigned")</f>
        <v>0</v>
      </c>
    </row>
    <row r="112" spans="2:15" x14ac:dyDescent="0.35">
      <c r="B112" s="45" t="s">
        <v>307</v>
      </c>
      <c r="C112" s="88" t="s">
        <v>23</v>
      </c>
      <c r="D112" s="88"/>
      <c r="E112" s="42">
        <f>COUNTIF('Recommendations'!G:G,"Phase4")-COUNTIFS('Recommendations'!G:G,"Phase4",'Recommendations'!H:H,"Risk Accepted")-COUNTIFS('Recommendations'!G:G,"Phase4",'Recommendations'!H:H,"N/A")</f>
        <v>0</v>
      </c>
      <c r="F112" s="42">
        <f>COUNTIFS('Recommendations'!G:G,"Phase4",'Recommendations'!O:O,"Resolved")</f>
        <v>0</v>
      </c>
      <c r="G112" s="89">
        <f t="shared" si="4"/>
        <v>0</v>
      </c>
      <c r="H112" s="89"/>
      <c r="J112" s="45" t="s">
        <v>307</v>
      </c>
      <c r="K112" s="42">
        <f>COUNTIFS('Recommendations'!G:G,"Phase4",'Recommendations'!E:E,"Must")</f>
        <v>0</v>
      </c>
      <c r="L112" s="42">
        <f>COUNTIFS('Recommendations'!G:G,"Phase4",'Recommendations'!E:E,"Should")</f>
        <v>0</v>
      </c>
      <c r="M112" s="42">
        <f>COUNTIFS('Recommendations'!G:G,"Phase4",'Recommendations'!E:E,"Could")</f>
        <v>0</v>
      </c>
      <c r="N112" s="42">
        <f>COUNTIFS('Recommendations'!G:G,"Phase4",'Recommendations'!E:E,"Won't")</f>
        <v>0</v>
      </c>
      <c r="O112" s="42">
        <f>COUNTIFS('Recommendations'!G:G,"Phase4",'Recommendations'!E:E,"Unassigned")</f>
        <v>0</v>
      </c>
    </row>
    <row r="113" spans="2:24" x14ac:dyDescent="0.35">
      <c r="B113" s="45" t="s">
        <v>308</v>
      </c>
      <c r="C113" s="88" t="s">
        <v>23</v>
      </c>
      <c r="D113" s="88"/>
      <c r="E113" s="42">
        <f>COUNTIF('Recommendations'!G:G,"Phase5")-COUNTIFS('Recommendations'!G:G,"Phase5",'Recommendations'!H:H,"Risk Accepted")-COUNTIFS('Recommendations'!G:G,"Phase5",'Recommendations'!H:H,"N/A")</f>
        <v>0</v>
      </c>
      <c r="F113" s="42">
        <f>COUNTIFS('Recommendations'!G:G,"Phase5",'Recommendations'!O:O,"Resolved")</f>
        <v>0</v>
      </c>
      <c r="G113" s="89">
        <f t="shared" si="4"/>
        <v>0</v>
      </c>
      <c r="H113" s="89"/>
      <c r="J113" s="45" t="s">
        <v>308</v>
      </c>
      <c r="K113" s="42">
        <f>COUNTIFS('Recommendations'!G:G,"Phase5",'Recommendations'!E:E,"Must")</f>
        <v>0</v>
      </c>
      <c r="L113" s="42">
        <f>COUNTIFS('Recommendations'!G:G,"Phase5",'Recommendations'!E:E,"Should")</f>
        <v>0</v>
      </c>
      <c r="M113" s="42">
        <f>COUNTIFS('Recommendations'!G:G,"Phase5",'Recommendations'!E:E,"Could")</f>
        <v>0</v>
      </c>
      <c r="N113" s="42">
        <f>COUNTIFS('Recommendations'!G:G,"Phase5",'Recommendations'!E:E,"Won't")</f>
        <v>0</v>
      </c>
      <c r="O113" s="42">
        <f>COUNTIFS('Recommendations'!G:G,"Phase5",'Recommendations'!E:E,"Unassigned")</f>
        <v>0</v>
      </c>
    </row>
    <row r="114" spans="2:24" x14ac:dyDescent="0.35">
      <c r="B114" s="45" t="s">
        <v>22</v>
      </c>
      <c r="C114" s="88" t="s">
        <v>23</v>
      </c>
      <c r="D114" s="88"/>
      <c r="E114" s="42">
        <f>COUNTIF('Recommendations'!G:G,"Pending")-COUNTIFS('Recommendations'!G:G,"Pending",'Recommendations'!H:H,"Risk Accepted")-COUNTIFS('Recommendations'!G:G,"Pending",'Recommendations'!H:H,"N/A")</f>
        <v>40</v>
      </c>
      <c r="F114" s="42">
        <f>COUNTIFS('Recommendations'!G:G,"Pending",'Recommendations'!O:O,"Resolved")</f>
        <v>0</v>
      </c>
      <c r="G114" s="89">
        <f t="shared" si="4"/>
        <v>0</v>
      </c>
      <c r="H114" s="89"/>
      <c r="J114" s="45" t="s">
        <v>22</v>
      </c>
      <c r="K114" s="42">
        <f>COUNTIFS('Recommendations'!G:G,"Pending",'Recommendations'!E:E,"Must")</f>
        <v>0</v>
      </c>
      <c r="L114" s="42">
        <f>COUNTIFS('Recommendations'!G:G,"Pending",'Recommendations'!E:E,"Should")</f>
        <v>0</v>
      </c>
      <c r="M114" s="42">
        <f>COUNTIFS('Recommendations'!G:G,"Pending",'Recommendations'!E:E,"Could")</f>
        <v>0</v>
      </c>
      <c r="N114" s="42">
        <f>COUNTIFS('Recommendations'!G:G,"Pending",'Recommendations'!E:E,"Won't")</f>
        <v>0</v>
      </c>
      <c r="O114" s="42">
        <f>COUNTIFS('Recommendations'!G:G,"Pending",'Recommendations'!E:E,"Unassigned")</f>
        <v>40</v>
      </c>
    </row>
    <row r="121" spans="2:24" ht="21" x14ac:dyDescent="0.5">
      <c r="B121" s="37" t="s">
        <v>323</v>
      </c>
      <c r="P121" s="54" t="s">
        <v>324</v>
      </c>
    </row>
    <row r="123" spans="2:24" ht="60" customHeight="1" x14ac:dyDescent="0.35">
      <c r="B123" s="90" t="s">
        <v>325</v>
      </c>
      <c r="C123" s="87"/>
      <c r="D123" s="87"/>
      <c r="E123" s="87"/>
      <c r="F123" s="87"/>
      <c r="P123" s="90" t="s">
        <v>326</v>
      </c>
      <c r="Q123" s="87"/>
      <c r="R123" s="87"/>
      <c r="S123" s="87"/>
      <c r="T123" s="87"/>
      <c r="U123" s="87"/>
      <c r="V123" s="87"/>
      <c r="W123" s="87"/>
    </row>
    <row r="125" spans="2:24" ht="30" customHeight="1" x14ac:dyDescent="0.35">
      <c r="P125" s="55" t="s">
        <v>327</v>
      </c>
      <c r="Q125" s="56">
        <f>C16</f>
        <v>0</v>
      </c>
      <c r="R125" s="57"/>
      <c r="S125" s="56">
        <f>C71</f>
        <v>0</v>
      </c>
      <c r="T125" s="57"/>
      <c r="U125" s="56">
        <f>C72</f>
        <v>0</v>
      </c>
      <c r="V125" s="57"/>
      <c r="W125" s="56">
        <f>C73</f>
        <v>0</v>
      </c>
      <c r="X125" s="57"/>
    </row>
    <row r="126" spans="2:24" ht="35" customHeight="1" x14ac:dyDescent="0.35">
      <c r="P126" s="58" t="s">
        <v>328</v>
      </c>
      <c r="Q126" s="58" t="s">
        <v>329</v>
      </c>
      <c r="R126" s="58" t="s">
        <v>330</v>
      </c>
      <c r="S126" s="58" t="s">
        <v>331</v>
      </c>
      <c r="T126" s="58" t="s">
        <v>332</v>
      </c>
      <c r="U126" s="58" t="s">
        <v>333</v>
      </c>
      <c r="V126" s="58" t="s">
        <v>334</v>
      </c>
      <c r="W126" s="58" t="s">
        <v>335</v>
      </c>
      <c r="X126" s="58" t="s">
        <v>336</v>
      </c>
    </row>
    <row r="127" spans="2:24" x14ac:dyDescent="0.35">
      <c r="O127" s="59" t="s">
        <v>337</v>
      </c>
      <c r="P127" s="60" t="s">
        <v>338</v>
      </c>
      <c r="Q127" s="61">
        <v>0</v>
      </c>
      <c r="R127" s="62">
        <f>IF(Dashboard!F16&gt;0, Q127/Dashboard!F16, "")</f>
        <v>0</v>
      </c>
      <c r="S127" s="61">
        <v>0</v>
      </c>
      <c r="T127" s="62" t="str">
        <f>IF(AND(NOT(ISBLANK(S127)),Dashboard!F71&gt;0), S127/Dashboard!F71, "")</f>
        <v/>
      </c>
      <c r="U127" s="61">
        <v>0</v>
      </c>
      <c r="V127" s="62" t="str">
        <f>IF(AND(NOT(ISBLANK(U127)),Dashboard!F72&gt;0), U127/Dashboard!F72, "")</f>
        <v/>
      </c>
      <c r="W127" s="61">
        <v>0</v>
      </c>
      <c r="X127" s="62" t="str">
        <f>IF(AND(NOT(ISBLANK(W127)),Dashboard!F73&gt;0), W127/Dashboard!F73, "")</f>
        <v/>
      </c>
    </row>
    <row r="128" spans="2:24" x14ac:dyDescent="0.35">
      <c r="P128" s="53"/>
      <c r="Q128" s="40"/>
      <c r="R128" s="43" t="str">
        <f>IF(AND(NOT(ISBLANK(Q128)),Dashboard!F16&gt;0), Q128/Dashboard!F16, "")</f>
        <v/>
      </c>
      <c r="S128" s="40"/>
      <c r="T128" s="43" t="str">
        <f>IF(AND(NOT(ISBLANK(S128)),Dashboard!F71&gt;0), S128/Dashboard!F71, "")</f>
        <v/>
      </c>
      <c r="U128" s="40"/>
      <c r="V128" s="43" t="str">
        <f>IF(AND(NOT(ISBLANK(U128)),Dashboard!F72&gt;0), U128/Dashboard!F72, "")</f>
        <v/>
      </c>
      <c r="W128" s="40"/>
      <c r="X128" s="43" t="str">
        <f>IF(AND(NOT(ISBLANK(W128)),Dashboard!F73&gt;0), W128/Dashboard!F73, "")</f>
        <v/>
      </c>
    </row>
    <row r="129" spans="16:24" x14ac:dyDescent="0.35">
      <c r="P129" s="53"/>
      <c r="Q129" s="40"/>
      <c r="R129" s="43" t="str">
        <f>IF(AND(NOT(ISBLANK(Q129)),Dashboard!F16&gt;0), Q129/Dashboard!F16, "")</f>
        <v/>
      </c>
      <c r="S129" s="40"/>
      <c r="T129" s="43" t="str">
        <f>IF(AND(NOT(ISBLANK(S129)),Dashboard!F71&gt;0), S129/Dashboard!F71, "")</f>
        <v/>
      </c>
      <c r="U129" s="40"/>
      <c r="V129" s="43" t="str">
        <f>IF(AND(NOT(ISBLANK(U129)),Dashboard!F72&gt;0), U129/Dashboard!F72, "")</f>
        <v/>
      </c>
      <c r="W129" s="40"/>
      <c r="X129" s="43" t="str">
        <f>IF(AND(NOT(ISBLANK(W129)),Dashboard!F73&gt;0), W129/Dashboard!F73, "")</f>
        <v/>
      </c>
    </row>
    <row r="130" spans="16:24" x14ac:dyDescent="0.35">
      <c r="P130" s="53"/>
      <c r="Q130" s="40"/>
      <c r="R130" s="43" t="str">
        <f>IF(AND(NOT(ISBLANK(Q130)),Dashboard!F16&gt;0), Q130/Dashboard!F16, "")</f>
        <v/>
      </c>
      <c r="S130" s="40"/>
      <c r="T130" s="43" t="str">
        <f>IF(AND(NOT(ISBLANK(S130)),Dashboard!F71&gt;0), S130/Dashboard!F71, "")</f>
        <v/>
      </c>
      <c r="U130" s="40"/>
      <c r="V130" s="43" t="str">
        <f>IF(AND(NOT(ISBLANK(U130)),Dashboard!F72&gt;0), U130/Dashboard!F72, "")</f>
        <v/>
      </c>
      <c r="W130" s="40"/>
      <c r="X130" s="43" t="str">
        <f>IF(AND(NOT(ISBLANK(W130)),Dashboard!F73&gt;0), W130/Dashboard!F73, "")</f>
        <v/>
      </c>
    </row>
    <row r="131" spans="16:24" x14ac:dyDescent="0.35">
      <c r="P131" s="53"/>
      <c r="Q131" s="40"/>
      <c r="R131" s="43" t="str">
        <f>IF(AND(NOT(ISBLANK(Q131)),Dashboard!F16&gt;0), Q131/Dashboard!F16, "")</f>
        <v/>
      </c>
      <c r="S131" s="40"/>
      <c r="T131" s="43" t="str">
        <f>IF(AND(NOT(ISBLANK(S131)),Dashboard!F71&gt;0), S131/Dashboard!F71, "")</f>
        <v/>
      </c>
      <c r="U131" s="40"/>
      <c r="V131" s="43" t="str">
        <f>IF(AND(NOT(ISBLANK(U131)),Dashboard!F72&gt;0), U131/Dashboard!F72, "")</f>
        <v/>
      </c>
      <c r="W131" s="40"/>
      <c r="X131" s="43" t="str">
        <f>IF(AND(NOT(ISBLANK(W131)),Dashboard!F73&gt;0), W131/Dashboard!F73, "")</f>
        <v/>
      </c>
    </row>
    <row r="132" spans="16:24" x14ac:dyDescent="0.35">
      <c r="P132" s="53"/>
      <c r="Q132" s="40"/>
      <c r="R132" s="43" t="str">
        <f>IF(AND(NOT(ISBLANK(Q132)),Dashboard!F16&gt;0), Q132/Dashboard!F16, "")</f>
        <v/>
      </c>
      <c r="S132" s="40"/>
      <c r="T132" s="43" t="str">
        <f>IF(AND(NOT(ISBLANK(S132)),Dashboard!F71&gt;0), S132/Dashboard!F71, "")</f>
        <v/>
      </c>
      <c r="U132" s="40"/>
      <c r="V132" s="43" t="str">
        <f>IF(AND(NOT(ISBLANK(U132)),Dashboard!F72&gt;0), U132/Dashboard!F72, "")</f>
        <v/>
      </c>
      <c r="W132" s="40"/>
      <c r="X132" s="43" t="str">
        <f>IF(AND(NOT(ISBLANK(W132)),Dashboard!F73&gt;0), W132/Dashboard!F73, "")</f>
        <v/>
      </c>
    </row>
    <row r="133" spans="16:24" x14ac:dyDescent="0.35">
      <c r="P133" s="53"/>
      <c r="Q133" s="40"/>
      <c r="R133" s="43" t="str">
        <f>IF(AND(NOT(ISBLANK(Q133)),Dashboard!F16&gt;0), Q133/Dashboard!F16, "")</f>
        <v/>
      </c>
      <c r="S133" s="40"/>
      <c r="T133" s="43" t="str">
        <f>IF(AND(NOT(ISBLANK(S133)),Dashboard!F71&gt;0), S133/Dashboard!F71, "")</f>
        <v/>
      </c>
      <c r="U133" s="40"/>
      <c r="V133" s="43" t="str">
        <f>IF(AND(NOT(ISBLANK(U133)),Dashboard!F72&gt;0), U133/Dashboard!F72, "")</f>
        <v/>
      </c>
      <c r="W133" s="40"/>
      <c r="X133" s="43" t="str">
        <f>IF(AND(NOT(ISBLANK(W133)),Dashboard!F73&gt;0), W133/Dashboard!F73, "")</f>
        <v/>
      </c>
    </row>
    <row r="134" spans="16:24" x14ac:dyDescent="0.35">
      <c r="P134" s="53"/>
      <c r="Q134" s="40"/>
      <c r="R134" s="43" t="str">
        <f>IF(AND(NOT(ISBLANK(Q134)),Dashboard!F16&gt;0), Q134/Dashboard!F16, "")</f>
        <v/>
      </c>
      <c r="S134" s="40"/>
      <c r="T134" s="43" t="str">
        <f>IF(AND(NOT(ISBLANK(S134)),Dashboard!F71&gt;0), S134/Dashboard!F71, "")</f>
        <v/>
      </c>
      <c r="U134" s="40"/>
      <c r="V134" s="43" t="str">
        <f>IF(AND(NOT(ISBLANK(U134)),Dashboard!F72&gt;0), U134/Dashboard!F72, "")</f>
        <v/>
      </c>
      <c r="W134" s="40"/>
      <c r="X134" s="43" t="str">
        <f>IF(AND(NOT(ISBLANK(W134)),Dashboard!F73&gt;0), W134/Dashboard!F73, "")</f>
        <v/>
      </c>
    </row>
    <row r="135" spans="16:24" x14ac:dyDescent="0.35">
      <c r="P135" s="53"/>
      <c r="Q135" s="40"/>
      <c r="R135" s="43" t="str">
        <f>IF(AND(NOT(ISBLANK(Q135)),Dashboard!F16&gt;0), Q135/Dashboard!F16, "")</f>
        <v/>
      </c>
      <c r="S135" s="40"/>
      <c r="T135" s="43" t="str">
        <f>IF(AND(NOT(ISBLANK(S135)),Dashboard!F71&gt;0), S135/Dashboard!F71, "")</f>
        <v/>
      </c>
      <c r="U135" s="40"/>
      <c r="V135" s="43" t="str">
        <f>IF(AND(NOT(ISBLANK(U135)),Dashboard!F72&gt;0), U135/Dashboard!F72, "")</f>
        <v/>
      </c>
      <c r="W135" s="40"/>
      <c r="X135" s="43" t="str">
        <f>IF(AND(NOT(ISBLANK(W135)),Dashboard!F73&gt;0), W135/Dashboard!F73, "")</f>
        <v/>
      </c>
    </row>
    <row r="136" spans="16:24" x14ac:dyDescent="0.35">
      <c r="P136" s="53"/>
      <c r="Q136" s="40"/>
      <c r="R136" s="43" t="str">
        <f>IF(AND(NOT(ISBLANK(Q136)),Dashboard!F16&gt;0), Q136/Dashboard!F16, "")</f>
        <v/>
      </c>
      <c r="S136" s="40"/>
      <c r="T136" s="43" t="str">
        <f>IF(AND(NOT(ISBLANK(S136)),Dashboard!F71&gt;0), S136/Dashboard!F71, "")</f>
        <v/>
      </c>
      <c r="U136" s="40"/>
      <c r="V136" s="43" t="str">
        <f>IF(AND(NOT(ISBLANK(U136)),Dashboard!F72&gt;0), U136/Dashboard!F72, "")</f>
        <v/>
      </c>
      <c r="W136" s="40"/>
      <c r="X136" s="43" t="str">
        <f>IF(AND(NOT(ISBLANK(W136)),Dashboard!F73&gt;0), W136/Dashboard!F73, "")</f>
        <v/>
      </c>
    </row>
    <row r="137" spans="16:24" x14ac:dyDescent="0.35">
      <c r="P137" s="53"/>
      <c r="Q137" s="40"/>
      <c r="R137" s="43" t="str">
        <f>IF(AND(NOT(ISBLANK(Q137)),Dashboard!F16&gt;0), Q137/Dashboard!F16, "")</f>
        <v/>
      </c>
      <c r="S137" s="40"/>
      <c r="T137" s="43" t="str">
        <f>IF(AND(NOT(ISBLANK(S137)),Dashboard!F71&gt;0), S137/Dashboard!F71, "")</f>
        <v/>
      </c>
      <c r="U137" s="40"/>
      <c r="V137" s="43" t="str">
        <f>IF(AND(NOT(ISBLANK(U137)),Dashboard!F72&gt;0), U137/Dashboard!F72, "")</f>
        <v/>
      </c>
      <c r="W137" s="40"/>
      <c r="X137" s="43" t="str">
        <f>IF(AND(NOT(ISBLANK(W137)),Dashboard!F73&gt;0), W137/Dashboard!F73, "")</f>
        <v/>
      </c>
    </row>
    <row r="138" spans="16:24" x14ac:dyDescent="0.35">
      <c r="P138" s="53"/>
      <c r="Q138" s="40"/>
      <c r="R138" s="43" t="str">
        <f>IF(AND(NOT(ISBLANK(Q138)),Dashboard!F16&gt;0), Q138/Dashboard!F16, "")</f>
        <v/>
      </c>
      <c r="S138" s="40"/>
      <c r="T138" s="43" t="str">
        <f>IF(AND(NOT(ISBLANK(S138)),Dashboard!F71&gt;0), S138/Dashboard!F71, "")</f>
        <v/>
      </c>
      <c r="U138" s="40"/>
      <c r="V138" s="43" t="str">
        <f>IF(AND(NOT(ISBLANK(U138)),Dashboard!F72&gt;0), U138/Dashboard!F72, "")</f>
        <v/>
      </c>
      <c r="W138" s="40"/>
      <c r="X138" s="43" t="str">
        <f>IF(AND(NOT(ISBLANK(W138)),Dashboard!F73&gt;0), W138/Dashboard!F73, "")</f>
        <v/>
      </c>
    </row>
    <row r="139" spans="16:24" x14ac:dyDescent="0.35">
      <c r="P139" s="53"/>
      <c r="Q139" s="40"/>
      <c r="R139" s="43" t="str">
        <f>IF(AND(NOT(ISBLANK(Q139)),Dashboard!F16&gt;0), Q139/Dashboard!F16, "")</f>
        <v/>
      </c>
      <c r="S139" s="40"/>
      <c r="T139" s="43" t="str">
        <f>IF(AND(NOT(ISBLANK(S139)),Dashboard!F71&gt;0), S139/Dashboard!F71, "")</f>
        <v/>
      </c>
      <c r="U139" s="40"/>
      <c r="V139" s="43" t="str">
        <f>IF(AND(NOT(ISBLANK(U139)),Dashboard!F72&gt;0), U139/Dashboard!F72, "")</f>
        <v/>
      </c>
      <c r="W139" s="40"/>
      <c r="X139" s="43" t="str">
        <f>IF(AND(NOT(ISBLANK(W139)),Dashboard!F73&gt;0), W139/Dashboard!F73, "")</f>
        <v/>
      </c>
    </row>
    <row r="140" spans="16:24" x14ac:dyDescent="0.35">
      <c r="P140" s="53"/>
      <c r="Q140" s="40"/>
      <c r="R140" s="43" t="str">
        <f>IF(AND(NOT(ISBLANK(Q140)),Dashboard!F16&gt;0), Q140/Dashboard!F16, "")</f>
        <v/>
      </c>
      <c r="S140" s="40"/>
      <c r="T140" s="43" t="str">
        <f>IF(AND(NOT(ISBLANK(S140)),Dashboard!F71&gt;0), S140/Dashboard!F71, "")</f>
        <v/>
      </c>
      <c r="U140" s="40"/>
      <c r="V140" s="43" t="str">
        <f>IF(AND(NOT(ISBLANK(U140)),Dashboard!F72&gt;0), U140/Dashboard!F72, "")</f>
        <v/>
      </c>
      <c r="W140" s="40"/>
      <c r="X140" s="43" t="str">
        <f>IF(AND(NOT(ISBLANK(W140)),Dashboard!F73&gt;0), W140/Dashboard!F73, "")</f>
        <v/>
      </c>
    </row>
    <row r="141" spans="16:24" x14ac:dyDescent="0.35">
      <c r="P141" s="53"/>
      <c r="Q141" s="40"/>
      <c r="R141" s="43" t="str">
        <f>IF(AND(NOT(ISBLANK(Q141)),Dashboard!F16&gt;0), Q141/Dashboard!F16, "")</f>
        <v/>
      </c>
      <c r="S141" s="40"/>
      <c r="T141" s="43" t="str">
        <f>IF(AND(NOT(ISBLANK(S141)),Dashboard!F71&gt;0), S141/Dashboard!F71, "")</f>
        <v/>
      </c>
      <c r="U141" s="40"/>
      <c r="V141" s="43" t="str">
        <f>IF(AND(NOT(ISBLANK(U141)),Dashboard!F72&gt;0), U141/Dashboard!F72, "")</f>
        <v/>
      </c>
      <c r="W141" s="40"/>
      <c r="X141" s="43" t="str">
        <f>IF(AND(NOT(ISBLANK(W141)),Dashboard!F73&gt;0), W141/Dashboard!F73, "")</f>
        <v/>
      </c>
    </row>
    <row r="142" spans="16:24" x14ac:dyDescent="0.35">
      <c r="P142" s="53"/>
      <c r="Q142" s="40"/>
      <c r="R142" s="43" t="str">
        <f>IF(AND(NOT(ISBLANK(Q142)),Dashboard!F16&gt;0), Q142/Dashboard!F16, "")</f>
        <v/>
      </c>
      <c r="S142" s="40"/>
      <c r="T142" s="43" t="str">
        <f>IF(AND(NOT(ISBLANK(S142)),Dashboard!F71&gt;0), S142/Dashboard!F71, "")</f>
        <v/>
      </c>
      <c r="U142" s="40"/>
      <c r="V142" s="43" t="str">
        <f>IF(AND(NOT(ISBLANK(U142)),Dashboard!F72&gt;0), U142/Dashboard!F72, "")</f>
        <v/>
      </c>
      <c r="W142" s="40"/>
      <c r="X142" s="43" t="str">
        <f>IF(AND(NOT(ISBLANK(W142)),Dashboard!F73&gt;0), W142/Dashboard!F73, "")</f>
        <v/>
      </c>
    </row>
    <row r="143" spans="16:24" x14ac:dyDescent="0.35">
      <c r="P143" s="53"/>
      <c r="Q143" s="40"/>
      <c r="R143" s="43" t="str">
        <f>IF(AND(NOT(ISBLANK(Q143)),Dashboard!F16&gt;0), Q143/Dashboard!F16, "")</f>
        <v/>
      </c>
      <c r="S143" s="40"/>
      <c r="T143" s="43" t="str">
        <f>IF(AND(NOT(ISBLANK(S143)),Dashboard!F71&gt;0), S143/Dashboard!F71, "")</f>
        <v/>
      </c>
      <c r="U143" s="40"/>
      <c r="V143" s="43" t="str">
        <f>IF(AND(NOT(ISBLANK(U143)),Dashboard!F72&gt;0), U143/Dashboard!F72, "")</f>
        <v/>
      </c>
      <c r="W143" s="40"/>
      <c r="X143" s="43" t="str">
        <f>IF(AND(NOT(ISBLANK(W143)),Dashboard!F73&gt;0), W143/Dashboard!F73, "")</f>
        <v/>
      </c>
    </row>
    <row r="144" spans="16:24" x14ac:dyDescent="0.35">
      <c r="P144" s="53"/>
      <c r="Q144" s="40"/>
      <c r="R144" s="43" t="str">
        <f>IF(AND(NOT(ISBLANK(Q144)),Dashboard!F16&gt;0), Q144/Dashboard!F16, "")</f>
        <v/>
      </c>
      <c r="S144" s="40"/>
      <c r="T144" s="43" t="str">
        <f>IF(AND(NOT(ISBLANK(S144)),Dashboard!F71&gt;0), S144/Dashboard!F71, "")</f>
        <v/>
      </c>
      <c r="U144" s="40"/>
      <c r="V144" s="43" t="str">
        <f>IF(AND(NOT(ISBLANK(U144)),Dashboard!F72&gt;0), U144/Dashboard!F72, "")</f>
        <v/>
      </c>
      <c r="W144" s="40"/>
      <c r="X144" s="43" t="str">
        <f>IF(AND(NOT(ISBLANK(W144)),Dashboard!F73&gt;0), W144/Dashboard!F73, "")</f>
        <v/>
      </c>
    </row>
    <row r="145" spans="16:24" x14ac:dyDescent="0.35">
      <c r="P145" s="53"/>
      <c r="Q145" s="40"/>
      <c r="R145" s="43" t="str">
        <f>IF(AND(NOT(ISBLANK(Q145)),Dashboard!F16&gt;0), Q145/Dashboard!F16, "")</f>
        <v/>
      </c>
      <c r="S145" s="40"/>
      <c r="T145" s="43" t="str">
        <f>IF(AND(NOT(ISBLANK(S145)),Dashboard!F71&gt;0), S145/Dashboard!F71, "")</f>
        <v/>
      </c>
      <c r="U145" s="40"/>
      <c r="V145" s="43" t="str">
        <f>IF(AND(NOT(ISBLANK(U145)),Dashboard!F72&gt;0), U145/Dashboard!F72, "")</f>
        <v/>
      </c>
      <c r="W145" s="40"/>
      <c r="X145" s="43" t="str">
        <f>IF(AND(NOT(ISBLANK(W145)),Dashboard!F73&gt;0), W145/Dashboard!F73, "")</f>
        <v/>
      </c>
    </row>
    <row r="146" spans="16:24" x14ac:dyDescent="0.35">
      <c r="P146" s="53"/>
      <c r="Q146" s="40"/>
      <c r="R146" s="43" t="str">
        <f>IF(AND(NOT(ISBLANK(Q146)),Dashboard!F16&gt;0), Q146/Dashboard!F16, "")</f>
        <v/>
      </c>
      <c r="S146" s="40"/>
      <c r="T146" s="43" t="str">
        <f>IF(AND(NOT(ISBLANK(S146)),Dashboard!F71&gt;0), S146/Dashboard!F71, "")</f>
        <v/>
      </c>
      <c r="U146" s="40"/>
      <c r="V146" s="43" t="str">
        <f>IF(AND(NOT(ISBLANK(U146)),Dashboard!F72&gt;0), U146/Dashboard!F72, "")</f>
        <v/>
      </c>
      <c r="W146" s="40"/>
      <c r="X146" s="43" t="str">
        <f>IF(AND(NOT(ISBLANK(W146)),Dashboard!F73&gt;0), W146/Dashboard!F73, "")</f>
        <v/>
      </c>
    </row>
    <row r="147" spans="16:24" x14ac:dyDescent="0.35">
      <c r="P147" s="53"/>
      <c r="Q147" s="40"/>
      <c r="R147" s="43" t="str">
        <f>IF(AND(NOT(ISBLANK(Q147)),Dashboard!F16&gt;0), Q147/Dashboard!F16, "")</f>
        <v/>
      </c>
      <c r="S147" s="40"/>
      <c r="T147" s="43" t="str">
        <f>IF(AND(NOT(ISBLANK(S147)),Dashboard!F71&gt;0), S147/Dashboard!F71, "")</f>
        <v/>
      </c>
      <c r="U147" s="40"/>
      <c r="V147" s="43" t="str">
        <f>IF(AND(NOT(ISBLANK(U147)),Dashboard!F72&gt;0), U147/Dashboard!F72, "")</f>
        <v/>
      </c>
      <c r="W147" s="40"/>
      <c r="X147" s="43" t="str">
        <f>IF(AND(NOT(ISBLANK(W147)),Dashboard!F73&gt;0), W147/Dashboard!F73, "")</f>
        <v/>
      </c>
    </row>
    <row r="148" spans="16:24" x14ac:dyDescent="0.35">
      <c r="P148" s="53"/>
      <c r="Q148" s="40"/>
      <c r="R148" s="43" t="str">
        <f>IF(AND(NOT(ISBLANK(Q148)),Dashboard!F16&gt;0), Q148/Dashboard!F16, "")</f>
        <v/>
      </c>
      <c r="S148" s="40"/>
      <c r="T148" s="43" t="str">
        <f>IF(AND(NOT(ISBLANK(S148)),Dashboard!F71&gt;0), S148/Dashboard!F71, "")</f>
        <v/>
      </c>
      <c r="U148" s="40"/>
      <c r="V148" s="43" t="str">
        <f>IF(AND(NOT(ISBLANK(U148)),Dashboard!F72&gt;0), U148/Dashboard!F72, "")</f>
        <v/>
      </c>
      <c r="W148" s="40"/>
      <c r="X148" s="43" t="str">
        <f>IF(AND(NOT(ISBLANK(W148)),Dashboard!F73&gt;0), W148/Dashboard!F73, "")</f>
        <v/>
      </c>
    </row>
    <row r="149" spans="16:24" x14ac:dyDescent="0.35">
      <c r="P149" s="53"/>
      <c r="Q149" s="40"/>
      <c r="R149" s="43" t="str">
        <f>IF(AND(NOT(ISBLANK(Q149)),Dashboard!F16&gt;0), Q149/Dashboard!F16, "")</f>
        <v/>
      </c>
      <c r="S149" s="40"/>
      <c r="T149" s="43" t="str">
        <f>IF(AND(NOT(ISBLANK(S149)),Dashboard!F71&gt;0), S149/Dashboard!F71, "")</f>
        <v/>
      </c>
      <c r="U149" s="40"/>
      <c r="V149" s="43" t="str">
        <f>IF(AND(NOT(ISBLANK(U149)),Dashboard!F72&gt;0), U149/Dashboard!F72, "")</f>
        <v/>
      </c>
      <c r="W149" s="40"/>
      <c r="X149" s="43" t="str">
        <f>IF(AND(NOT(ISBLANK(W149)),Dashboard!F73&gt;0), W149/Dashboard!F73, "")</f>
        <v/>
      </c>
    </row>
    <row r="150" spans="16:24" x14ac:dyDescent="0.35">
      <c r="P150" s="53"/>
      <c r="Q150" s="40"/>
      <c r="R150" s="43" t="str">
        <f>IF(AND(NOT(ISBLANK(Q150)),Dashboard!F16&gt;0), Q150/Dashboard!F16, "")</f>
        <v/>
      </c>
      <c r="S150" s="40"/>
      <c r="T150" s="43" t="str">
        <f>IF(AND(NOT(ISBLANK(S150)),Dashboard!F71&gt;0), S150/Dashboard!F71, "")</f>
        <v/>
      </c>
      <c r="U150" s="40"/>
      <c r="V150" s="43" t="str">
        <f>IF(AND(NOT(ISBLANK(U150)),Dashboard!F72&gt;0), U150/Dashboard!F72, "")</f>
        <v/>
      </c>
      <c r="W150" s="40"/>
      <c r="X150" s="43" t="str">
        <f>IF(AND(NOT(ISBLANK(W150)),Dashboard!F73&gt;0), W150/Dashboard!F73, "")</f>
        <v/>
      </c>
    </row>
    <row r="151" spans="16:24" x14ac:dyDescent="0.35">
      <c r="P151" s="53"/>
      <c r="Q151" s="40"/>
      <c r="R151" s="43" t="str">
        <f>IF(AND(NOT(ISBLANK(Q151)),Dashboard!F16&gt;0), Q151/Dashboard!F16, "")</f>
        <v/>
      </c>
      <c r="S151" s="40"/>
      <c r="T151" s="43" t="str">
        <f>IF(AND(NOT(ISBLANK(S151)),Dashboard!F71&gt;0), S151/Dashboard!F71, "")</f>
        <v/>
      </c>
      <c r="U151" s="40"/>
      <c r="V151" s="43" t="str">
        <f>IF(AND(NOT(ISBLANK(U151)),Dashboard!F72&gt;0), U151/Dashboard!F72, "")</f>
        <v/>
      </c>
      <c r="W151" s="40"/>
      <c r="X151" s="43" t="str">
        <f>IF(AND(NOT(ISBLANK(W151)),Dashboard!F73&gt;0), W151/Dashboard!F73, "")</f>
        <v/>
      </c>
    </row>
    <row r="152" spans="16:24" x14ac:dyDescent="0.35">
      <c r="P152" s="53"/>
      <c r="Q152" s="40"/>
      <c r="R152" s="43" t="str">
        <f>IF(AND(NOT(ISBLANK(Q152)),Dashboard!F16&gt;0), Q152/Dashboard!F16, "")</f>
        <v/>
      </c>
      <c r="S152" s="40"/>
      <c r="T152" s="43" t="str">
        <f>IF(AND(NOT(ISBLANK(S152)),Dashboard!F71&gt;0), S152/Dashboard!F71, "")</f>
        <v/>
      </c>
      <c r="U152" s="40"/>
      <c r="V152" s="43" t="str">
        <f>IF(AND(NOT(ISBLANK(U152)),Dashboard!F72&gt;0), U152/Dashboard!F72, "")</f>
        <v/>
      </c>
      <c r="W152" s="40"/>
      <c r="X152" s="43" t="str">
        <f>IF(AND(NOT(ISBLANK(W152)),Dashboard!F73&gt;0), W152/Dashboard!F73, "")</f>
        <v/>
      </c>
    </row>
    <row r="153" spans="16:24" x14ac:dyDescent="0.35">
      <c r="P153" s="53"/>
      <c r="Q153" s="40"/>
      <c r="R153" s="43" t="str">
        <f>IF(AND(NOT(ISBLANK(Q153)),Dashboard!F16&gt;0), Q153/Dashboard!F16, "")</f>
        <v/>
      </c>
      <c r="S153" s="40"/>
      <c r="T153" s="43" t="str">
        <f>IF(AND(NOT(ISBLANK(S153)),Dashboard!F71&gt;0), S153/Dashboard!F71, "")</f>
        <v/>
      </c>
      <c r="U153" s="40"/>
      <c r="V153" s="43" t="str">
        <f>IF(AND(NOT(ISBLANK(U153)),Dashboard!F72&gt;0), U153/Dashboard!F72, "")</f>
        <v/>
      </c>
      <c r="W153" s="40"/>
      <c r="X153" s="43" t="str">
        <f>IF(AND(NOT(ISBLANK(W153)),Dashboard!F73&gt;0), W153/Dashboard!F73, "")</f>
        <v/>
      </c>
    </row>
    <row r="154" spans="16:24" x14ac:dyDescent="0.35">
      <c r="P154" s="53"/>
      <c r="Q154" s="40"/>
      <c r="R154" s="43" t="str">
        <f>IF(AND(NOT(ISBLANK(Q154)),Dashboard!F16&gt;0), Q154/Dashboard!F16, "")</f>
        <v/>
      </c>
      <c r="S154" s="40"/>
      <c r="T154" s="43" t="str">
        <f>IF(AND(NOT(ISBLANK(S154)),Dashboard!F71&gt;0), S154/Dashboard!F71, "")</f>
        <v/>
      </c>
      <c r="U154" s="40"/>
      <c r="V154" s="43" t="str">
        <f>IF(AND(NOT(ISBLANK(U154)),Dashboard!F72&gt;0), U154/Dashboard!F72, "")</f>
        <v/>
      </c>
      <c r="W154" s="40"/>
      <c r="X154" s="43" t="str">
        <f>IF(AND(NOT(ISBLANK(W154)),Dashboard!F73&gt;0), W154/Dashboard!F73, "")</f>
        <v/>
      </c>
    </row>
    <row r="155" spans="16:24" x14ac:dyDescent="0.35">
      <c r="P155" s="53"/>
      <c r="Q155" s="40"/>
      <c r="R155" s="43" t="str">
        <f>IF(AND(NOT(ISBLANK(Q155)),Dashboard!F16&gt;0), Q155/Dashboard!F16, "")</f>
        <v/>
      </c>
      <c r="S155" s="40"/>
      <c r="T155" s="43" t="str">
        <f>IF(AND(NOT(ISBLANK(S155)),Dashboard!F71&gt;0), S155/Dashboard!F71, "")</f>
        <v/>
      </c>
      <c r="U155" s="40"/>
      <c r="V155" s="43" t="str">
        <f>IF(AND(NOT(ISBLANK(U155)),Dashboard!F72&gt;0), U155/Dashboard!F72, "")</f>
        <v/>
      </c>
      <c r="W155" s="40"/>
      <c r="X155" s="43" t="str">
        <f>IF(AND(NOT(ISBLANK(W155)),Dashboard!F73&gt;0), W155/Dashboard!F73, "")</f>
        <v/>
      </c>
    </row>
    <row r="156" spans="16:24" x14ac:dyDescent="0.35">
      <c r="P156" s="53"/>
      <c r="Q156" s="40"/>
      <c r="R156" s="43" t="str">
        <f>IF(AND(NOT(ISBLANK(Q156)),Dashboard!F16&gt;0), Q156/Dashboard!F16, "")</f>
        <v/>
      </c>
      <c r="S156" s="40"/>
      <c r="T156" s="43" t="str">
        <f>IF(AND(NOT(ISBLANK(S156)),Dashboard!F71&gt;0), S156/Dashboard!F71, "")</f>
        <v/>
      </c>
      <c r="U156" s="40"/>
      <c r="V156" s="43" t="str">
        <f>IF(AND(NOT(ISBLANK(U156)),Dashboard!F72&gt;0), U156/Dashboard!F72, "")</f>
        <v/>
      </c>
      <c r="W156" s="40"/>
      <c r="X156" s="43" t="str">
        <f>IF(AND(NOT(ISBLANK(W156)),Dashboard!F73&gt;0), W156/Dashboard!F73, "")</f>
        <v/>
      </c>
    </row>
    <row r="157" spans="16:24" x14ac:dyDescent="0.35">
      <c r="P157" s="53"/>
      <c r="Q157" s="40"/>
      <c r="R157" s="43" t="str">
        <f>IF(AND(NOT(ISBLANK(Q157)),Dashboard!F16&gt;0), Q157/Dashboard!F16, "")</f>
        <v/>
      </c>
      <c r="S157" s="40"/>
      <c r="T157" s="43" t="str">
        <f>IF(AND(NOT(ISBLANK(S157)),Dashboard!F71&gt;0), S157/Dashboard!F71, "")</f>
        <v/>
      </c>
      <c r="U157" s="40"/>
      <c r="V157" s="43" t="str">
        <f>IF(AND(NOT(ISBLANK(U157)),Dashboard!F72&gt;0), U157/Dashboard!F72, "")</f>
        <v/>
      </c>
      <c r="W157" s="40"/>
      <c r="X157" s="43" t="str">
        <f>IF(AND(NOT(ISBLANK(W157)),Dashboard!F73&gt;0), W157/Dashboard!F73, "")</f>
        <v/>
      </c>
    </row>
    <row r="162" spans="2:22" ht="21" x14ac:dyDescent="0.5">
      <c r="B162" s="37" t="s">
        <v>339</v>
      </c>
      <c r="P162" s="54" t="s">
        <v>340</v>
      </c>
    </row>
    <row r="164" spans="2:22" ht="45" customHeight="1" x14ac:dyDescent="0.35">
      <c r="B164" s="90" t="s">
        <v>341</v>
      </c>
      <c r="C164" s="87"/>
      <c r="D164" s="87"/>
      <c r="E164" s="87"/>
      <c r="F164" s="87"/>
      <c r="P164" s="90" t="s">
        <v>342</v>
      </c>
      <c r="Q164" s="87"/>
      <c r="R164" s="87"/>
      <c r="S164" s="87"/>
      <c r="T164" s="87"/>
      <c r="U164" s="87"/>
    </row>
    <row r="165" spans="2:22" ht="35" customHeight="1" x14ac:dyDescent="0.35">
      <c r="P165" s="81" t="s">
        <v>343</v>
      </c>
      <c r="Q165" s="81"/>
      <c r="R165" s="81" t="s">
        <v>344</v>
      </c>
      <c r="S165" s="81"/>
      <c r="T165" s="81"/>
    </row>
    <row r="166" spans="2:22" ht="30" customHeight="1" x14ac:dyDescent="0.35">
      <c r="P166" s="82">
        <v>0</v>
      </c>
      <c r="Q166" s="83"/>
      <c r="R166" s="84" t="s">
        <v>345</v>
      </c>
      <c r="S166" s="85"/>
      <c r="T166" s="85"/>
    </row>
    <row r="169" spans="2:22" ht="25" customHeight="1" x14ac:dyDescent="0.35">
      <c r="P169" s="63" t="s">
        <v>328</v>
      </c>
      <c r="Q169" s="63" t="s">
        <v>346</v>
      </c>
      <c r="R169" s="63" t="s">
        <v>347</v>
      </c>
      <c r="S169" s="86" t="s">
        <v>8</v>
      </c>
      <c r="T169" s="86"/>
      <c r="U169" s="86"/>
      <c r="V169" s="87"/>
    </row>
    <row r="170" spans="2:22" ht="20" customHeight="1" x14ac:dyDescent="0.35">
      <c r="P170" s="65"/>
      <c r="Q170" s="66"/>
      <c r="R170" s="67" t="str">
        <f>IF(AND(NOT(ISBLANK(Q170)), Dashboard!$P166&gt;0), Q170/Dashboard!$P166, "")</f>
        <v/>
      </c>
      <c r="S170" s="79"/>
      <c r="T170" s="80"/>
      <c r="U170" s="80"/>
      <c r="V170" s="80"/>
    </row>
    <row r="171" spans="2:22" ht="20" customHeight="1" x14ac:dyDescent="0.35">
      <c r="P171" s="65"/>
      <c r="Q171" s="66"/>
      <c r="R171" s="67" t="str">
        <f>IF(AND(NOT(ISBLANK(Q171)), Dashboard!$P166&gt;0), Q171/Dashboard!$P166, "")</f>
        <v/>
      </c>
      <c r="S171" s="79"/>
      <c r="T171" s="80"/>
      <c r="U171" s="80"/>
      <c r="V171" s="80"/>
    </row>
    <row r="172" spans="2:22" ht="20" customHeight="1" x14ac:dyDescent="0.35">
      <c r="P172" s="65"/>
      <c r="Q172" s="66"/>
      <c r="R172" s="67" t="str">
        <f>IF(AND(NOT(ISBLANK(Q172)), Dashboard!$P166&gt;0), Q172/Dashboard!$P166, "")</f>
        <v/>
      </c>
      <c r="S172" s="79"/>
      <c r="T172" s="80"/>
      <c r="U172" s="80"/>
      <c r="V172" s="80"/>
    </row>
    <row r="173" spans="2:22" ht="20" customHeight="1" x14ac:dyDescent="0.35">
      <c r="P173" s="65"/>
      <c r="Q173" s="66"/>
      <c r="R173" s="67" t="str">
        <f>IF(AND(NOT(ISBLANK(Q173)), Dashboard!$P166&gt;0), Q173/Dashboard!$P166, "")</f>
        <v/>
      </c>
      <c r="S173" s="79"/>
      <c r="T173" s="80"/>
      <c r="U173" s="80"/>
      <c r="V173" s="80"/>
    </row>
    <row r="174" spans="2:22" ht="20" customHeight="1" x14ac:dyDescent="0.35">
      <c r="P174" s="65"/>
      <c r="Q174" s="66"/>
      <c r="R174" s="67" t="str">
        <f>IF(AND(NOT(ISBLANK(Q174)), Dashboard!$P166&gt;0), Q174/Dashboard!$P166, "")</f>
        <v/>
      </c>
      <c r="S174" s="79"/>
      <c r="T174" s="80"/>
      <c r="U174" s="80"/>
      <c r="V174" s="80"/>
    </row>
    <row r="175" spans="2:22" ht="20" customHeight="1" x14ac:dyDescent="0.35">
      <c r="P175" s="65"/>
      <c r="Q175" s="66"/>
      <c r="R175" s="67" t="str">
        <f>IF(AND(NOT(ISBLANK(Q175)), Dashboard!$P166&gt;0), Q175/Dashboard!$P166, "")</f>
        <v/>
      </c>
      <c r="S175" s="79"/>
      <c r="T175" s="80"/>
      <c r="U175" s="80"/>
      <c r="V175" s="80"/>
    </row>
    <row r="176" spans="2:22" ht="20" customHeight="1" x14ac:dyDescent="0.35">
      <c r="P176" s="65"/>
      <c r="Q176" s="66"/>
      <c r="R176" s="67" t="str">
        <f>IF(AND(NOT(ISBLANK(Q176)), Dashboard!$P166&gt;0), Q176/Dashboard!$P166, "")</f>
        <v/>
      </c>
      <c r="S176" s="79"/>
      <c r="T176" s="80"/>
      <c r="U176" s="80"/>
      <c r="V176" s="80"/>
    </row>
    <row r="177" spans="16:22" ht="20" customHeight="1" x14ac:dyDescent="0.35">
      <c r="P177" s="65"/>
      <c r="Q177" s="66"/>
      <c r="R177" s="67" t="str">
        <f>IF(AND(NOT(ISBLANK(Q177)), Dashboard!$P166&gt;0), Q177/Dashboard!$P166, "")</f>
        <v/>
      </c>
      <c r="S177" s="79"/>
      <c r="T177" s="80"/>
      <c r="U177" s="80"/>
      <c r="V177" s="80"/>
    </row>
    <row r="178" spans="16:22" ht="20" customHeight="1" x14ac:dyDescent="0.35">
      <c r="P178" s="65"/>
      <c r="Q178" s="66"/>
      <c r="R178" s="67" t="str">
        <f>IF(AND(NOT(ISBLANK(Q178)), Dashboard!$P166&gt;0), Q178/Dashboard!$P166, "")</f>
        <v/>
      </c>
      <c r="S178" s="79"/>
      <c r="T178" s="80"/>
      <c r="U178" s="80"/>
      <c r="V178" s="80"/>
    </row>
    <row r="179" spans="16:22" ht="20" customHeight="1" x14ac:dyDescent="0.35">
      <c r="P179" s="65"/>
      <c r="Q179" s="66"/>
      <c r="R179" s="67" t="str">
        <f>IF(AND(NOT(ISBLANK(Q179)), Dashboard!$P166&gt;0), Q179/Dashboard!$P166, "")</f>
        <v/>
      </c>
      <c r="S179" s="79"/>
      <c r="T179" s="80"/>
      <c r="U179" s="80"/>
      <c r="V179" s="80"/>
    </row>
    <row r="180" spans="16:22" ht="20" customHeight="1" x14ac:dyDescent="0.35">
      <c r="P180" s="65"/>
      <c r="Q180" s="66"/>
      <c r="R180" s="67" t="str">
        <f>IF(AND(NOT(ISBLANK(Q180)), Dashboard!$P166&gt;0), Q180/Dashboard!$P166, "")</f>
        <v/>
      </c>
      <c r="S180" s="79"/>
      <c r="T180" s="80"/>
      <c r="U180" s="80"/>
      <c r="V180" s="80"/>
    </row>
    <row r="181" spans="16:22" ht="20" customHeight="1" x14ac:dyDescent="0.35">
      <c r="P181" s="65"/>
      <c r="Q181" s="66"/>
      <c r="R181" s="67" t="str">
        <f>IF(AND(NOT(ISBLANK(Q181)), Dashboard!$P166&gt;0), Q181/Dashboard!$P166, "")</f>
        <v/>
      </c>
      <c r="S181" s="79"/>
      <c r="T181" s="80"/>
      <c r="U181" s="80"/>
      <c r="V181" s="80"/>
    </row>
    <row r="182" spans="16:22" ht="20" customHeight="1" x14ac:dyDescent="0.35">
      <c r="P182" s="65"/>
      <c r="Q182" s="66"/>
      <c r="R182" s="67" t="str">
        <f>IF(AND(NOT(ISBLANK(Q182)), Dashboard!$P166&gt;0), Q182/Dashboard!$P166, "")</f>
        <v/>
      </c>
      <c r="S182" s="79"/>
      <c r="T182" s="80"/>
      <c r="U182" s="80"/>
      <c r="V182" s="80"/>
    </row>
    <row r="183" spans="16:22" ht="20" customHeight="1" x14ac:dyDescent="0.35">
      <c r="P183" s="65"/>
      <c r="Q183" s="66"/>
      <c r="R183" s="67" t="str">
        <f>IF(AND(NOT(ISBLANK(Q183)), Dashboard!$P166&gt;0), Q183/Dashboard!$P166, "")</f>
        <v/>
      </c>
      <c r="S183" s="79"/>
      <c r="T183" s="80"/>
      <c r="U183" s="80"/>
      <c r="V183" s="80"/>
    </row>
    <row r="184" spans="16:22" ht="20" customHeight="1" x14ac:dyDescent="0.35">
      <c r="P184" s="65"/>
      <c r="Q184" s="66"/>
      <c r="R184" s="67" t="str">
        <f>IF(AND(NOT(ISBLANK(Q184)), Dashboard!$P166&gt;0), Q184/Dashboard!$P166, "")</f>
        <v/>
      </c>
      <c r="S184" s="79"/>
      <c r="T184" s="80"/>
      <c r="U184" s="80"/>
      <c r="V184" s="80"/>
    </row>
    <row r="185" spans="16:22" ht="20" customHeight="1" x14ac:dyDescent="0.35">
      <c r="P185" s="65"/>
      <c r="Q185" s="66"/>
      <c r="R185" s="67" t="str">
        <f>IF(AND(NOT(ISBLANK(Q185)), Dashboard!$P166&gt;0), Q185/Dashboard!$P166, "")</f>
        <v/>
      </c>
      <c r="S185" s="79"/>
      <c r="T185" s="80"/>
      <c r="U185" s="80"/>
      <c r="V185" s="80"/>
    </row>
    <row r="186" spans="16:22" ht="20" customHeight="1" x14ac:dyDescent="0.35">
      <c r="P186" s="65"/>
      <c r="Q186" s="66"/>
      <c r="R186" s="67" t="str">
        <f>IF(AND(NOT(ISBLANK(Q186)), Dashboard!$P166&gt;0), Q186/Dashboard!$P166, "")</f>
        <v/>
      </c>
      <c r="S186" s="79"/>
      <c r="T186" s="80"/>
      <c r="U186" s="80"/>
      <c r="V186" s="80"/>
    </row>
    <row r="187" spans="16:22" ht="20" customHeight="1" x14ac:dyDescent="0.35">
      <c r="P187" s="65"/>
      <c r="Q187" s="66"/>
      <c r="R187" s="67" t="str">
        <f>IF(AND(NOT(ISBLANK(Q187)), Dashboard!$P166&gt;0), Q187/Dashboard!$P166, "")</f>
        <v/>
      </c>
      <c r="S187" s="79"/>
      <c r="T187" s="80"/>
      <c r="U187" s="80"/>
      <c r="V187" s="80"/>
    </row>
    <row r="188" spans="16:22" ht="20" customHeight="1" x14ac:dyDescent="0.35">
      <c r="P188" s="65"/>
      <c r="Q188" s="66"/>
      <c r="R188" s="67" t="str">
        <f>IF(AND(NOT(ISBLANK(Q188)), Dashboard!$P166&gt;0), Q188/Dashboard!$P166, "")</f>
        <v/>
      </c>
      <c r="S188" s="79"/>
      <c r="T188" s="80"/>
      <c r="U188" s="80"/>
      <c r="V188" s="80"/>
    </row>
    <row r="189" spans="16:22" ht="20" customHeight="1" x14ac:dyDescent="0.35">
      <c r="P189" s="65"/>
      <c r="Q189" s="66"/>
      <c r="R189" s="67" t="str">
        <f>IF(AND(NOT(ISBLANK(Q189)), Dashboard!$P166&gt;0), Q189/Dashboard!$P166, "")</f>
        <v/>
      </c>
      <c r="S189" s="79"/>
      <c r="T189" s="80"/>
      <c r="U189" s="80"/>
      <c r="V189" s="80"/>
    </row>
    <row r="193" spans="2:9" ht="32" customHeight="1" x14ac:dyDescent="0.35">
      <c r="B193" s="78" t="s">
        <v>223</v>
      </c>
      <c r="C193" s="78"/>
      <c r="D193" s="78"/>
      <c r="E193" s="78"/>
      <c r="F193" s="78"/>
      <c r="G193" s="78"/>
      <c r="H193" s="78"/>
      <c r="I193" s="78"/>
    </row>
  </sheetData>
  <mergeCells count="55">
    <mergeCell ref="B2:I2"/>
    <mergeCell ref="F5:H5"/>
    <mergeCell ref="I5:O5"/>
    <mergeCell ref="F6:H6"/>
    <mergeCell ref="I6:O6"/>
    <mergeCell ref="F7:H7"/>
    <mergeCell ref="I7:O7"/>
    <mergeCell ref="F8:H8"/>
    <mergeCell ref="I8:O8"/>
    <mergeCell ref="F9:H9"/>
    <mergeCell ref="I9:O9"/>
    <mergeCell ref="C108:D108"/>
    <mergeCell ref="G108:H108"/>
    <mergeCell ref="C109:D109"/>
    <mergeCell ref="G109:H109"/>
    <mergeCell ref="C110:D110"/>
    <mergeCell ref="G110:H110"/>
    <mergeCell ref="C111:D111"/>
    <mergeCell ref="G111:H111"/>
    <mergeCell ref="C112:D112"/>
    <mergeCell ref="G112:H112"/>
    <mergeCell ref="C113:D113"/>
    <mergeCell ref="G113:H113"/>
    <mergeCell ref="C114:D114"/>
    <mergeCell ref="G114:H114"/>
    <mergeCell ref="B123:F123"/>
    <mergeCell ref="P123:W123"/>
    <mergeCell ref="B164:F164"/>
    <mergeCell ref="P164:U164"/>
    <mergeCell ref="P165:Q165"/>
    <mergeCell ref="R165:T165"/>
    <mergeCell ref="P166:Q166"/>
    <mergeCell ref="R166:T166"/>
    <mergeCell ref="S169:V169"/>
    <mergeCell ref="S170:V170"/>
    <mergeCell ref="S171:V171"/>
    <mergeCell ref="S172:V172"/>
    <mergeCell ref="S173:V173"/>
    <mergeCell ref="S174:V174"/>
    <mergeCell ref="S175:V175"/>
    <mergeCell ref="S176:V176"/>
    <mergeCell ref="S177:V177"/>
    <mergeCell ref="S178:V178"/>
    <mergeCell ref="S179:V179"/>
    <mergeCell ref="S180:V180"/>
    <mergeCell ref="S181:V181"/>
    <mergeCell ref="S182:V182"/>
    <mergeCell ref="S183:V183"/>
    <mergeCell ref="S184:V184"/>
    <mergeCell ref="B193:I193"/>
    <mergeCell ref="S185:V185"/>
    <mergeCell ref="S186:V186"/>
    <mergeCell ref="S187:V187"/>
    <mergeCell ref="S188:V188"/>
    <mergeCell ref="S189:V189"/>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9:H114">
    <cfRule type="expression" dxfId="29" priority="4">
      <formula>$G109&gt;=0.8</formula>
    </cfRule>
    <cfRule type="expression" dxfId="28" priority="5">
      <formula>AND($G109&gt;=0.5,$G109&lt;0.8)</formula>
    </cfRule>
    <cfRule type="expression" dxfId="27" priority="6">
      <formula>$G109&lt;0.5</formula>
    </cfRule>
  </conditionalFormatting>
  <conditionalFormatting sqref="K109:K114">
    <cfRule type="cellIs" dxfId="26" priority="7" operator="greaterThan">
      <formula>0</formula>
    </cfRule>
  </conditionalFormatting>
  <conditionalFormatting sqref="L109:L114">
    <cfRule type="cellIs" dxfId="25" priority="8" operator="greaterThan">
      <formula>0</formula>
    </cfRule>
  </conditionalFormatting>
  <conditionalFormatting sqref="M109:M114">
    <cfRule type="cellIs" dxfId="24" priority="9" operator="greaterThan">
      <formula>0</formula>
    </cfRule>
  </conditionalFormatting>
  <conditionalFormatting sqref="N109:N114">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8" xr:uid="{00000000-0002-0000-0100-000000000000}">
      <formula1>0</formula1>
      <formula2>C16</formula2>
    </dataValidation>
    <dataValidation type="whole" allowBlank="1" showErrorMessage="1" errorTitle="Invalid count" error="Value must be between 0 and the current implemented total." sqref="S128" xr:uid="{00000000-0002-0000-0100-000001000000}">
      <formula1>0</formula1>
      <formula2>C71</formula2>
    </dataValidation>
    <dataValidation type="whole" allowBlank="1" showErrorMessage="1" errorTitle="Invalid count" error="Value must be between 0 and the current implemented total." sqref="U128" xr:uid="{00000000-0002-0000-0100-000002000000}">
      <formula1>0</formula1>
      <formula2>C72</formula2>
    </dataValidation>
    <dataValidation type="whole" allowBlank="1" showErrorMessage="1" errorTitle="Invalid count" error="Value must be between 0 and the current implemented total." sqref="W128" xr:uid="{00000000-0002-0000-0100-000003000000}">
      <formula1>0</formula1>
      <formula2>C73</formula2>
    </dataValidation>
    <dataValidation type="whole" allowBlank="1" showErrorMessage="1" errorTitle="Invalid overall count" error="Overall count must be between 0 and the current implemented total." sqref="Q129" xr:uid="{00000000-0002-0000-0100-000004000000}">
      <formula1>0</formula1>
      <formula2>C16</formula2>
    </dataValidation>
    <dataValidation type="whole" allowBlank="1" showErrorMessage="1" errorTitle="Invalid count" error="Value must be between 0 and the current implemented total." sqref="S129" xr:uid="{00000000-0002-0000-0100-000005000000}">
      <formula1>0</formula1>
      <formula2>C71</formula2>
    </dataValidation>
    <dataValidation type="whole" allowBlank="1" showErrorMessage="1" errorTitle="Invalid count" error="Value must be between 0 and the current implemented total." sqref="U129" xr:uid="{00000000-0002-0000-0100-000006000000}">
      <formula1>0</formula1>
      <formula2>C72</formula2>
    </dataValidation>
    <dataValidation type="whole" allowBlank="1" showErrorMessage="1" errorTitle="Invalid count" error="Value must be between 0 and the current implemented total." sqref="W129" xr:uid="{00000000-0002-0000-0100-000007000000}">
      <formula1>0</formula1>
      <formula2>C73</formula2>
    </dataValidation>
    <dataValidation type="whole" allowBlank="1" showErrorMessage="1" errorTitle="Invalid overall count" error="Overall count must be between 0 and the current implemented total." sqref="Q130" xr:uid="{00000000-0002-0000-0100-000008000000}">
      <formula1>0</formula1>
      <formula2>C16</formula2>
    </dataValidation>
    <dataValidation type="whole" allowBlank="1" showErrorMessage="1" errorTitle="Invalid count" error="Value must be between 0 and the current implemented total." sqref="S130" xr:uid="{00000000-0002-0000-0100-000009000000}">
      <formula1>0</formula1>
      <formula2>C71</formula2>
    </dataValidation>
    <dataValidation type="whole" allowBlank="1" showErrorMessage="1" errorTitle="Invalid count" error="Value must be between 0 and the current implemented total." sqref="U130" xr:uid="{00000000-0002-0000-0100-00000A000000}">
      <formula1>0</formula1>
      <formula2>C72</formula2>
    </dataValidation>
    <dataValidation type="whole" allowBlank="1" showErrorMessage="1" errorTitle="Invalid count" error="Value must be between 0 and the current implemented total." sqref="W130" xr:uid="{00000000-0002-0000-0100-00000B000000}">
      <formula1>0</formula1>
      <formula2>C73</formula2>
    </dataValidation>
    <dataValidation type="whole" allowBlank="1" showErrorMessage="1" errorTitle="Invalid overall count" error="Overall count must be between 0 and the current implemented total." sqref="Q131" xr:uid="{00000000-0002-0000-0100-00000C000000}">
      <formula1>0</formula1>
      <formula2>C16</formula2>
    </dataValidation>
    <dataValidation type="whole" allowBlank="1" showErrorMessage="1" errorTitle="Invalid count" error="Value must be between 0 and the current implemented total." sqref="S131" xr:uid="{00000000-0002-0000-0100-00000D000000}">
      <formula1>0</formula1>
      <formula2>C71</formula2>
    </dataValidation>
    <dataValidation type="whole" allowBlank="1" showErrorMessage="1" errorTitle="Invalid count" error="Value must be between 0 and the current implemented total." sqref="U131" xr:uid="{00000000-0002-0000-0100-00000E000000}">
      <formula1>0</formula1>
      <formula2>C72</formula2>
    </dataValidation>
    <dataValidation type="whole" allowBlank="1" showErrorMessage="1" errorTitle="Invalid count" error="Value must be between 0 and the current implemented total." sqref="W131" xr:uid="{00000000-0002-0000-0100-00000F000000}">
      <formula1>0</formula1>
      <formula2>C73</formula2>
    </dataValidation>
    <dataValidation type="whole" allowBlank="1" showErrorMessage="1" errorTitle="Invalid overall count" error="Overall count must be between 0 and the current implemented total." sqref="Q132" xr:uid="{00000000-0002-0000-0100-000010000000}">
      <formula1>0</formula1>
      <formula2>C16</formula2>
    </dataValidation>
    <dataValidation type="whole" allowBlank="1" showErrorMessage="1" errorTitle="Invalid count" error="Value must be between 0 and the current implemented total." sqref="S132" xr:uid="{00000000-0002-0000-0100-000011000000}">
      <formula1>0</formula1>
      <formula2>C71</formula2>
    </dataValidation>
    <dataValidation type="whole" allowBlank="1" showErrorMessage="1" errorTitle="Invalid count" error="Value must be between 0 and the current implemented total." sqref="U132" xr:uid="{00000000-0002-0000-0100-000012000000}">
      <formula1>0</formula1>
      <formula2>C72</formula2>
    </dataValidation>
    <dataValidation type="whole" allowBlank="1" showErrorMessage="1" errorTitle="Invalid count" error="Value must be between 0 and the current implemented total." sqref="W132" xr:uid="{00000000-0002-0000-0100-000013000000}">
      <formula1>0</formula1>
      <formula2>C73</formula2>
    </dataValidation>
    <dataValidation type="whole" allowBlank="1" showErrorMessage="1" errorTitle="Invalid overall count" error="Overall count must be between 0 and the current implemented total." sqref="Q133" xr:uid="{00000000-0002-0000-0100-000014000000}">
      <formula1>0</formula1>
      <formula2>C16</formula2>
    </dataValidation>
    <dataValidation type="whole" allowBlank="1" showErrorMessage="1" errorTitle="Invalid count" error="Value must be between 0 and the current implemented total." sqref="S133" xr:uid="{00000000-0002-0000-0100-000015000000}">
      <formula1>0</formula1>
      <formula2>C71</formula2>
    </dataValidation>
    <dataValidation type="whole" allowBlank="1" showErrorMessage="1" errorTitle="Invalid count" error="Value must be between 0 and the current implemented total." sqref="U133" xr:uid="{00000000-0002-0000-0100-000016000000}">
      <formula1>0</formula1>
      <formula2>C72</formula2>
    </dataValidation>
    <dataValidation type="whole" allowBlank="1" showErrorMessage="1" errorTitle="Invalid count" error="Value must be between 0 and the current implemented total." sqref="W133" xr:uid="{00000000-0002-0000-0100-000017000000}">
      <formula1>0</formula1>
      <formula2>C73</formula2>
    </dataValidation>
    <dataValidation type="whole" allowBlank="1" showErrorMessage="1" errorTitle="Invalid overall count" error="Overall count must be between 0 and the current implemented total." sqref="Q134" xr:uid="{00000000-0002-0000-0100-000018000000}">
      <formula1>0</formula1>
      <formula2>C16</formula2>
    </dataValidation>
    <dataValidation type="whole" allowBlank="1" showErrorMessage="1" errorTitle="Invalid count" error="Value must be between 0 and the current implemented total." sqref="S134" xr:uid="{00000000-0002-0000-0100-000019000000}">
      <formula1>0</formula1>
      <formula2>C71</formula2>
    </dataValidation>
    <dataValidation type="whole" allowBlank="1" showErrorMessage="1" errorTitle="Invalid count" error="Value must be between 0 and the current implemented total." sqref="U134" xr:uid="{00000000-0002-0000-0100-00001A000000}">
      <formula1>0</formula1>
      <formula2>C72</formula2>
    </dataValidation>
    <dataValidation type="whole" allowBlank="1" showErrorMessage="1" errorTitle="Invalid count" error="Value must be between 0 and the current implemented total." sqref="W134" xr:uid="{00000000-0002-0000-0100-00001B000000}">
      <formula1>0</formula1>
      <formula2>C73</formula2>
    </dataValidation>
    <dataValidation type="whole" allowBlank="1" showErrorMessage="1" errorTitle="Invalid overall count" error="Overall count must be between 0 and the current implemented total." sqref="Q135" xr:uid="{00000000-0002-0000-0100-00001C000000}">
      <formula1>0</formula1>
      <formula2>C16</formula2>
    </dataValidation>
    <dataValidation type="whole" allowBlank="1" showErrorMessage="1" errorTitle="Invalid count" error="Value must be between 0 and the current implemented total." sqref="S135" xr:uid="{00000000-0002-0000-0100-00001D000000}">
      <formula1>0</formula1>
      <formula2>C71</formula2>
    </dataValidation>
    <dataValidation type="whole" allowBlank="1" showErrorMessage="1" errorTitle="Invalid count" error="Value must be between 0 and the current implemented total." sqref="U135" xr:uid="{00000000-0002-0000-0100-00001E000000}">
      <formula1>0</formula1>
      <formula2>C72</formula2>
    </dataValidation>
    <dataValidation type="whole" allowBlank="1" showErrorMessage="1" errorTitle="Invalid count" error="Value must be between 0 and the current implemented total." sqref="W135" xr:uid="{00000000-0002-0000-0100-00001F000000}">
      <formula1>0</formula1>
      <formula2>C73</formula2>
    </dataValidation>
    <dataValidation type="whole" allowBlank="1" showErrorMessage="1" errorTitle="Invalid overall count" error="Overall count must be between 0 and the current implemented total." sqref="Q136" xr:uid="{00000000-0002-0000-0100-000020000000}">
      <formula1>0</formula1>
      <formula2>C16</formula2>
    </dataValidation>
    <dataValidation type="whole" allowBlank="1" showErrorMessage="1" errorTitle="Invalid count" error="Value must be between 0 and the current implemented total." sqref="S136" xr:uid="{00000000-0002-0000-0100-000021000000}">
      <formula1>0</formula1>
      <formula2>C71</formula2>
    </dataValidation>
    <dataValidation type="whole" allowBlank="1" showErrorMessage="1" errorTitle="Invalid count" error="Value must be between 0 and the current implemented total." sqref="U136" xr:uid="{00000000-0002-0000-0100-000022000000}">
      <formula1>0</formula1>
      <formula2>C72</formula2>
    </dataValidation>
    <dataValidation type="whole" allowBlank="1" showErrorMessage="1" errorTitle="Invalid count" error="Value must be between 0 and the current implemented total." sqref="W136" xr:uid="{00000000-0002-0000-0100-000023000000}">
      <formula1>0</formula1>
      <formula2>C73</formula2>
    </dataValidation>
    <dataValidation type="whole" allowBlank="1" showErrorMessage="1" errorTitle="Invalid overall count" error="Overall count must be between 0 and the current implemented total." sqref="Q137" xr:uid="{00000000-0002-0000-0100-000024000000}">
      <formula1>0</formula1>
      <formula2>C16</formula2>
    </dataValidation>
    <dataValidation type="whole" allowBlank="1" showErrorMessage="1" errorTitle="Invalid count" error="Value must be between 0 and the current implemented total." sqref="S137" xr:uid="{00000000-0002-0000-0100-000025000000}">
      <formula1>0</formula1>
      <formula2>C71</formula2>
    </dataValidation>
    <dataValidation type="whole" allowBlank="1" showErrorMessage="1" errorTitle="Invalid count" error="Value must be between 0 and the current implemented total." sqref="U137" xr:uid="{00000000-0002-0000-0100-000026000000}">
      <formula1>0</formula1>
      <formula2>C72</formula2>
    </dataValidation>
    <dataValidation type="whole" allowBlank="1" showErrorMessage="1" errorTitle="Invalid count" error="Value must be between 0 and the current implemented total." sqref="W137" xr:uid="{00000000-0002-0000-0100-000027000000}">
      <formula1>0</formula1>
      <formula2>C73</formula2>
    </dataValidation>
    <dataValidation type="whole" allowBlank="1" showErrorMessage="1" errorTitle="Invalid overall count" error="Overall count must be between 0 and the current implemented total." sqref="Q138" xr:uid="{00000000-0002-0000-0100-000028000000}">
      <formula1>0</formula1>
      <formula2>C16</formula2>
    </dataValidation>
    <dataValidation type="whole" allowBlank="1" showErrorMessage="1" errorTitle="Invalid count" error="Value must be between 0 and the current implemented total." sqref="S138" xr:uid="{00000000-0002-0000-0100-000029000000}">
      <formula1>0</formula1>
      <formula2>C71</formula2>
    </dataValidation>
    <dataValidation type="whole" allowBlank="1" showErrorMessage="1" errorTitle="Invalid count" error="Value must be between 0 and the current implemented total." sqref="U138" xr:uid="{00000000-0002-0000-0100-00002A000000}">
      <formula1>0</formula1>
      <formula2>C72</formula2>
    </dataValidation>
    <dataValidation type="whole" allowBlank="1" showErrorMessage="1" errorTitle="Invalid count" error="Value must be between 0 and the current implemented total." sqref="W138" xr:uid="{00000000-0002-0000-0100-00002B000000}">
      <formula1>0</formula1>
      <formula2>C73</formula2>
    </dataValidation>
    <dataValidation type="whole" allowBlank="1" showErrorMessage="1" errorTitle="Invalid overall count" error="Overall count must be between 0 and the current implemented total." sqref="Q139" xr:uid="{00000000-0002-0000-0100-00002C000000}">
      <formula1>0</formula1>
      <formula2>C16</formula2>
    </dataValidation>
    <dataValidation type="whole" allowBlank="1" showErrorMessage="1" errorTitle="Invalid count" error="Value must be between 0 and the current implemented total." sqref="S139" xr:uid="{00000000-0002-0000-0100-00002D000000}">
      <formula1>0</formula1>
      <formula2>C71</formula2>
    </dataValidation>
    <dataValidation type="whole" allowBlank="1" showErrorMessage="1" errorTitle="Invalid count" error="Value must be between 0 and the current implemented total." sqref="U139" xr:uid="{00000000-0002-0000-0100-00002E000000}">
      <formula1>0</formula1>
      <formula2>C72</formula2>
    </dataValidation>
    <dataValidation type="whole" allowBlank="1" showErrorMessage="1" errorTitle="Invalid count" error="Value must be between 0 and the current implemented total." sqref="W139" xr:uid="{00000000-0002-0000-0100-00002F000000}">
      <formula1>0</formula1>
      <formula2>C73</formula2>
    </dataValidation>
    <dataValidation type="whole" allowBlank="1" showErrorMessage="1" errorTitle="Invalid overall count" error="Overall count must be between 0 and the current implemented total." sqref="Q140" xr:uid="{00000000-0002-0000-0100-000030000000}">
      <formula1>0</formula1>
      <formula2>C16</formula2>
    </dataValidation>
    <dataValidation type="whole" allowBlank="1" showErrorMessage="1" errorTitle="Invalid count" error="Value must be between 0 and the current implemented total." sqref="S140" xr:uid="{00000000-0002-0000-0100-000031000000}">
      <formula1>0</formula1>
      <formula2>C71</formula2>
    </dataValidation>
    <dataValidation type="whole" allowBlank="1" showErrorMessage="1" errorTitle="Invalid count" error="Value must be between 0 and the current implemented total." sqref="U140" xr:uid="{00000000-0002-0000-0100-000032000000}">
      <formula1>0</formula1>
      <formula2>C72</formula2>
    </dataValidation>
    <dataValidation type="whole" allowBlank="1" showErrorMessage="1" errorTitle="Invalid count" error="Value must be between 0 and the current implemented total." sqref="W140" xr:uid="{00000000-0002-0000-0100-000033000000}">
      <formula1>0</formula1>
      <formula2>C73</formula2>
    </dataValidation>
    <dataValidation type="whole" allowBlank="1" showErrorMessage="1" errorTitle="Invalid overall count" error="Overall count must be between 0 and the current implemented total." sqref="Q141" xr:uid="{00000000-0002-0000-0100-000034000000}">
      <formula1>0</formula1>
      <formula2>C16</formula2>
    </dataValidation>
    <dataValidation type="whole" allowBlank="1" showErrorMessage="1" errorTitle="Invalid count" error="Value must be between 0 and the current implemented total." sqref="S141" xr:uid="{00000000-0002-0000-0100-000035000000}">
      <formula1>0</formula1>
      <formula2>C71</formula2>
    </dataValidation>
    <dataValidation type="whole" allowBlank="1" showErrorMessage="1" errorTitle="Invalid count" error="Value must be between 0 and the current implemented total." sqref="U141" xr:uid="{00000000-0002-0000-0100-000036000000}">
      <formula1>0</formula1>
      <formula2>C72</formula2>
    </dataValidation>
    <dataValidation type="whole" allowBlank="1" showErrorMessage="1" errorTitle="Invalid count" error="Value must be between 0 and the current implemented total." sqref="W141" xr:uid="{00000000-0002-0000-0100-000037000000}">
      <formula1>0</formula1>
      <formula2>C73</formula2>
    </dataValidation>
    <dataValidation type="whole" allowBlank="1" showErrorMessage="1" errorTitle="Invalid overall count" error="Overall count must be between 0 and the current implemented total." sqref="Q142" xr:uid="{00000000-0002-0000-0100-000038000000}">
      <formula1>0</formula1>
      <formula2>C16</formula2>
    </dataValidation>
    <dataValidation type="whole" allowBlank="1" showErrorMessage="1" errorTitle="Invalid count" error="Value must be between 0 and the current implemented total." sqref="S142" xr:uid="{00000000-0002-0000-0100-000039000000}">
      <formula1>0</formula1>
      <formula2>C71</formula2>
    </dataValidation>
    <dataValidation type="whole" allowBlank="1" showErrorMessage="1" errorTitle="Invalid count" error="Value must be between 0 and the current implemented total." sqref="U142" xr:uid="{00000000-0002-0000-0100-00003A000000}">
      <formula1>0</formula1>
      <formula2>C72</formula2>
    </dataValidation>
    <dataValidation type="whole" allowBlank="1" showErrorMessage="1" errorTitle="Invalid count" error="Value must be between 0 and the current implemented total." sqref="W142" xr:uid="{00000000-0002-0000-0100-00003B000000}">
      <formula1>0</formula1>
      <formula2>C73</formula2>
    </dataValidation>
    <dataValidation type="whole" allowBlank="1" showErrorMessage="1" errorTitle="Invalid overall count" error="Overall count must be between 0 and the current implemented total." sqref="Q143" xr:uid="{00000000-0002-0000-0100-00003C000000}">
      <formula1>0</formula1>
      <formula2>C16</formula2>
    </dataValidation>
    <dataValidation type="whole" allowBlank="1" showErrorMessage="1" errorTitle="Invalid count" error="Value must be between 0 and the current implemented total." sqref="S143" xr:uid="{00000000-0002-0000-0100-00003D000000}">
      <formula1>0</formula1>
      <formula2>C71</formula2>
    </dataValidation>
    <dataValidation type="whole" allowBlank="1" showErrorMessage="1" errorTitle="Invalid count" error="Value must be between 0 and the current implemented total." sqref="U143" xr:uid="{00000000-0002-0000-0100-00003E000000}">
      <formula1>0</formula1>
      <formula2>C72</formula2>
    </dataValidation>
    <dataValidation type="whole" allowBlank="1" showErrorMessage="1" errorTitle="Invalid count" error="Value must be between 0 and the current implemented total." sqref="W143" xr:uid="{00000000-0002-0000-0100-00003F000000}">
      <formula1>0</formula1>
      <formula2>C73</formula2>
    </dataValidation>
    <dataValidation type="whole" allowBlank="1" showErrorMessage="1" errorTitle="Invalid overall count" error="Overall count must be between 0 and the current implemented total." sqref="Q144" xr:uid="{00000000-0002-0000-0100-000040000000}">
      <formula1>0</formula1>
      <formula2>C16</formula2>
    </dataValidation>
    <dataValidation type="whole" allowBlank="1" showErrorMessage="1" errorTitle="Invalid count" error="Value must be between 0 and the current implemented total." sqref="S144" xr:uid="{00000000-0002-0000-0100-000041000000}">
      <formula1>0</formula1>
      <formula2>C71</formula2>
    </dataValidation>
    <dataValidation type="whole" allowBlank="1" showErrorMessage="1" errorTitle="Invalid count" error="Value must be between 0 and the current implemented total." sqref="U144" xr:uid="{00000000-0002-0000-0100-000042000000}">
      <formula1>0</formula1>
      <formula2>C72</formula2>
    </dataValidation>
    <dataValidation type="whole" allowBlank="1" showErrorMessage="1" errorTitle="Invalid count" error="Value must be between 0 and the current implemented total." sqref="W144" xr:uid="{00000000-0002-0000-0100-000043000000}">
      <formula1>0</formula1>
      <formula2>C73</formula2>
    </dataValidation>
    <dataValidation type="whole" allowBlank="1" showErrorMessage="1" errorTitle="Invalid overall count" error="Overall count must be between 0 and the current implemented total." sqref="Q145" xr:uid="{00000000-0002-0000-0100-000044000000}">
      <formula1>0</formula1>
      <formula2>C16</formula2>
    </dataValidation>
    <dataValidation type="whole" allowBlank="1" showErrorMessage="1" errorTitle="Invalid count" error="Value must be between 0 and the current implemented total." sqref="S145" xr:uid="{00000000-0002-0000-0100-000045000000}">
      <formula1>0</formula1>
      <formula2>C71</formula2>
    </dataValidation>
    <dataValidation type="whole" allowBlank="1" showErrorMessage="1" errorTitle="Invalid count" error="Value must be between 0 and the current implemented total." sqref="U145" xr:uid="{00000000-0002-0000-0100-000046000000}">
      <formula1>0</formula1>
      <formula2>C72</formula2>
    </dataValidation>
    <dataValidation type="whole" allowBlank="1" showErrorMessage="1" errorTitle="Invalid count" error="Value must be between 0 and the current implemented total." sqref="W145" xr:uid="{00000000-0002-0000-0100-000047000000}">
      <formula1>0</formula1>
      <formula2>C73</formula2>
    </dataValidation>
    <dataValidation type="whole" allowBlank="1" showErrorMessage="1" errorTitle="Invalid overall count" error="Overall count must be between 0 and the current implemented total." sqref="Q146" xr:uid="{00000000-0002-0000-0100-000048000000}">
      <formula1>0</formula1>
      <formula2>C16</formula2>
    </dataValidation>
    <dataValidation type="whole" allowBlank="1" showErrorMessage="1" errorTitle="Invalid count" error="Value must be between 0 and the current implemented total." sqref="S146" xr:uid="{00000000-0002-0000-0100-000049000000}">
      <formula1>0</formula1>
      <formula2>C71</formula2>
    </dataValidation>
    <dataValidation type="whole" allowBlank="1" showErrorMessage="1" errorTitle="Invalid count" error="Value must be between 0 and the current implemented total." sqref="U146" xr:uid="{00000000-0002-0000-0100-00004A000000}">
      <formula1>0</formula1>
      <formula2>C72</formula2>
    </dataValidation>
    <dataValidation type="whole" allowBlank="1" showErrorMessage="1" errorTitle="Invalid count" error="Value must be between 0 and the current implemented total." sqref="W146" xr:uid="{00000000-0002-0000-0100-00004B000000}">
      <formula1>0</formula1>
      <formula2>C73</formula2>
    </dataValidation>
    <dataValidation type="whole" allowBlank="1" showErrorMessage="1" errorTitle="Invalid overall count" error="Overall count must be between 0 and the current implemented total." sqref="Q147" xr:uid="{00000000-0002-0000-0100-00004C000000}">
      <formula1>0</formula1>
      <formula2>C16</formula2>
    </dataValidation>
    <dataValidation type="whole" allowBlank="1" showErrorMessage="1" errorTitle="Invalid count" error="Value must be between 0 and the current implemented total." sqref="S147" xr:uid="{00000000-0002-0000-0100-00004D000000}">
      <formula1>0</formula1>
      <formula2>C71</formula2>
    </dataValidation>
    <dataValidation type="whole" allowBlank="1" showErrorMessage="1" errorTitle="Invalid count" error="Value must be between 0 and the current implemented total." sqref="U147" xr:uid="{00000000-0002-0000-0100-00004E000000}">
      <formula1>0</formula1>
      <formula2>C72</formula2>
    </dataValidation>
    <dataValidation type="whole" allowBlank="1" showErrorMessage="1" errorTitle="Invalid count" error="Value must be between 0 and the current implemented total." sqref="W147" xr:uid="{00000000-0002-0000-0100-00004F000000}">
      <formula1>0</formula1>
      <formula2>C73</formula2>
    </dataValidation>
    <dataValidation type="whole" allowBlank="1" showErrorMessage="1" errorTitle="Invalid overall count" error="Overall count must be between 0 and the current implemented total." sqref="Q148" xr:uid="{00000000-0002-0000-0100-000050000000}">
      <formula1>0</formula1>
      <formula2>C16</formula2>
    </dataValidation>
    <dataValidation type="whole" allowBlank="1" showErrorMessage="1" errorTitle="Invalid count" error="Value must be between 0 and the current implemented total." sqref="S148" xr:uid="{00000000-0002-0000-0100-000051000000}">
      <formula1>0</formula1>
      <formula2>C71</formula2>
    </dataValidation>
    <dataValidation type="whole" allowBlank="1" showErrorMessage="1" errorTitle="Invalid count" error="Value must be between 0 and the current implemented total." sqref="U148" xr:uid="{00000000-0002-0000-0100-000052000000}">
      <formula1>0</formula1>
      <formula2>C72</formula2>
    </dataValidation>
    <dataValidation type="whole" allowBlank="1" showErrorMessage="1" errorTitle="Invalid count" error="Value must be between 0 and the current implemented total." sqref="W148" xr:uid="{00000000-0002-0000-0100-000053000000}">
      <formula1>0</formula1>
      <formula2>C73</formula2>
    </dataValidation>
    <dataValidation type="whole" allowBlank="1" showErrorMessage="1" errorTitle="Invalid overall count" error="Overall count must be between 0 and the current implemented total." sqref="Q149" xr:uid="{00000000-0002-0000-0100-000054000000}">
      <formula1>0</formula1>
      <formula2>C16</formula2>
    </dataValidation>
    <dataValidation type="whole" allowBlank="1" showErrorMessage="1" errorTitle="Invalid count" error="Value must be between 0 and the current implemented total." sqref="S149" xr:uid="{00000000-0002-0000-0100-000055000000}">
      <formula1>0</formula1>
      <formula2>C71</formula2>
    </dataValidation>
    <dataValidation type="whole" allowBlank="1" showErrorMessage="1" errorTitle="Invalid count" error="Value must be between 0 and the current implemented total." sqref="U149" xr:uid="{00000000-0002-0000-0100-000056000000}">
      <formula1>0</formula1>
      <formula2>C72</formula2>
    </dataValidation>
    <dataValidation type="whole" allowBlank="1" showErrorMessage="1" errorTitle="Invalid count" error="Value must be between 0 and the current implemented total." sqref="W149" xr:uid="{00000000-0002-0000-0100-000057000000}">
      <formula1>0</formula1>
      <formula2>C73</formula2>
    </dataValidation>
    <dataValidation type="whole" allowBlank="1" showErrorMessage="1" errorTitle="Invalid overall count" error="Overall count must be between 0 and the current implemented total." sqref="Q150" xr:uid="{00000000-0002-0000-0100-000058000000}">
      <formula1>0</formula1>
      <formula2>C16</formula2>
    </dataValidation>
    <dataValidation type="whole" allowBlank="1" showErrorMessage="1" errorTitle="Invalid count" error="Value must be between 0 and the current implemented total." sqref="S150" xr:uid="{00000000-0002-0000-0100-000059000000}">
      <formula1>0</formula1>
      <formula2>C71</formula2>
    </dataValidation>
    <dataValidation type="whole" allowBlank="1" showErrorMessage="1" errorTitle="Invalid count" error="Value must be between 0 and the current implemented total." sqref="U150" xr:uid="{00000000-0002-0000-0100-00005A000000}">
      <formula1>0</formula1>
      <formula2>C72</formula2>
    </dataValidation>
    <dataValidation type="whole" allowBlank="1" showErrorMessage="1" errorTitle="Invalid count" error="Value must be between 0 and the current implemented total." sqref="W150" xr:uid="{00000000-0002-0000-0100-00005B000000}">
      <formula1>0</formula1>
      <formula2>C73</formula2>
    </dataValidation>
    <dataValidation type="whole" allowBlank="1" showErrorMessage="1" errorTitle="Invalid overall count" error="Overall count must be between 0 and the current implemented total." sqref="Q151" xr:uid="{00000000-0002-0000-0100-00005C000000}">
      <formula1>0</formula1>
      <formula2>C16</formula2>
    </dataValidation>
    <dataValidation type="whole" allowBlank="1" showErrorMessage="1" errorTitle="Invalid count" error="Value must be between 0 and the current implemented total." sqref="S151" xr:uid="{00000000-0002-0000-0100-00005D000000}">
      <formula1>0</formula1>
      <formula2>C71</formula2>
    </dataValidation>
    <dataValidation type="whole" allowBlank="1" showErrorMessage="1" errorTitle="Invalid count" error="Value must be between 0 and the current implemented total." sqref="U151" xr:uid="{00000000-0002-0000-0100-00005E000000}">
      <formula1>0</formula1>
      <formula2>C72</formula2>
    </dataValidation>
    <dataValidation type="whole" allowBlank="1" showErrorMessage="1" errorTitle="Invalid count" error="Value must be between 0 and the current implemented total." sqref="W151" xr:uid="{00000000-0002-0000-0100-00005F000000}">
      <formula1>0</formula1>
      <formula2>C73</formula2>
    </dataValidation>
    <dataValidation type="whole" allowBlank="1" showErrorMessage="1" errorTitle="Invalid overall count" error="Overall count must be between 0 and the current implemented total." sqref="Q152" xr:uid="{00000000-0002-0000-0100-000060000000}">
      <formula1>0</formula1>
      <formula2>C16</formula2>
    </dataValidation>
    <dataValidation type="whole" allowBlank="1" showErrorMessage="1" errorTitle="Invalid count" error="Value must be between 0 and the current implemented total." sqref="S152" xr:uid="{00000000-0002-0000-0100-000061000000}">
      <formula1>0</formula1>
      <formula2>C71</formula2>
    </dataValidation>
    <dataValidation type="whole" allowBlank="1" showErrorMessage="1" errorTitle="Invalid count" error="Value must be between 0 and the current implemented total." sqref="U152" xr:uid="{00000000-0002-0000-0100-000062000000}">
      <formula1>0</formula1>
      <formula2>C72</formula2>
    </dataValidation>
    <dataValidation type="whole" allowBlank="1" showErrorMessage="1" errorTitle="Invalid count" error="Value must be between 0 and the current implemented total." sqref="W152" xr:uid="{00000000-0002-0000-0100-000063000000}">
      <formula1>0</formula1>
      <formula2>C73</formula2>
    </dataValidation>
    <dataValidation type="whole" allowBlank="1" showErrorMessage="1" errorTitle="Invalid overall count" error="Overall count must be between 0 and the current implemented total." sqref="Q153" xr:uid="{00000000-0002-0000-0100-000064000000}">
      <formula1>0</formula1>
      <formula2>C16</formula2>
    </dataValidation>
    <dataValidation type="whole" allowBlank="1" showErrorMessage="1" errorTitle="Invalid count" error="Value must be between 0 and the current implemented total." sqref="S153" xr:uid="{00000000-0002-0000-0100-000065000000}">
      <formula1>0</formula1>
      <formula2>C71</formula2>
    </dataValidation>
    <dataValidation type="whole" allowBlank="1" showErrorMessage="1" errorTitle="Invalid count" error="Value must be between 0 and the current implemented total." sqref="U153" xr:uid="{00000000-0002-0000-0100-000066000000}">
      <formula1>0</formula1>
      <formula2>C72</formula2>
    </dataValidation>
    <dataValidation type="whole" allowBlank="1" showErrorMessage="1" errorTitle="Invalid count" error="Value must be between 0 and the current implemented total." sqref="W153" xr:uid="{00000000-0002-0000-0100-000067000000}">
      <formula1>0</formula1>
      <formula2>C73</formula2>
    </dataValidation>
    <dataValidation type="whole" allowBlank="1" showErrorMessage="1" errorTitle="Invalid overall count" error="Overall count must be between 0 and the current implemented total." sqref="Q154" xr:uid="{00000000-0002-0000-0100-000068000000}">
      <formula1>0</formula1>
      <formula2>C16</formula2>
    </dataValidation>
    <dataValidation type="whole" allowBlank="1" showErrorMessage="1" errorTitle="Invalid count" error="Value must be between 0 and the current implemented total." sqref="S154" xr:uid="{00000000-0002-0000-0100-000069000000}">
      <formula1>0</formula1>
      <formula2>C71</formula2>
    </dataValidation>
    <dataValidation type="whole" allowBlank="1" showErrorMessage="1" errorTitle="Invalid count" error="Value must be between 0 and the current implemented total." sqref="U154" xr:uid="{00000000-0002-0000-0100-00006A000000}">
      <formula1>0</formula1>
      <formula2>C72</formula2>
    </dataValidation>
    <dataValidation type="whole" allowBlank="1" showErrorMessage="1" errorTitle="Invalid count" error="Value must be between 0 and the current implemented total." sqref="W154" xr:uid="{00000000-0002-0000-0100-00006B000000}">
      <formula1>0</formula1>
      <formula2>C73</formula2>
    </dataValidation>
    <dataValidation type="whole" allowBlank="1" showErrorMessage="1" errorTitle="Invalid overall count" error="Overall count must be between 0 and the current implemented total." sqref="Q155" xr:uid="{00000000-0002-0000-0100-00006C000000}">
      <formula1>0</formula1>
      <formula2>C16</formula2>
    </dataValidation>
    <dataValidation type="whole" allowBlank="1" showErrorMessage="1" errorTitle="Invalid count" error="Value must be between 0 and the current implemented total." sqref="S155" xr:uid="{00000000-0002-0000-0100-00006D000000}">
      <formula1>0</formula1>
      <formula2>C71</formula2>
    </dataValidation>
    <dataValidation type="whole" allowBlank="1" showErrorMessage="1" errorTitle="Invalid count" error="Value must be between 0 and the current implemented total." sqref="U155" xr:uid="{00000000-0002-0000-0100-00006E000000}">
      <formula1>0</formula1>
      <formula2>C72</formula2>
    </dataValidation>
    <dataValidation type="whole" allowBlank="1" showErrorMessage="1" errorTitle="Invalid count" error="Value must be between 0 and the current implemented total." sqref="W155" xr:uid="{00000000-0002-0000-0100-00006F000000}">
      <formula1>0</formula1>
      <formula2>C73</formula2>
    </dataValidation>
    <dataValidation type="whole" allowBlank="1" showErrorMessage="1" errorTitle="Invalid overall count" error="Overall count must be between 0 and the current implemented total." sqref="Q156" xr:uid="{00000000-0002-0000-0100-000070000000}">
      <formula1>0</formula1>
      <formula2>C16</formula2>
    </dataValidation>
    <dataValidation type="whole" allowBlank="1" showErrorMessage="1" errorTitle="Invalid count" error="Value must be between 0 and the current implemented total." sqref="S156" xr:uid="{00000000-0002-0000-0100-000071000000}">
      <formula1>0</formula1>
      <formula2>C71</formula2>
    </dataValidation>
    <dataValidation type="whole" allowBlank="1" showErrorMessage="1" errorTitle="Invalid count" error="Value must be between 0 and the current implemented total." sqref="U156" xr:uid="{00000000-0002-0000-0100-000072000000}">
      <formula1>0</formula1>
      <formula2>C72</formula2>
    </dataValidation>
    <dataValidation type="whole" allowBlank="1" showErrorMessage="1" errorTitle="Invalid count" error="Value must be between 0 and the current implemented total." sqref="W156" xr:uid="{00000000-0002-0000-0100-000073000000}">
      <formula1>0</formula1>
      <formula2>C73</formula2>
    </dataValidation>
    <dataValidation type="whole" allowBlank="1" showErrorMessage="1" errorTitle="Invalid overall count" error="Overall count must be between 0 and the current implemented total." sqref="Q157" xr:uid="{00000000-0002-0000-0100-000074000000}">
      <formula1>0</formula1>
      <formula2>C16</formula2>
    </dataValidation>
    <dataValidation type="whole" allowBlank="1" showErrorMessage="1" errorTitle="Invalid count" error="Value must be between 0 and the current implemented total." sqref="S157" xr:uid="{00000000-0002-0000-0100-000075000000}">
      <formula1>0</formula1>
      <formula2>C71</formula2>
    </dataValidation>
    <dataValidation type="whole" allowBlank="1" showErrorMessage="1" errorTitle="Invalid count" error="Value must be between 0 and the current implemented total." sqref="U157" xr:uid="{00000000-0002-0000-0100-000076000000}">
      <formula1>0</formula1>
      <formula2>C72</formula2>
    </dataValidation>
    <dataValidation type="whole" allowBlank="1" showErrorMessage="1" errorTitle="Invalid count" error="Value must be between 0 and the current implemented total." sqref="W157" xr:uid="{00000000-0002-0000-0100-000077000000}">
      <formula1>0</formula1>
      <formula2>C73</formula2>
    </dataValidation>
    <dataValidation type="whole" allowBlank="1" showErrorMessage="1" errorTitle="Invalid Asset Count" error="Value must be between 0 and the Total Asset Numbers above." sqref="Q170" xr:uid="{00000000-0002-0000-0100-000078000000}">
      <formula1>0</formula1>
      <formula2>$P166</formula2>
    </dataValidation>
    <dataValidation type="whole" allowBlank="1" showErrorMessage="1" errorTitle="Invalid Asset Count" error="Value must be between 0 and the Total Asset Numbers above." sqref="Q171" xr:uid="{00000000-0002-0000-0100-000079000000}">
      <formula1>0</formula1>
      <formula2>$P166</formula2>
    </dataValidation>
    <dataValidation type="whole" allowBlank="1" showErrorMessage="1" errorTitle="Invalid Asset Count" error="Value must be between 0 and the Total Asset Numbers above." sqref="Q172" xr:uid="{00000000-0002-0000-0100-00007A000000}">
      <formula1>0</formula1>
      <formula2>$P166</formula2>
    </dataValidation>
    <dataValidation type="whole" allowBlank="1" showErrorMessage="1" errorTitle="Invalid Asset Count" error="Value must be between 0 and the Total Asset Numbers above." sqref="Q173" xr:uid="{00000000-0002-0000-0100-00007B000000}">
      <formula1>0</formula1>
      <formula2>$P166</formula2>
    </dataValidation>
    <dataValidation type="whole" allowBlank="1" showErrorMessage="1" errorTitle="Invalid Asset Count" error="Value must be between 0 and the Total Asset Numbers above." sqref="Q174" xr:uid="{00000000-0002-0000-0100-00007C000000}">
      <formula1>0</formula1>
      <formula2>$P166</formula2>
    </dataValidation>
    <dataValidation type="whole" allowBlank="1" showErrorMessage="1" errorTitle="Invalid Asset Count" error="Value must be between 0 and the Total Asset Numbers above." sqref="Q175" xr:uid="{00000000-0002-0000-0100-00007D000000}">
      <formula1>0</formula1>
      <formula2>$P166</formula2>
    </dataValidation>
    <dataValidation type="whole" allowBlank="1" showErrorMessage="1" errorTitle="Invalid Asset Count" error="Value must be between 0 and the Total Asset Numbers above." sqref="Q176" xr:uid="{00000000-0002-0000-0100-00007E000000}">
      <formula1>0</formula1>
      <formula2>$P166</formula2>
    </dataValidation>
    <dataValidation type="whole" allowBlank="1" showErrorMessage="1" errorTitle="Invalid Asset Count" error="Value must be between 0 and the Total Asset Numbers above." sqref="Q177" xr:uid="{00000000-0002-0000-0100-00007F000000}">
      <formula1>0</formula1>
      <formula2>$P166</formula2>
    </dataValidation>
    <dataValidation type="whole" allowBlank="1" showErrorMessage="1" errorTitle="Invalid Asset Count" error="Value must be between 0 and the Total Asset Numbers above." sqref="Q178" xr:uid="{00000000-0002-0000-0100-000080000000}">
      <formula1>0</formula1>
      <formula2>$P166</formula2>
    </dataValidation>
    <dataValidation type="whole" allowBlank="1" showErrorMessage="1" errorTitle="Invalid Asset Count" error="Value must be between 0 and the Total Asset Numbers above." sqref="Q179" xr:uid="{00000000-0002-0000-0100-000081000000}">
      <formula1>0</formula1>
      <formula2>$P166</formula2>
    </dataValidation>
    <dataValidation type="whole" allowBlank="1" showErrorMessage="1" errorTitle="Invalid Asset Count" error="Value must be between 0 and the Total Asset Numbers above." sqref="Q180" xr:uid="{00000000-0002-0000-0100-000082000000}">
      <formula1>0</formula1>
      <formula2>$P166</formula2>
    </dataValidation>
    <dataValidation type="whole" allowBlank="1" showErrorMessage="1" errorTitle="Invalid Asset Count" error="Value must be between 0 and the Total Asset Numbers above." sqref="Q181" xr:uid="{00000000-0002-0000-0100-000083000000}">
      <formula1>0</formula1>
      <formula2>$P166</formula2>
    </dataValidation>
    <dataValidation type="whole" allowBlank="1" showErrorMessage="1" errorTitle="Invalid Asset Count" error="Value must be between 0 and the Total Asset Numbers above." sqref="Q182" xr:uid="{00000000-0002-0000-0100-000084000000}">
      <formula1>0</formula1>
      <formula2>$P166</formula2>
    </dataValidation>
    <dataValidation type="whole" allowBlank="1" showErrorMessage="1" errorTitle="Invalid Asset Count" error="Value must be between 0 and the Total Asset Numbers above." sqref="Q183" xr:uid="{00000000-0002-0000-0100-000085000000}">
      <formula1>0</formula1>
      <formula2>$P166</formula2>
    </dataValidation>
    <dataValidation type="whole" allowBlank="1" showErrorMessage="1" errorTitle="Invalid Asset Count" error="Value must be between 0 and the Total Asset Numbers above." sqref="Q184" xr:uid="{00000000-0002-0000-0100-000086000000}">
      <formula1>0</formula1>
      <formula2>$P166</formula2>
    </dataValidation>
    <dataValidation type="whole" allowBlank="1" showErrorMessage="1" errorTitle="Invalid Asset Count" error="Value must be between 0 and the Total Asset Numbers above." sqref="Q185" xr:uid="{00000000-0002-0000-0100-000087000000}">
      <formula1>0</formula1>
      <formula2>$P166</formula2>
    </dataValidation>
    <dataValidation type="whole" allowBlank="1" showErrorMessage="1" errorTitle="Invalid Asset Count" error="Value must be between 0 and the Total Asset Numbers above." sqref="Q186" xr:uid="{00000000-0002-0000-0100-000088000000}">
      <formula1>0</formula1>
      <formula2>$P166</formula2>
    </dataValidation>
    <dataValidation type="whole" allowBlank="1" showErrorMessage="1" errorTitle="Invalid Asset Count" error="Value must be between 0 and the Total Asset Numbers above." sqref="Q187" xr:uid="{00000000-0002-0000-0100-000089000000}">
      <formula1>0</formula1>
      <formula2>$P166</formula2>
    </dataValidation>
    <dataValidation type="whole" allowBlank="1" showErrorMessage="1" errorTitle="Invalid Asset Count" error="Value must be between 0 and the Total Asset Numbers above." sqref="Q188" xr:uid="{00000000-0002-0000-0100-00008A000000}">
      <formula1>0</formula1>
      <formula2>$P166</formula2>
    </dataValidation>
    <dataValidation type="whole" allowBlank="1" showErrorMessage="1" errorTitle="Invalid Asset Count" error="Value must be between 0 and the Total Asset Numbers above." sqref="Q189" xr:uid="{00000000-0002-0000-0100-00008B000000}">
      <formula1>0</formula1>
      <formula2>$P166</formula2>
    </dataValidation>
  </dataValidations>
  <hyperlinks>
    <hyperlink ref="B193"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5"/>
  <sheetViews>
    <sheetView tabSelected="1" workbookViewId="0">
      <pane xSplit="8" ySplit="1" topLeftCell="I24" activePane="bottomRight" state="frozen"/>
      <selection pane="topRight" activeCell="I1" sqref="I1"/>
      <selection pane="bottomLeft" activeCell="A2" sqref="A2"/>
      <selection pane="bottomRight" activeCell="J12" sqref="J12"/>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lapsed="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41" si="0">IF(OR(H2="Implemented",H2="Compensated"),"Resolved",IF(OR(H2="Risk Accepted",H2="N/A"),"Excluded",IF(H2="Testing","Testing","Outstanding")))</f>
        <v>Outstanding</v>
      </c>
      <c r="P2" s="13" t="s">
        <v>23</v>
      </c>
    </row>
    <row r="3" spans="1:16" ht="60" customHeight="1" x14ac:dyDescent="0.35">
      <c r="A3" s="11" t="s">
        <v>29</v>
      </c>
      <c r="B3" s="2" t="s">
        <v>30</v>
      </c>
      <c r="C3" s="3" t="s">
        <v>31</v>
      </c>
      <c r="D3" s="4" t="s">
        <v>19</v>
      </c>
      <c r="E3" s="4" t="s">
        <v>20</v>
      </c>
      <c r="F3" s="4" t="s">
        <v>21</v>
      </c>
      <c r="G3" s="4" t="s">
        <v>22</v>
      </c>
      <c r="H3" s="4" t="s">
        <v>23</v>
      </c>
      <c r="I3" s="1" t="s">
        <v>23</v>
      </c>
      <c r="J3" s="3" t="s">
        <v>32</v>
      </c>
      <c r="K3" s="3" t="s">
        <v>33</v>
      </c>
      <c r="L3" s="3" t="s">
        <v>34</v>
      </c>
      <c r="M3" s="3" t="s">
        <v>27</v>
      </c>
      <c r="N3" s="3" t="s">
        <v>35</v>
      </c>
      <c r="O3" s="5" t="str">
        <f t="shared" si="0"/>
        <v>Outstanding</v>
      </c>
      <c r="P3" s="13" t="s">
        <v>23</v>
      </c>
    </row>
    <row r="4" spans="1:16" ht="60" customHeight="1" x14ac:dyDescent="0.35">
      <c r="A4" s="11" t="s">
        <v>36</v>
      </c>
      <c r="B4" s="2" t="s">
        <v>37</v>
      </c>
      <c r="C4" s="3" t="s">
        <v>38</v>
      </c>
      <c r="D4" s="4" t="s">
        <v>39</v>
      </c>
      <c r="E4" s="4" t="s">
        <v>20</v>
      </c>
      <c r="F4" s="4" t="s">
        <v>21</v>
      </c>
      <c r="G4" s="4" t="s">
        <v>22</v>
      </c>
      <c r="H4" s="4" t="s">
        <v>23</v>
      </c>
      <c r="I4" s="1" t="s">
        <v>23</v>
      </c>
      <c r="J4" s="3" t="s">
        <v>40</v>
      </c>
      <c r="K4" s="3" t="s">
        <v>41</v>
      </c>
      <c r="L4" s="3" t="s">
        <v>42</v>
      </c>
      <c r="M4" s="3" t="s">
        <v>27</v>
      </c>
      <c r="N4" s="3" t="s">
        <v>43</v>
      </c>
      <c r="O4" s="5" t="str">
        <f t="shared" si="0"/>
        <v>Outstanding</v>
      </c>
      <c r="P4" s="13" t="s">
        <v>23</v>
      </c>
    </row>
    <row r="5" spans="1:16" ht="60" customHeight="1" x14ac:dyDescent="0.35">
      <c r="A5" s="11" t="s">
        <v>44</v>
      </c>
      <c r="B5" s="2" t="s">
        <v>45</v>
      </c>
      <c r="C5" s="3" t="s">
        <v>46</v>
      </c>
      <c r="D5" s="4" t="s">
        <v>19</v>
      </c>
      <c r="E5" s="4" t="s">
        <v>20</v>
      </c>
      <c r="F5" s="4" t="s">
        <v>21</v>
      </c>
      <c r="G5" s="4" t="s">
        <v>22</v>
      </c>
      <c r="H5" s="4" t="s">
        <v>23</v>
      </c>
      <c r="I5" s="1" t="s">
        <v>23</v>
      </c>
      <c r="J5" s="3" t="s">
        <v>47</v>
      </c>
      <c r="K5" s="3" t="s">
        <v>48</v>
      </c>
      <c r="L5" s="3" t="s">
        <v>49</v>
      </c>
      <c r="M5" s="3" t="s">
        <v>27</v>
      </c>
      <c r="N5" s="3" t="s">
        <v>50</v>
      </c>
      <c r="O5" s="5" t="str">
        <f t="shared" si="0"/>
        <v>Outstanding</v>
      </c>
      <c r="P5" s="13" t="s">
        <v>23</v>
      </c>
    </row>
    <row r="6" spans="1:16" ht="60" customHeight="1" x14ac:dyDescent="0.35">
      <c r="A6" s="11" t="s">
        <v>44</v>
      </c>
      <c r="B6" s="2" t="s">
        <v>51</v>
      </c>
      <c r="C6" s="3" t="s">
        <v>52</v>
      </c>
      <c r="D6" s="4" t="s">
        <v>19</v>
      </c>
      <c r="E6" s="4" t="s">
        <v>20</v>
      </c>
      <c r="F6" s="4" t="s">
        <v>21</v>
      </c>
      <c r="G6" s="4" t="s">
        <v>22</v>
      </c>
      <c r="H6" s="4" t="s">
        <v>23</v>
      </c>
      <c r="I6" s="1" t="s">
        <v>23</v>
      </c>
      <c r="J6" s="3" t="s">
        <v>53</v>
      </c>
      <c r="K6" s="3" t="s">
        <v>54</v>
      </c>
      <c r="L6" s="3" t="s">
        <v>49</v>
      </c>
      <c r="M6" s="3" t="s">
        <v>27</v>
      </c>
      <c r="N6" s="3" t="s">
        <v>50</v>
      </c>
      <c r="O6" s="5" t="str">
        <f t="shared" si="0"/>
        <v>Outstanding</v>
      </c>
      <c r="P6" s="13" t="s">
        <v>23</v>
      </c>
    </row>
    <row r="7" spans="1:16" ht="60" customHeight="1" x14ac:dyDescent="0.35">
      <c r="A7" s="11" t="s">
        <v>44</v>
      </c>
      <c r="B7" s="2" t="s">
        <v>55</v>
      </c>
      <c r="C7" s="3" t="s">
        <v>56</v>
      </c>
      <c r="D7" s="4" t="s">
        <v>19</v>
      </c>
      <c r="E7" s="4" t="s">
        <v>20</v>
      </c>
      <c r="F7" s="4" t="s">
        <v>21</v>
      </c>
      <c r="G7" s="4" t="s">
        <v>22</v>
      </c>
      <c r="H7" s="4" t="s">
        <v>23</v>
      </c>
      <c r="I7" s="1" t="s">
        <v>23</v>
      </c>
      <c r="J7" s="3" t="s">
        <v>57</v>
      </c>
      <c r="K7" s="3" t="s">
        <v>58</v>
      </c>
      <c r="L7" s="3" t="s">
        <v>49</v>
      </c>
      <c r="M7" s="3" t="s">
        <v>27</v>
      </c>
      <c r="N7" s="3" t="s">
        <v>50</v>
      </c>
      <c r="O7" s="5" t="str">
        <f t="shared" si="0"/>
        <v>Outstanding</v>
      </c>
      <c r="P7" s="13" t="s">
        <v>23</v>
      </c>
    </row>
    <row r="8" spans="1:16" ht="60" customHeight="1" x14ac:dyDescent="0.35">
      <c r="A8" s="11" t="s">
        <v>44</v>
      </c>
      <c r="B8" s="2" t="s">
        <v>59</v>
      </c>
      <c r="C8" s="3" t="s">
        <v>60</v>
      </c>
      <c r="D8" s="4" t="s">
        <v>39</v>
      </c>
      <c r="E8" s="4" t="s">
        <v>20</v>
      </c>
      <c r="F8" s="4" t="s">
        <v>21</v>
      </c>
      <c r="G8" s="4" t="s">
        <v>22</v>
      </c>
      <c r="H8" s="4" t="s">
        <v>23</v>
      </c>
      <c r="I8" s="1" t="s">
        <v>23</v>
      </c>
      <c r="J8" s="3" t="s">
        <v>61</v>
      </c>
      <c r="K8" s="3" t="s">
        <v>62</v>
      </c>
      <c r="L8" s="3" t="s">
        <v>49</v>
      </c>
      <c r="M8" s="3" t="s">
        <v>27</v>
      </c>
      <c r="N8" s="3" t="s">
        <v>50</v>
      </c>
      <c r="O8" s="5" t="str">
        <f t="shared" si="0"/>
        <v>Outstanding</v>
      </c>
      <c r="P8" s="13" t="s">
        <v>23</v>
      </c>
    </row>
    <row r="9" spans="1:16" ht="60" customHeight="1" x14ac:dyDescent="0.35">
      <c r="A9" s="11" t="s">
        <v>63</v>
      </c>
      <c r="B9" s="2" t="s">
        <v>64</v>
      </c>
      <c r="C9" s="3" t="s">
        <v>65</v>
      </c>
      <c r="D9" s="4" t="s">
        <v>19</v>
      </c>
      <c r="E9" s="4" t="s">
        <v>20</v>
      </c>
      <c r="F9" s="4" t="s">
        <v>21</v>
      </c>
      <c r="G9" s="4" t="s">
        <v>22</v>
      </c>
      <c r="H9" s="4" t="s">
        <v>23</v>
      </c>
      <c r="I9" s="1" t="s">
        <v>23</v>
      </c>
      <c r="J9" s="101" t="s">
        <v>438</v>
      </c>
      <c r="K9" s="3" t="s">
        <v>66</v>
      </c>
      <c r="L9" s="3" t="s">
        <v>67</v>
      </c>
      <c r="M9" s="3" t="s">
        <v>27</v>
      </c>
      <c r="N9" s="3" t="s">
        <v>68</v>
      </c>
      <c r="O9" s="5" t="str">
        <f t="shared" si="0"/>
        <v>Outstanding</v>
      </c>
      <c r="P9" s="13" t="s">
        <v>23</v>
      </c>
    </row>
    <row r="10" spans="1:16" ht="60" customHeight="1" x14ac:dyDescent="0.35">
      <c r="A10" s="11" t="s">
        <v>69</v>
      </c>
      <c r="B10" s="2" t="s">
        <v>70</v>
      </c>
      <c r="C10" s="3" t="s">
        <v>71</v>
      </c>
      <c r="D10" s="4" t="s">
        <v>72</v>
      </c>
      <c r="E10" s="4" t="s">
        <v>20</v>
      </c>
      <c r="F10" s="4" t="s">
        <v>21</v>
      </c>
      <c r="G10" s="4" t="s">
        <v>22</v>
      </c>
      <c r="H10" s="4" t="s">
        <v>23</v>
      </c>
      <c r="I10" s="1" t="s">
        <v>23</v>
      </c>
      <c r="J10" s="3" t="s">
        <v>73</v>
      </c>
      <c r="K10" s="3" t="s">
        <v>74</v>
      </c>
      <c r="L10" s="3" t="s">
        <v>75</v>
      </c>
      <c r="M10" s="3" t="s">
        <v>27</v>
      </c>
      <c r="N10" s="3" t="s">
        <v>76</v>
      </c>
      <c r="O10" s="5" t="str">
        <f t="shared" si="0"/>
        <v>Outstanding</v>
      </c>
      <c r="P10" s="13" t="s">
        <v>23</v>
      </c>
    </row>
    <row r="11" spans="1:16" ht="60" customHeight="1" x14ac:dyDescent="0.35">
      <c r="A11" s="11" t="s">
        <v>69</v>
      </c>
      <c r="B11" s="2" t="s">
        <v>77</v>
      </c>
      <c r="C11" s="3" t="s">
        <v>78</v>
      </c>
      <c r="D11" s="4" t="s">
        <v>72</v>
      </c>
      <c r="E11" s="4" t="s">
        <v>20</v>
      </c>
      <c r="F11" s="4" t="s">
        <v>21</v>
      </c>
      <c r="G11" s="4" t="s">
        <v>22</v>
      </c>
      <c r="H11" s="4" t="s">
        <v>23</v>
      </c>
      <c r="I11" s="1" t="s">
        <v>23</v>
      </c>
      <c r="J11" s="3" t="s">
        <v>79</v>
      </c>
      <c r="K11" s="3" t="s">
        <v>80</v>
      </c>
      <c r="L11" s="3" t="s">
        <v>75</v>
      </c>
      <c r="M11" s="3" t="s">
        <v>27</v>
      </c>
      <c r="N11" s="3" t="s">
        <v>76</v>
      </c>
      <c r="O11" s="5" t="str">
        <f t="shared" si="0"/>
        <v>Outstanding</v>
      </c>
      <c r="P11" s="13" t="s">
        <v>23</v>
      </c>
    </row>
    <row r="12" spans="1:16" ht="60" customHeight="1" x14ac:dyDescent="0.35">
      <c r="A12" s="11" t="s">
        <v>81</v>
      </c>
      <c r="B12" s="2" t="s">
        <v>82</v>
      </c>
      <c r="C12" s="3" t="s">
        <v>83</v>
      </c>
      <c r="D12" s="4" t="s">
        <v>19</v>
      </c>
      <c r="E12" s="4" t="s">
        <v>20</v>
      </c>
      <c r="F12" s="4" t="s">
        <v>21</v>
      </c>
      <c r="G12" s="4" t="s">
        <v>22</v>
      </c>
      <c r="H12" s="4" t="s">
        <v>23</v>
      </c>
      <c r="I12" s="1" t="s">
        <v>23</v>
      </c>
      <c r="J12" s="101" t="s">
        <v>439</v>
      </c>
      <c r="K12" s="3" t="s">
        <v>84</v>
      </c>
      <c r="L12" s="3" t="s">
        <v>85</v>
      </c>
      <c r="M12" s="3" t="s">
        <v>27</v>
      </c>
      <c r="N12" s="3" t="s">
        <v>86</v>
      </c>
      <c r="O12" s="5" t="str">
        <f t="shared" si="0"/>
        <v>Outstanding</v>
      </c>
      <c r="P12" s="13" t="s">
        <v>23</v>
      </c>
    </row>
    <row r="13" spans="1:16" ht="60" customHeight="1" x14ac:dyDescent="0.35">
      <c r="A13" s="11" t="s">
        <v>87</v>
      </c>
      <c r="B13" s="2" t="s">
        <v>88</v>
      </c>
      <c r="C13" s="3" t="s">
        <v>89</v>
      </c>
      <c r="D13" s="4" t="s">
        <v>19</v>
      </c>
      <c r="E13" s="4" t="s">
        <v>20</v>
      </c>
      <c r="F13" s="4" t="s">
        <v>21</v>
      </c>
      <c r="G13" s="4" t="s">
        <v>22</v>
      </c>
      <c r="H13" s="4" t="s">
        <v>23</v>
      </c>
      <c r="I13" s="1" t="s">
        <v>23</v>
      </c>
      <c r="J13" s="3" t="s">
        <v>90</v>
      </c>
      <c r="K13" s="3" t="s">
        <v>91</v>
      </c>
      <c r="L13" s="3" t="s">
        <v>92</v>
      </c>
      <c r="M13" s="3" t="s">
        <v>27</v>
      </c>
      <c r="N13" s="3"/>
      <c r="O13" s="5" t="str">
        <f t="shared" si="0"/>
        <v>Outstanding</v>
      </c>
      <c r="P13" s="13" t="s">
        <v>23</v>
      </c>
    </row>
    <row r="14" spans="1:16" ht="60" customHeight="1" x14ac:dyDescent="0.35">
      <c r="A14" s="11" t="s">
        <v>87</v>
      </c>
      <c r="B14" s="2" t="s">
        <v>93</v>
      </c>
      <c r="C14" s="3" t="s">
        <v>94</v>
      </c>
      <c r="D14" s="4" t="s">
        <v>19</v>
      </c>
      <c r="E14" s="4" t="s">
        <v>20</v>
      </c>
      <c r="F14" s="4" t="s">
        <v>21</v>
      </c>
      <c r="G14" s="4" t="s">
        <v>22</v>
      </c>
      <c r="H14" s="4" t="s">
        <v>23</v>
      </c>
      <c r="I14" s="1" t="s">
        <v>23</v>
      </c>
      <c r="J14" s="3" t="s">
        <v>95</v>
      </c>
      <c r="K14" s="3" t="s">
        <v>96</v>
      </c>
      <c r="L14" s="3" t="s">
        <v>92</v>
      </c>
      <c r="M14" s="3" t="s">
        <v>27</v>
      </c>
      <c r="N14" s="3"/>
      <c r="O14" s="5" t="str">
        <f t="shared" si="0"/>
        <v>Outstanding</v>
      </c>
      <c r="P14" s="13" t="s">
        <v>23</v>
      </c>
    </row>
    <row r="15" spans="1:16" ht="60" customHeight="1" x14ac:dyDescent="0.35">
      <c r="A15" s="11" t="s">
        <v>87</v>
      </c>
      <c r="B15" s="2" t="s">
        <v>97</v>
      </c>
      <c r="C15" s="3" t="s">
        <v>98</v>
      </c>
      <c r="D15" s="4" t="s">
        <v>39</v>
      </c>
      <c r="E15" s="4" t="s">
        <v>20</v>
      </c>
      <c r="F15" s="4" t="s">
        <v>21</v>
      </c>
      <c r="G15" s="4" t="s">
        <v>22</v>
      </c>
      <c r="H15" s="4" t="s">
        <v>23</v>
      </c>
      <c r="I15" s="1" t="s">
        <v>23</v>
      </c>
      <c r="J15" s="3" t="s">
        <v>90</v>
      </c>
      <c r="K15" s="3" t="s">
        <v>99</v>
      </c>
      <c r="L15" s="3" t="s">
        <v>92</v>
      </c>
      <c r="M15" s="3" t="s">
        <v>27</v>
      </c>
      <c r="N15" s="3"/>
      <c r="O15" s="5" t="str">
        <f t="shared" si="0"/>
        <v>Outstanding</v>
      </c>
      <c r="P15" s="13" t="s">
        <v>23</v>
      </c>
    </row>
    <row r="16" spans="1:16" ht="60" customHeight="1" x14ac:dyDescent="0.35">
      <c r="A16" s="11" t="s">
        <v>87</v>
      </c>
      <c r="B16" s="2" t="s">
        <v>100</v>
      </c>
      <c r="C16" s="3" t="s">
        <v>101</v>
      </c>
      <c r="D16" s="4" t="s">
        <v>19</v>
      </c>
      <c r="E16" s="4" t="s">
        <v>20</v>
      </c>
      <c r="F16" s="4" t="s">
        <v>21</v>
      </c>
      <c r="G16" s="4" t="s">
        <v>22</v>
      </c>
      <c r="H16" s="4" t="s">
        <v>23</v>
      </c>
      <c r="I16" s="1" t="s">
        <v>23</v>
      </c>
      <c r="J16" s="3" t="s">
        <v>95</v>
      </c>
      <c r="K16" s="3" t="s">
        <v>96</v>
      </c>
      <c r="L16" s="3" t="s">
        <v>92</v>
      </c>
      <c r="M16" s="3" t="s">
        <v>27</v>
      </c>
      <c r="N16" s="3"/>
      <c r="O16" s="5" t="str">
        <f t="shared" si="0"/>
        <v>Outstanding</v>
      </c>
      <c r="P16" s="13" t="s">
        <v>23</v>
      </c>
    </row>
    <row r="17" spans="1:16" ht="60" customHeight="1" x14ac:dyDescent="0.35">
      <c r="A17" s="11" t="s">
        <v>102</v>
      </c>
      <c r="B17" s="2" t="s">
        <v>103</v>
      </c>
      <c r="C17" s="3" t="s">
        <v>104</v>
      </c>
      <c r="D17" s="4" t="s">
        <v>19</v>
      </c>
      <c r="E17" s="4" t="s">
        <v>20</v>
      </c>
      <c r="F17" s="4" t="s">
        <v>21</v>
      </c>
      <c r="G17" s="4" t="s">
        <v>22</v>
      </c>
      <c r="H17" s="4" t="s">
        <v>23</v>
      </c>
      <c r="I17" s="1" t="s">
        <v>23</v>
      </c>
      <c r="J17" s="3" t="s">
        <v>105</v>
      </c>
      <c r="K17" s="3" t="s">
        <v>106</v>
      </c>
      <c r="L17" s="3" t="s">
        <v>107</v>
      </c>
      <c r="M17" s="3" t="s">
        <v>27</v>
      </c>
      <c r="N17" s="3" t="s">
        <v>108</v>
      </c>
      <c r="O17" s="5" t="str">
        <f t="shared" si="0"/>
        <v>Outstanding</v>
      </c>
      <c r="P17" s="13" t="s">
        <v>23</v>
      </c>
    </row>
    <row r="18" spans="1:16" ht="60" customHeight="1" x14ac:dyDescent="0.35">
      <c r="A18" s="11" t="s">
        <v>102</v>
      </c>
      <c r="B18" s="2" t="s">
        <v>109</v>
      </c>
      <c r="C18" s="3" t="s">
        <v>110</v>
      </c>
      <c r="D18" s="4" t="s">
        <v>39</v>
      </c>
      <c r="E18" s="4" t="s">
        <v>20</v>
      </c>
      <c r="F18" s="4" t="s">
        <v>21</v>
      </c>
      <c r="G18" s="4" t="s">
        <v>22</v>
      </c>
      <c r="H18" s="4" t="s">
        <v>23</v>
      </c>
      <c r="I18" s="1" t="s">
        <v>23</v>
      </c>
      <c r="J18" s="3" t="s">
        <v>111</v>
      </c>
      <c r="K18" s="3" t="s">
        <v>112</v>
      </c>
      <c r="L18" s="3" t="s">
        <v>107</v>
      </c>
      <c r="M18" s="3" t="s">
        <v>27</v>
      </c>
      <c r="N18" s="3" t="s">
        <v>108</v>
      </c>
      <c r="O18" s="5" t="str">
        <f t="shared" si="0"/>
        <v>Outstanding</v>
      </c>
      <c r="P18" s="13" t="s">
        <v>23</v>
      </c>
    </row>
    <row r="19" spans="1:16" ht="60" customHeight="1" x14ac:dyDescent="0.35">
      <c r="A19" s="11" t="s">
        <v>102</v>
      </c>
      <c r="B19" s="2" t="s">
        <v>113</v>
      </c>
      <c r="C19" s="3" t="s">
        <v>114</v>
      </c>
      <c r="D19" s="4" t="s">
        <v>19</v>
      </c>
      <c r="E19" s="4" t="s">
        <v>20</v>
      </c>
      <c r="F19" s="4" t="s">
        <v>21</v>
      </c>
      <c r="G19" s="4" t="s">
        <v>22</v>
      </c>
      <c r="H19" s="4" t="s">
        <v>23</v>
      </c>
      <c r="I19" s="1" t="s">
        <v>23</v>
      </c>
      <c r="J19" s="3" t="s">
        <v>115</v>
      </c>
      <c r="K19" s="3" t="s">
        <v>116</v>
      </c>
      <c r="L19" s="3" t="s">
        <v>107</v>
      </c>
      <c r="M19" s="3" t="s">
        <v>27</v>
      </c>
      <c r="N19" s="3" t="s">
        <v>108</v>
      </c>
      <c r="O19" s="5" t="str">
        <f t="shared" si="0"/>
        <v>Outstanding</v>
      </c>
      <c r="P19" s="13" t="s">
        <v>23</v>
      </c>
    </row>
    <row r="20" spans="1:16" ht="60" customHeight="1" x14ac:dyDescent="0.35">
      <c r="A20" s="11" t="s">
        <v>102</v>
      </c>
      <c r="B20" s="2" t="s">
        <v>117</v>
      </c>
      <c r="C20" s="3" t="s">
        <v>118</v>
      </c>
      <c r="D20" s="4" t="s">
        <v>39</v>
      </c>
      <c r="E20" s="4" t="s">
        <v>20</v>
      </c>
      <c r="F20" s="4" t="s">
        <v>21</v>
      </c>
      <c r="G20" s="4" t="s">
        <v>22</v>
      </c>
      <c r="H20" s="4" t="s">
        <v>23</v>
      </c>
      <c r="I20" s="1" t="s">
        <v>23</v>
      </c>
      <c r="J20" s="3" t="s">
        <v>115</v>
      </c>
      <c r="K20" s="3" t="s">
        <v>106</v>
      </c>
      <c r="L20" s="3" t="s">
        <v>107</v>
      </c>
      <c r="M20" s="3" t="s">
        <v>27</v>
      </c>
      <c r="N20" s="3" t="s">
        <v>108</v>
      </c>
      <c r="O20" s="5" t="str">
        <f t="shared" si="0"/>
        <v>Outstanding</v>
      </c>
      <c r="P20" s="13" t="s">
        <v>23</v>
      </c>
    </row>
    <row r="21" spans="1:16" ht="60" customHeight="1" x14ac:dyDescent="0.35">
      <c r="A21" s="11" t="s">
        <v>102</v>
      </c>
      <c r="B21" s="2" t="s">
        <v>119</v>
      </c>
      <c r="C21" s="3" t="s">
        <v>120</v>
      </c>
      <c r="D21" s="4" t="s">
        <v>39</v>
      </c>
      <c r="E21" s="4" t="s">
        <v>20</v>
      </c>
      <c r="F21" s="4" t="s">
        <v>21</v>
      </c>
      <c r="G21" s="4" t="s">
        <v>22</v>
      </c>
      <c r="H21" s="4" t="s">
        <v>23</v>
      </c>
      <c r="I21" s="1" t="s">
        <v>23</v>
      </c>
      <c r="J21" s="3" t="s">
        <v>115</v>
      </c>
      <c r="K21" s="3" t="s">
        <v>121</v>
      </c>
      <c r="L21" s="3" t="s">
        <v>107</v>
      </c>
      <c r="M21" s="3" t="s">
        <v>27</v>
      </c>
      <c r="N21" s="3" t="s">
        <v>108</v>
      </c>
      <c r="O21" s="5" t="str">
        <f t="shared" si="0"/>
        <v>Outstanding</v>
      </c>
      <c r="P21" s="13" t="s">
        <v>23</v>
      </c>
    </row>
    <row r="22" spans="1:16" ht="60" customHeight="1" x14ac:dyDescent="0.35">
      <c r="A22" s="11" t="s">
        <v>122</v>
      </c>
      <c r="B22" s="2" t="s">
        <v>123</v>
      </c>
      <c r="C22" s="3" t="s">
        <v>124</v>
      </c>
      <c r="D22" s="4" t="s">
        <v>19</v>
      </c>
      <c r="E22" s="4" t="s">
        <v>20</v>
      </c>
      <c r="F22" s="4" t="s">
        <v>21</v>
      </c>
      <c r="G22" s="4" t="s">
        <v>22</v>
      </c>
      <c r="H22" s="4" t="s">
        <v>23</v>
      </c>
      <c r="I22" s="1" t="s">
        <v>23</v>
      </c>
      <c r="J22" s="3" t="s">
        <v>125</v>
      </c>
      <c r="K22" s="3" t="s">
        <v>126</v>
      </c>
      <c r="L22" s="3" t="s">
        <v>127</v>
      </c>
      <c r="M22" s="3" t="s">
        <v>27</v>
      </c>
      <c r="N22" s="3"/>
      <c r="O22" s="5" t="str">
        <f t="shared" si="0"/>
        <v>Outstanding</v>
      </c>
      <c r="P22" s="13" t="s">
        <v>23</v>
      </c>
    </row>
    <row r="23" spans="1:16" ht="60" customHeight="1" x14ac:dyDescent="0.35">
      <c r="A23" s="11" t="s">
        <v>122</v>
      </c>
      <c r="B23" s="2" t="s">
        <v>128</v>
      </c>
      <c r="C23" s="3" t="s">
        <v>129</v>
      </c>
      <c r="D23" s="4" t="s">
        <v>19</v>
      </c>
      <c r="E23" s="4" t="s">
        <v>20</v>
      </c>
      <c r="F23" s="4" t="s">
        <v>21</v>
      </c>
      <c r="G23" s="4" t="s">
        <v>22</v>
      </c>
      <c r="H23" s="4" t="s">
        <v>23</v>
      </c>
      <c r="I23" s="1" t="s">
        <v>23</v>
      </c>
      <c r="J23" s="3" t="s">
        <v>130</v>
      </c>
      <c r="K23" s="3" t="s">
        <v>131</v>
      </c>
      <c r="L23" s="3" t="s">
        <v>127</v>
      </c>
      <c r="M23" s="3" t="s">
        <v>27</v>
      </c>
      <c r="N23" s="3"/>
      <c r="O23" s="5" t="str">
        <f t="shared" si="0"/>
        <v>Outstanding</v>
      </c>
      <c r="P23" s="13" t="s">
        <v>23</v>
      </c>
    </row>
    <row r="24" spans="1:16" ht="60" customHeight="1" x14ac:dyDescent="0.35">
      <c r="A24" s="11" t="s">
        <v>122</v>
      </c>
      <c r="B24" s="2" t="s">
        <v>132</v>
      </c>
      <c r="C24" s="3" t="s">
        <v>133</v>
      </c>
      <c r="D24" s="4" t="s">
        <v>19</v>
      </c>
      <c r="E24" s="4" t="s">
        <v>20</v>
      </c>
      <c r="F24" s="4" t="s">
        <v>21</v>
      </c>
      <c r="G24" s="4" t="s">
        <v>22</v>
      </c>
      <c r="H24" s="4" t="s">
        <v>23</v>
      </c>
      <c r="I24" s="1" t="s">
        <v>23</v>
      </c>
      <c r="J24" s="3" t="s">
        <v>134</v>
      </c>
      <c r="K24" s="3" t="s">
        <v>135</v>
      </c>
      <c r="L24" s="3" t="s">
        <v>127</v>
      </c>
      <c r="M24" s="3" t="s">
        <v>27</v>
      </c>
      <c r="N24" s="3"/>
      <c r="O24" s="5" t="str">
        <f t="shared" si="0"/>
        <v>Outstanding</v>
      </c>
      <c r="P24" s="13" t="s">
        <v>23</v>
      </c>
    </row>
    <row r="25" spans="1:16" ht="60" customHeight="1" x14ac:dyDescent="0.35">
      <c r="A25" s="11" t="s">
        <v>136</v>
      </c>
      <c r="B25" s="2" t="s">
        <v>137</v>
      </c>
      <c r="C25" s="3" t="s">
        <v>138</v>
      </c>
      <c r="D25" s="4" t="s">
        <v>39</v>
      </c>
      <c r="E25" s="4" t="s">
        <v>20</v>
      </c>
      <c r="F25" s="4" t="s">
        <v>21</v>
      </c>
      <c r="G25" s="4" t="s">
        <v>22</v>
      </c>
      <c r="H25" s="4" t="s">
        <v>23</v>
      </c>
      <c r="I25" s="1" t="s">
        <v>23</v>
      </c>
      <c r="J25" s="3" t="s">
        <v>139</v>
      </c>
      <c r="K25" s="3" t="s">
        <v>140</v>
      </c>
      <c r="L25" s="3" t="s">
        <v>141</v>
      </c>
      <c r="M25" s="3" t="s">
        <v>142</v>
      </c>
      <c r="N25" s="3"/>
      <c r="O25" s="5" t="str">
        <f t="shared" si="0"/>
        <v>Outstanding</v>
      </c>
      <c r="P25" s="13" t="s">
        <v>23</v>
      </c>
    </row>
    <row r="26" spans="1:16" ht="60" customHeight="1" x14ac:dyDescent="0.35">
      <c r="A26" s="11" t="s">
        <v>136</v>
      </c>
      <c r="B26" s="2" t="s">
        <v>143</v>
      </c>
      <c r="C26" s="3" t="s">
        <v>144</v>
      </c>
      <c r="D26" s="4" t="s">
        <v>39</v>
      </c>
      <c r="E26" s="4" t="s">
        <v>20</v>
      </c>
      <c r="F26" s="4" t="s">
        <v>21</v>
      </c>
      <c r="G26" s="4" t="s">
        <v>22</v>
      </c>
      <c r="H26" s="4" t="s">
        <v>23</v>
      </c>
      <c r="I26" s="1" t="s">
        <v>23</v>
      </c>
      <c r="J26" s="3" t="s">
        <v>145</v>
      </c>
      <c r="K26" s="3" t="s">
        <v>146</v>
      </c>
      <c r="L26" s="3" t="s">
        <v>141</v>
      </c>
      <c r="M26" s="3" t="s">
        <v>142</v>
      </c>
      <c r="N26" s="3"/>
      <c r="O26" s="5" t="str">
        <f t="shared" si="0"/>
        <v>Outstanding</v>
      </c>
      <c r="P26" s="13" t="s">
        <v>23</v>
      </c>
    </row>
    <row r="27" spans="1:16" ht="60" customHeight="1" x14ac:dyDescent="0.35">
      <c r="A27" s="11" t="s">
        <v>136</v>
      </c>
      <c r="B27" s="2" t="s">
        <v>147</v>
      </c>
      <c r="C27" s="3" t="s">
        <v>148</v>
      </c>
      <c r="D27" s="4" t="s">
        <v>39</v>
      </c>
      <c r="E27" s="4" t="s">
        <v>20</v>
      </c>
      <c r="F27" s="4" t="s">
        <v>21</v>
      </c>
      <c r="G27" s="4" t="s">
        <v>22</v>
      </c>
      <c r="H27" s="4" t="s">
        <v>23</v>
      </c>
      <c r="I27" s="1" t="s">
        <v>23</v>
      </c>
      <c r="J27" s="3" t="s">
        <v>149</v>
      </c>
      <c r="K27" s="3" t="s">
        <v>150</v>
      </c>
      <c r="L27" s="3" t="s">
        <v>141</v>
      </c>
      <c r="M27" s="3" t="s">
        <v>142</v>
      </c>
      <c r="N27" s="3"/>
      <c r="O27" s="5" t="str">
        <f t="shared" si="0"/>
        <v>Outstanding</v>
      </c>
      <c r="P27" s="13" t="s">
        <v>23</v>
      </c>
    </row>
    <row r="28" spans="1:16" ht="60" customHeight="1" x14ac:dyDescent="0.35">
      <c r="A28" s="11" t="s">
        <v>151</v>
      </c>
      <c r="B28" s="2" t="s">
        <v>152</v>
      </c>
      <c r="C28" s="3" t="s">
        <v>153</v>
      </c>
      <c r="D28" s="4" t="s">
        <v>154</v>
      </c>
      <c r="E28" s="4" t="s">
        <v>20</v>
      </c>
      <c r="F28" s="4" t="s">
        <v>21</v>
      </c>
      <c r="G28" s="4" t="s">
        <v>22</v>
      </c>
      <c r="H28" s="4" t="s">
        <v>23</v>
      </c>
      <c r="I28" s="1" t="s">
        <v>23</v>
      </c>
      <c r="J28" s="3" t="s">
        <v>155</v>
      </c>
      <c r="K28" s="3" t="s">
        <v>156</v>
      </c>
      <c r="L28" s="3" t="s">
        <v>157</v>
      </c>
      <c r="M28" s="3" t="s">
        <v>27</v>
      </c>
      <c r="N28" s="3" t="s">
        <v>158</v>
      </c>
      <c r="O28" s="5" t="str">
        <f t="shared" si="0"/>
        <v>Outstanding</v>
      </c>
      <c r="P28" s="13" t="s">
        <v>23</v>
      </c>
    </row>
    <row r="29" spans="1:16" ht="60" customHeight="1" x14ac:dyDescent="0.35">
      <c r="A29" s="11" t="s">
        <v>151</v>
      </c>
      <c r="B29" s="2" t="s">
        <v>159</v>
      </c>
      <c r="C29" s="3" t="s">
        <v>160</v>
      </c>
      <c r="D29" s="4" t="s">
        <v>154</v>
      </c>
      <c r="E29" s="4" t="s">
        <v>20</v>
      </c>
      <c r="F29" s="4" t="s">
        <v>21</v>
      </c>
      <c r="G29" s="4" t="s">
        <v>22</v>
      </c>
      <c r="H29" s="4" t="s">
        <v>23</v>
      </c>
      <c r="I29" s="1" t="s">
        <v>23</v>
      </c>
      <c r="J29" s="3" t="s">
        <v>161</v>
      </c>
      <c r="K29" s="3" t="s">
        <v>162</v>
      </c>
      <c r="L29" s="3" t="s">
        <v>157</v>
      </c>
      <c r="M29" s="3" t="s">
        <v>27</v>
      </c>
      <c r="N29" s="3" t="s">
        <v>158</v>
      </c>
      <c r="O29" s="5" t="str">
        <f t="shared" si="0"/>
        <v>Outstanding</v>
      </c>
      <c r="P29" s="13" t="s">
        <v>23</v>
      </c>
    </row>
    <row r="30" spans="1:16" ht="60" customHeight="1" x14ac:dyDescent="0.35">
      <c r="A30" s="11" t="s">
        <v>163</v>
      </c>
      <c r="B30" s="2" t="s">
        <v>164</v>
      </c>
      <c r="C30" s="3" t="s">
        <v>165</v>
      </c>
      <c r="D30" s="4" t="s">
        <v>19</v>
      </c>
      <c r="E30" s="4" t="s">
        <v>20</v>
      </c>
      <c r="F30" s="4" t="s">
        <v>21</v>
      </c>
      <c r="G30" s="4" t="s">
        <v>22</v>
      </c>
      <c r="H30" s="4" t="s">
        <v>23</v>
      </c>
      <c r="I30" s="1" t="s">
        <v>23</v>
      </c>
      <c r="J30" s="3" t="s">
        <v>166</v>
      </c>
      <c r="K30" s="3" t="s">
        <v>167</v>
      </c>
      <c r="L30" s="3" t="s">
        <v>168</v>
      </c>
      <c r="M30" s="3" t="s">
        <v>27</v>
      </c>
      <c r="N30" s="3" t="s">
        <v>169</v>
      </c>
      <c r="O30" s="5" t="str">
        <f t="shared" si="0"/>
        <v>Outstanding</v>
      </c>
      <c r="P30" s="13" t="s">
        <v>23</v>
      </c>
    </row>
    <row r="31" spans="1:16" ht="60" customHeight="1" x14ac:dyDescent="0.35">
      <c r="A31" s="11" t="s">
        <v>170</v>
      </c>
      <c r="B31" s="2" t="s">
        <v>171</v>
      </c>
      <c r="C31" s="3" t="s">
        <v>172</v>
      </c>
      <c r="D31" s="4" t="s">
        <v>19</v>
      </c>
      <c r="E31" s="4" t="s">
        <v>20</v>
      </c>
      <c r="F31" s="4" t="s">
        <v>21</v>
      </c>
      <c r="G31" s="4" t="s">
        <v>22</v>
      </c>
      <c r="H31" s="4" t="s">
        <v>23</v>
      </c>
      <c r="I31" s="1" t="s">
        <v>23</v>
      </c>
      <c r="J31" s="3" t="s">
        <v>173</v>
      </c>
      <c r="K31" s="3" t="s">
        <v>174</v>
      </c>
      <c r="L31" s="3" t="s">
        <v>175</v>
      </c>
      <c r="M31" s="3" t="s">
        <v>27</v>
      </c>
      <c r="N31" s="3" t="s">
        <v>176</v>
      </c>
      <c r="O31" s="5" t="str">
        <f t="shared" si="0"/>
        <v>Outstanding</v>
      </c>
      <c r="P31" s="13" t="s">
        <v>23</v>
      </c>
    </row>
    <row r="32" spans="1:16" ht="60" customHeight="1" x14ac:dyDescent="0.35">
      <c r="A32" s="11" t="s">
        <v>170</v>
      </c>
      <c r="B32" s="2" t="s">
        <v>177</v>
      </c>
      <c r="C32" s="3" t="s">
        <v>178</v>
      </c>
      <c r="D32" s="4" t="s">
        <v>19</v>
      </c>
      <c r="E32" s="4" t="s">
        <v>20</v>
      </c>
      <c r="F32" s="4" t="s">
        <v>21</v>
      </c>
      <c r="G32" s="4" t="s">
        <v>22</v>
      </c>
      <c r="H32" s="4" t="s">
        <v>23</v>
      </c>
      <c r="I32" s="1" t="s">
        <v>23</v>
      </c>
      <c r="J32" s="3" t="s">
        <v>179</v>
      </c>
      <c r="K32" s="3" t="s">
        <v>180</v>
      </c>
      <c r="L32" s="3" t="s">
        <v>175</v>
      </c>
      <c r="M32" s="3" t="s">
        <v>27</v>
      </c>
      <c r="N32" s="3" t="s">
        <v>176</v>
      </c>
      <c r="O32" s="5" t="str">
        <f t="shared" si="0"/>
        <v>Outstanding</v>
      </c>
      <c r="P32" s="13" t="s">
        <v>23</v>
      </c>
    </row>
    <row r="33" spans="1:16" ht="60" customHeight="1" x14ac:dyDescent="0.35">
      <c r="A33" s="11" t="s">
        <v>170</v>
      </c>
      <c r="B33" s="2" t="s">
        <v>181</v>
      </c>
      <c r="C33" s="3" t="s">
        <v>182</v>
      </c>
      <c r="D33" s="4" t="s">
        <v>72</v>
      </c>
      <c r="E33" s="4" t="s">
        <v>20</v>
      </c>
      <c r="F33" s="4" t="s">
        <v>21</v>
      </c>
      <c r="G33" s="4" t="s">
        <v>22</v>
      </c>
      <c r="H33" s="4" t="s">
        <v>23</v>
      </c>
      <c r="I33" s="1" t="s">
        <v>23</v>
      </c>
      <c r="J33" s="3" t="s">
        <v>183</v>
      </c>
      <c r="K33" s="3" t="s">
        <v>184</v>
      </c>
      <c r="L33" s="3" t="s">
        <v>175</v>
      </c>
      <c r="M33" s="3" t="s">
        <v>27</v>
      </c>
      <c r="N33" s="3" t="s">
        <v>176</v>
      </c>
      <c r="O33" s="5" t="str">
        <f t="shared" si="0"/>
        <v>Outstanding</v>
      </c>
      <c r="P33" s="13" t="s">
        <v>23</v>
      </c>
    </row>
    <row r="34" spans="1:16" ht="60" customHeight="1" x14ac:dyDescent="0.35">
      <c r="A34" s="11" t="s">
        <v>170</v>
      </c>
      <c r="B34" s="2" t="s">
        <v>185</v>
      </c>
      <c r="C34" s="3" t="s">
        <v>186</v>
      </c>
      <c r="D34" s="4" t="s">
        <v>39</v>
      </c>
      <c r="E34" s="4" t="s">
        <v>20</v>
      </c>
      <c r="F34" s="4" t="s">
        <v>21</v>
      </c>
      <c r="G34" s="4" t="s">
        <v>22</v>
      </c>
      <c r="H34" s="4" t="s">
        <v>23</v>
      </c>
      <c r="I34" s="1" t="s">
        <v>23</v>
      </c>
      <c r="J34" s="3" t="s">
        <v>173</v>
      </c>
      <c r="K34" s="3" t="s">
        <v>174</v>
      </c>
      <c r="L34" s="3" t="s">
        <v>175</v>
      </c>
      <c r="M34" s="3" t="s">
        <v>27</v>
      </c>
      <c r="N34" s="3" t="s">
        <v>176</v>
      </c>
      <c r="O34" s="5" t="str">
        <f t="shared" si="0"/>
        <v>Outstanding</v>
      </c>
      <c r="P34" s="13" t="s">
        <v>23</v>
      </c>
    </row>
    <row r="35" spans="1:16" ht="60" customHeight="1" x14ac:dyDescent="0.35">
      <c r="A35" s="11" t="s">
        <v>187</v>
      </c>
      <c r="B35" s="2" t="s">
        <v>188</v>
      </c>
      <c r="C35" s="3" t="s">
        <v>189</v>
      </c>
      <c r="D35" s="4" t="s">
        <v>39</v>
      </c>
      <c r="E35" s="4" t="s">
        <v>20</v>
      </c>
      <c r="F35" s="4" t="s">
        <v>21</v>
      </c>
      <c r="G35" s="4" t="s">
        <v>22</v>
      </c>
      <c r="H35" s="4" t="s">
        <v>23</v>
      </c>
      <c r="I35" s="1" t="s">
        <v>23</v>
      </c>
      <c r="J35" s="3" t="s">
        <v>190</v>
      </c>
      <c r="K35" s="3" t="s">
        <v>191</v>
      </c>
      <c r="L35" s="3" t="s">
        <v>192</v>
      </c>
      <c r="M35" s="3" t="s">
        <v>27</v>
      </c>
      <c r="N35" s="3"/>
      <c r="O35" s="5" t="str">
        <f t="shared" si="0"/>
        <v>Outstanding</v>
      </c>
      <c r="P35" s="13" t="s">
        <v>23</v>
      </c>
    </row>
    <row r="36" spans="1:16" ht="60" customHeight="1" x14ac:dyDescent="0.35">
      <c r="A36" s="11" t="s">
        <v>187</v>
      </c>
      <c r="B36" s="2" t="s">
        <v>193</v>
      </c>
      <c r="C36" s="3" t="s">
        <v>194</v>
      </c>
      <c r="D36" s="4" t="s">
        <v>39</v>
      </c>
      <c r="E36" s="4" t="s">
        <v>20</v>
      </c>
      <c r="F36" s="4" t="s">
        <v>21</v>
      </c>
      <c r="G36" s="4" t="s">
        <v>22</v>
      </c>
      <c r="H36" s="4" t="s">
        <v>23</v>
      </c>
      <c r="I36" s="1" t="s">
        <v>23</v>
      </c>
      <c r="J36" s="3" t="s">
        <v>195</v>
      </c>
      <c r="K36" s="3" t="s">
        <v>196</v>
      </c>
      <c r="L36" s="3" t="s">
        <v>192</v>
      </c>
      <c r="M36" s="3" t="s">
        <v>27</v>
      </c>
      <c r="N36" s="3"/>
      <c r="O36" s="5" t="str">
        <f t="shared" si="0"/>
        <v>Outstanding</v>
      </c>
      <c r="P36" s="13" t="s">
        <v>23</v>
      </c>
    </row>
    <row r="37" spans="1:16" ht="60" customHeight="1" x14ac:dyDescent="0.35">
      <c r="A37" s="11" t="s">
        <v>187</v>
      </c>
      <c r="B37" s="2" t="s">
        <v>197</v>
      </c>
      <c r="C37" s="3" t="s">
        <v>198</v>
      </c>
      <c r="D37" s="4" t="s">
        <v>39</v>
      </c>
      <c r="E37" s="4" t="s">
        <v>20</v>
      </c>
      <c r="F37" s="4" t="s">
        <v>21</v>
      </c>
      <c r="G37" s="4" t="s">
        <v>22</v>
      </c>
      <c r="H37" s="4" t="s">
        <v>23</v>
      </c>
      <c r="I37" s="1" t="s">
        <v>23</v>
      </c>
      <c r="J37" s="3" t="s">
        <v>199</v>
      </c>
      <c r="K37" s="3" t="s">
        <v>200</v>
      </c>
      <c r="L37" s="3" t="s">
        <v>192</v>
      </c>
      <c r="M37" s="3" t="s">
        <v>27</v>
      </c>
      <c r="N37" s="3"/>
      <c r="O37" s="5" t="str">
        <f t="shared" si="0"/>
        <v>Outstanding</v>
      </c>
      <c r="P37" s="13" t="s">
        <v>23</v>
      </c>
    </row>
    <row r="38" spans="1:16" ht="60" customHeight="1" x14ac:dyDescent="0.35">
      <c r="A38" s="11" t="s">
        <v>201</v>
      </c>
      <c r="B38" s="2" t="s">
        <v>202</v>
      </c>
      <c r="C38" s="3" t="s">
        <v>203</v>
      </c>
      <c r="D38" s="4" t="s">
        <v>19</v>
      </c>
      <c r="E38" s="4" t="s">
        <v>20</v>
      </c>
      <c r="F38" s="4" t="s">
        <v>21</v>
      </c>
      <c r="G38" s="4" t="s">
        <v>22</v>
      </c>
      <c r="H38" s="4" t="s">
        <v>23</v>
      </c>
      <c r="I38" s="1" t="s">
        <v>23</v>
      </c>
      <c r="J38" s="3" t="s">
        <v>204</v>
      </c>
      <c r="K38" s="3" t="s">
        <v>205</v>
      </c>
      <c r="L38" s="3" t="s">
        <v>206</v>
      </c>
      <c r="M38" s="3" t="s">
        <v>27</v>
      </c>
      <c r="N38" s="3"/>
      <c r="O38" s="5" t="str">
        <f t="shared" si="0"/>
        <v>Outstanding</v>
      </c>
      <c r="P38" s="13" t="s">
        <v>23</v>
      </c>
    </row>
    <row r="39" spans="1:16" ht="60" customHeight="1" x14ac:dyDescent="0.35">
      <c r="A39" s="11" t="s">
        <v>201</v>
      </c>
      <c r="B39" s="2" t="s">
        <v>207</v>
      </c>
      <c r="C39" s="3" t="s">
        <v>208</v>
      </c>
      <c r="D39" s="4" t="s">
        <v>39</v>
      </c>
      <c r="E39" s="4" t="s">
        <v>20</v>
      </c>
      <c r="F39" s="4" t="s">
        <v>21</v>
      </c>
      <c r="G39" s="4" t="s">
        <v>22</v>
      </c>
      <c r="H39" s="4" t="s">
        <v>23</v>
      </c>
      <c r="I39" s="1" t="s">
        <v>23</v>
      </c>
      <c r="J39" s="3" t="s">
        <v>209</v>
      </c>
      <c r="K39" s="3" t="s">
        <v>210</v>
      </c>
      <c r="L39" s="3" t="s">
        <v>206</v>
      </c>
      <c r="M39" s="3" t="s">
        <v>27</v>
      </c>
      <c r="N39" s="3"/>
      <c r="O39" s="5" t="str">
        <f t="shared" si="0"/>
        <v>Outstanding</v>
      </c>
      <c r="P39" s="13" t="s">
        <v>23</v>
      </c>
    </row>
    <row r="40" spans="1:16" ht="60" customHeight="1" x14ac:dyDescent="0.35">
      <c r="A40" s="11" t="s">
        <v>211</v>
      </c>
      <c r="B40" s="2" t="s">
        <v>212</v>
      </c>
      <c r="C40" s="3" t="s">
        <v>213</v>
      </c>
      <c r="D40" s="4" t="s">
        <v>19</v>
      </c>
      <c r="E40" s="4" t="s">
        <v>20</v>
      </c>
      <c r="F40" s="4" t="s">
        <v>21</v>
      </c>
      <c r="G40" s="4" t="s">
        <v>22</v>
      </c>
      <c r="H40" s="4" t="s">
        <v>23</v>
      </c>
      <c r="I40" s="1" t="s">
        <v>23</v>
      </c>
      <c r="J40" s="3" t="s">
        <v>214</v>
      </c>
      <c r="K40" s="3" t="s">
        <v>215</v>
      </c>
      <c r="L40" s="3" t="s">
        <v>216</v>
      </c>
      <c r="M40" s="3" t="s">
        <v>217</v>
      </c>
      <c r="N40" s="3" t="s">
        <v>218</v>
      </c>
      <c r="O40" s="5" t="str">
        <f t="shared" si="0"/>
        <v>Outstanding</v>
      </c>
      <c r="P40" s="13" t="s">
        <v>23</v>
      </c>
    </row>
    <row r="41" spans="1:16" ht="60" customHeight="1" x14ac:dyDescent="0.35">
      <c r="A41" s="12" t="s">
        <v>211</v>
      </c>
      <c r="B41" s="6" t="s">
        <v>219</v>
      </c>
      <c r="C41" s="7" t="s">
        <v>220</v>
      </c>
      <c r="D41" s="8" t="s">
        <v>19</v>
      </c>
      <c r="E41" s="8" t="s">
        <v>20</v>
      </c>
      <c r="F41" s="8" t="s">
        <v>21</v>
      </c>
      <c r="G41" s="8" t="s">
        <v>22</v>
      </c>
      <c r="H41" s="8" t="s">
        <v>23</v>
      </c>
      <c r="I41" s="9" t="s">
        <v>23</v>
      </c>
      <c r="J41" s="7" t="s">
        <v>221</v>
      </c>
      <c r="K41" s="7" t="s">
        <v>222</v>
      </c>
      <c r="L41" s="7" t="s">
        <v>216</v>
      </c>
      <c r="M41" s="7" t="s">
        <v>217</v>
      </c>
      <c r="N41" s="7" t="s">
        <v>218</v>
      </c>
      <c r="O41" s="10" t="str">
        <f t="shared" si="0"/>
        <v>Outstanding</v>
      </c>
      <c r="P41" s="14" t="s">
        <v>23</v>
      </c>
    </row>
    <row r="45" spans="1:16" ht="32" customHeight="1" x14ac:dyDescent="0.35">
      <c r="A45" s="78" t="s">
        <v>223</v>
      </c>
      <c r="B45" s="78"/>
      <c r="C45" s="78"/>
      <c r="D45" s="78"/>
    </row>
  </sheetData>
  <mergeCells count="1">
    <mergeCell ref="A45:D45"/>
  </mergeCells>
  <conditionalFormatting sqref="E2:E4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4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4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41" xr:uid="{00000000-0002-0000-0200-000000000000}">
      <formula1>"Must,Should,Could,Won't,Unassigned"</formula1>
    </dataValidation>
    <dataValidation type="list" showErrorMessage="1" errorTitle="Invalid Value" error="Please select a value from the list: Low, Medium, High, Unassessed." sqref="F2:F41" xr:uid="{00000000-0002-0000-0200-000001000000}">
      <formula1>"Low,Medium,High,Unassessed"</formula1>
    </dataValidation>
    <dataValidation type="list" showErrorMessage="1" errorTitle="Invalid Value" error="Please select a value from the list: Phase1, Phase2, Phase3, Phase4, Phase5, Pending." sqref="G2:G4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41" xr:uid="{00000000-0002-0000-0200-000003000000}">
      <formula1>"Implemented,Testing,Failed,Compensated,Risk Accepted,N/A"</formula1>
    </dataValidation>
  </dataValidations>
  <hyperlinks>
    <hyperlink ref="A4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348</v>
      </c>
      <c r="C2" s="95" t="s">
        <v>348</v>
      </c>
      <c r="D2" s="95" t="s">
        <v>348</v>
      </c>
      <c r="E2" s="95" t="s">
        <v>348</v>
      </c>
      <c r="F2" s="95" t="s">
        <v>348</v>
      </c>
      <c r="G2" s="95" t="s">
        <v>348</v>
      </c>
      <c r="H2" s="99" t="s">
        <v>349</v>
      </c>
      <c r="I2" s="99" t="s">
        <v>349</v>
      </c>
      <c r="J2" s="99" t="s">
        <v>349</v>
      </c>
      <c r="K2" s="99" t="s">
        <v>349</v>
      </c>
      <c r="L2" s="99" t="s">
        <v>349</v>
      </c>
      <c r="M2" s="98" t="s">
        <v>350</v>
      </c>
      <c r="N2" s="98" t="s">
        <v>350</v>
      </c>
      <c r="O2" s="100" t="s">
        <v>351</v>
      </c>
      <c r="P2" s="100" t="s">
        <v>351</v>
      </c>
      <c r="Q2" s="96" t="s">
        <v>14</v>
      </c>
      <c r="R2" s="96" t="s">
        <v>14</v>
      </c>
      <c r="S2" s="96" t="s">
        <v>14</v>
      </c>
      <c r="T2" s="97" t="s">
        <v>352</v>
      </c>
    </row>
    <row r="3" spans="2:20" ht="35" customHeight="1" x14ac:dyDescent="0.35">
      <c r="B3" s="68" t="s">
        <v>353</v>
      </c>
      <c r="C3" s="68" t="s">
        <v>354</v>
      </c>
      <c r="D3" s="68" t="s">
        <v>355</v>
      </c>
      <c r="E3" s="68" t="s">
        <v>356</v>
      </c>
      <c r="F3" s="68" t="s">
        <v>357</v>
      </c>
      <c r="G3" s="68" t="s">
        <v>11</v>
      </c>
      <c r="H3" s="69" t="s">
        <v>358</v>
      </c>
      <c r="I3" s="69" t="s">
        <v>359</v>
      </c>
      <c r="J3" s="69" t="s">
        <v>360</v>
      </c>
      <c r="K3" s="69" t="s">
        <v>361</v>
      </c>
      <c r="L3" s="69" t="s">
        <v>293</v>
      </c>
      <c r="M3" s="70" t="s">
        <v>362</v>
      </c>
      <c r="N3" s="70" t="s">
        <v>363</v>
      </c>
      <c r="O3" s="71" t="s">
        <v>364</v>
      </c>
      <c r="P3" s="71" t="s">
        <v>365</v>
      </c>
      <c r="Q3" s="72" t="s">
        <v>14</v>
      </c>
      <c r="R3" s="72" t="s">
        <v>366</v>
      </c>
      <c r="S3" s="72" t="s">
        <v>367</v>
      </c>
      <c r="T3" s="73" t="s">
        <v>368</v>
      </c>
    </row>
    <row r="4" spans="2:20" ht="60" customHeight="1" x14ac:dyDescent="0.35">
      <c r="B4" s="74" t="s">
        <v>369</v>
      </c>
      <c r="C4" s="74" t="s">
        <v>370</v>
      </c>
      <c r="D4" s="74" t="s">
        <v>371</v>
      </c>
      <c r="E4" s="74" t="s">
        <v>372</v>
      </c>
      <c r="F4" s="74" t="s">
        <v>373</v>
      </c>
      <c r="G4" s="74" t="s">
        <v>374</v>
      </c>
      <c r="H4" s="74" t="s">
        <v>375</v>
      </c>
      <c r="I4" s="74" t="s">
        <v>376</v>
      </c>
      <c r="J4" s="74" t="s">
        <v>377</v>
      </c>
      <c r="K4" s="74" t="s">
        <v>378</v>
      </c>
      <c r="L4" s="74" t="s">
        <v>379</v>
      </c>
      <c r="M4" s="74" t="s">
        <v>380</v>
      </c>
      <c r="N4" s="74" t="s">
        <v>381</v>
      </c>
      <c r="O4" s="74" t="s">
        <v>382</v>
      </c>
      <c r="P4" s="74" t="s">
        <v>383</v>
      </c>
      <c r="Q4" s="74" t="s">
        <v>384</v>
      </c>
      <c r="R4" s="74" t="s">
        <v>385</v>
      </c>
      <c r="S4" s="74" t="s">
        <v>386</v>
      </c>
      <c r="T4" s="74" t="s">
        <v>387</v>
      </c>
    </row>
    <row r="5" spans="2:20" ht="60" customHeight="1" x14ac:dyDescent="0.35">
      <c r="B5" s="36" t="s">
        <v>388</v>
      </c>
      <c r="C5" s="75"/>
      <c r="D5" s="76"/>
      <c r="E5" s="76" t="s">
        <v>23</v>
      </c>
      <c r="F5" s="76" t="str">
        <f>IF(E5&lt;&gt;"", IFERROR(VLOOKUP(E5, Dashboard!$B48:$F53, 5, FALSE), ""), "")</f>
        <v/>
      </c>
      <c r="G5" s="77"/>
      <c r="H5" s="64"/>
      <c r="I5" s="64"/>
      <c r="J5" s="77"/>
      <c r="K5" s="77"/>
      <c r="L5" s="38"/>
      <c r="M5" s="38"/>
      <c r="N5" s="77"/>
      <c r="O5" s="77"/>
      <c r="P5" s="38"/>
      <c r="Q5" s="38" t="s">
        <v>23</v>
      </c>
      <c r="R5" s="77"/>
      <c r="S5" s="64"/>
      <c r="T5" s="77"/>
    </row>
    <row r="6" spans="2:20" ht="60" customHeight="1" x14ac:dyDescent="0.35">
      <c r="B6" s="36" t="s">
        <v>389</v>
      </c>
      <c r="C6" s="75"/>
      <c r="D6" s="76"/>
      <c r="E6" s="76" t="s">
        <v>23</v>
      </c>
      <c r="F6" s="76" t="str">
        <f>IF(E6&lt;&gt;"", IFERROR(VLOOKUP(E6, Dashboard!$B48:$F53, 5, FALSE), ""), "")</f>
        <v/>
      </c>
      <c r="G6" s="77"/>
      <c r="H6" s="64"/>
      <c r="I6" s="64"/>
      <c r="J6" s="77"/>
      <c r="K6" s="77"/>
      <c r="L6" s="38"/>
      <c r="M6" s="38"/>
      <c r="N6" s="77"/>
      <c r="O6" s="77"/>
      <c r="P6" s="38"/>
      <c r="Q6" s="38" t="s">
        <v>23</v>
      </c>
      <c r="R6" s="77"/>
      <c r="S6" s="64"/>
      <c r="T6" s="77"/>
    </row>
    <row r="7" spans="2:20" ht="60" customHeight="1" x14ac:dyDescent="0.35">
      <c r="B7" s="36" t="s">
        <v>390</v>
      </c>
      <c r="C7" s="75"/>
      <c r="D7" s="76"/>
      <c r="E7" s="76" t="s">
        <v>23</v>
      </c>
      <c r="F7" s="76" t="str">
        <f>IF(E7&lt;&gt;"", IFERROR(VLOOKUP(E7, Dashboard!$B48:$F53, 5, FALSE), ""), "")</f>
        <v/>
      </c>
      <c r="G7" s="77"/>
      <c r="H7" s="64"/>
      <c r="I7" s="64"/>
      <c r="J7" s="77"/>
      <c r="K7" s="77"/>
      <c r="L7" s="38"/>
      <c r="M7" s="38"/>
      <c r="N7" s="77"/>
      <c r="O7" s="77"/>
      <c r="P7" s="38"/>
      <c r="Q7" s="38" t="s">
        <v>23</v>
      </c>
      <c r="R7" s="77"/>
      <c r="S7" s="64"/>
      <c r="T7" s="77"/>
    </row>
    <row r="8" spans="2:20" ht="60" customHeight="1" x14ac:dyDescent="0.35">
      <c r="B8" s="36" t="s">
        <v>391</v>
      </c>
      <c r="C8" s="75"/>
      <c r="D8" s="76"/>
      <c r="E8" s="76" t="s">
        <v>23</v>
      </c>
      <c r="F8" s="76" t="str">
        <f>IF(E8&lt;&gt;"", IFERROR(VLOOKUP(E8, Dashboard!$B48:$F53, 5, FALSE), ""), "")</f>
        <v/>
      </c>
      <c r="G8" s="77"/>
      <c r="H8" s="64"/>
      <c r="I8" s="64"/>
      <c r="J8" s="77"/>
      <c r="K8" s="77"/>
      <c r="L8" s="38"/>
      <c r="M8" s="38"/>
      <c r="N8" s="77"/>
      <c r="O8" s="77"/>
      <c r="P8" s="38"/>
      <c r="Q8" s="38" t="s">
        <v>23</v>
      </c>
      <c r="R8" s="77"/>
      <c r="S8" s="64"/>
      <c r="T8" s="77"/>
    </row>
    <row r="9" spans="2:20" ht="60" customHeight="1" x14ac:dyDescent="0.35">
      <c r="B9" s="36" t="s">
        <v>392</v>
      </c>
      <c r="C9" s="75"/>
      <c r="D9" s="76"/>
      <c r="E9" s="76" t="s">
        <v>23</v>
      </c>
      <c r="F9" s="76" t="str">
        <f>IF(E9&lt;&gt;"", IFERROR(VLOOKUP(E9, Dashboard!$B48:$F53, 5, FALSE), ""), "")</f>
        <v/>
      </c>
      <c r="G9" s="77"/>
      <c r="H9" s="64"/>
      <c r="I9" s="64"/>
      <c r="J9" s="77"/>
      <c r="K9" s="77"/>
      <c r="L9" s="38"/>
      <c r="M9" s="38"/>
      <c r="N9" s="77"/>
      <c r="O9" s="77"/>
      <c r="P9" s="38"/>
      <c r="Q9" s="38" t="s">
        <v>23</v>
      </c>
      <c r="R9" s="77"/>
      <c r="S9" s="64"/>
      <c r="T9" s="77"/>
    </row>
    <row r="10" spans="2:20" ht="60" customHeight="1" x14ac:dyDescent="0.35">
      <c r="B10" s="36" t="s">
        <v>393</v>
      </c>
      <c r="C10" s="75"/>
      <c r="D10" s="76"/>
      <c r="E10" s="76" t="s">
        <v>23</v>
      </c>
      <c r="F10" s="76" t="str">
        <f>IF(E10&lt;&gt;"", IFERROR(VLOOKUP(E10, Dashboard!$B48:$F53, 5, FALSE), ""), "")</f>
        <v/>
      </c>
      <c r="G10" s="77"/>
      <c r="H10" s="64"/>
      <c r="I10" s="64"/>
      <c r="J10" s="77"/>
      <c r="K10" s="77"/>
      <c r="L10" s="38"/>
      <c r="M10" s="38"/>
      <c r="N10" s="77"/>
      <c r="O10" s="77"/>
      <c r="P10" s="38"/>
      <c r="Q10" s="38" t="s">
        <v>23</v>
      </c>
      <c r="R10" s="77"/>
      <c r="S10" s="64"/>
      <c r="T10" s="77"/>
    </row>
    <row r="11" spans="2:20" ht="60" customHeight="1" x14ac:dyDescent="0.35">
      <c r="B11" s="36" t="s">
        <v>394</v>
      </c>
      <c r="C11" s="75"/>
      <c r="D11" s="76"/>
      <c r="E11" s="76" t="s">
        <v>23</v>
      </c>
      <c r="F11" s="76" t="str">
        <f>IF(E11&lt;&gt;"", IFERROR(VLOOKUP(E11, Dashboard!$B48:$F53, 5, FALSE), ""), "")</f>
        <v/>
      </c>
      <c r="G11" s="77"/>
      <c r="H11" s="64"/>
      <c r="I11" s="64"/>
      <c r="J11" s="77"/>
      <c r="K11" s="77"/>
      <c r="L11" s="38"/>
      <c r="M11" s="38"/>
      <c r="N11" s="77"/>
      <c r="O11" s="77"/>
      <c r="P11" s="38"/>
      <c r="Q11" s="38" t="s">
        <v>23</v>
      </c>
      <c r="R11" s="77"/>
      <c r="S11" s="64"/>
      <c r="T11" s="77"/>
    </row>
    <row r="12" spans="2:20" ht="60" customHeight="1" x14ac:dyDescent="0.35">
      <c r="B12" s="36" t="s">
        <v>395</v>
      </c>
      <c r="C12" s="75"/>
      <c r="D12" s="76"/>
      <c r="E12" s="76" t="s">
        <v>23</v>
      </c>
      <c r="F12" s="76" t="str">
        <f>IF(E12&lt;&gt;"", IFERROR(VLOOKUP(E12, Dashboard!$B48:$F53, 5, FALSE), ""), "")</f>
        <v/>
      </c>
      <c r="G12" s="77"/>
      <c r="H12" s="64"/>
      <c r="I12" s="64"/>
      <c r="J12" s="77"/>
      <c r="K12" s="77"/>
      <c r="L12" s="38"/>
      <c r="M12" s="38"/>
      <c r="N12" s="77"/>
      <c r="O12" s="77"/>
      <c r="P12" s="38"/>
      <c r="Q12" s="38" t="s">
        <v>23</v>
      </c>
      <c r="R12" s="77"/>
      <c r="S12" s="64"/>
      <c r="T12" s="77"/>
    </row>
    <row r="13" spans="2:20" ht="60" customHeight="1" x14ac:dyDescent="0.35">
      <c r="B13" s="36" t="s">
        <v>396</v>
      </c>
      <c r="C13" s="75"/>
      <c r="D13" s="76"/>
      <c r="E13" s="76" t="s">
        <v>23</v>
      </c>
      <c r="F13" s="76" t="str">
        <f>IF(E13&lt;&gt;"", IFERROR(VLOOKUP(E13, Dashboard!$B48:$F53, 5, FALSE), ""), "")</f>
        <v/>
      </c>
      <c r="G13" s="77"/>
      <c r="H13" s="64"/>
      <c r="I13" s="64"/>
      <c r="J13" s="77"/>
      <c r="K13" s="77"/>
      <c r="L13" s="38"/>
      <c r="M13" s="38"/>
      <c r="N13" s="77"/>
      <c r="O13" s="77"/>
      <c r="P13" s="38"/>
      <c r="Q13" s="38" t="s">
        <v>23</v>
      </c>
      <c r="R13" s="77"/>
      <c r="S13" s="64"/>
      <c r="T13" s="77"/>
    </row>
    <row r="14" spans="2:20" ht="60" customHeight="1" x14ac:dyDescent="0.35">
      <c r="B14" s="36" t="s">
        <v>397</v>
      </c>
      <c r="C14" s="75"/>
      <c r="D14" s="76"/>
      <c r="E14" s="76" t="s">
        <v>23</v>
      </c>
      <c r="F14" s="76" t="str">
        <f>IF(E14&lt;&gt;"", IFERROR(VLOOKUP(E14, Dashboard!$B48:$F53, 5, FALSE), ""), "")</f>
        <v/>
      </c>
      <c r="G14" s="77"/>
      <c r="H14" s="64"/>
      <c r="I14" s="64"/>
      <c r="J14" s="77"/>
      <c r="K14" s="77"/>
      <c r="L14" s="38"/>
      <c r="M14" s="38"/>
      <c r="N14" s="77"/>
      <c r="O14" s="77"/>
      <c r="P14" s="38"/>
      <c r="Q14" s="38" t="s">
        <v>23</v>
      </c>
      <c r="R14" s="77"/>
      <c r="S14" s="64"/>
      <c r="T14" s="77"/>
    </row>
    <row r="15" spans="2:20" ht="60" customHeight="1" x14ac:dyDescent="0.35">
      <c r="B15" s="36" t="s">
        <v>398</v>
      </c>
      <c r="C15" s="75"/>
      <c r="D15" s="76"/>
      <c r="E15" s="76" t="s">
        <v>23</v>
      </c>
      <c r="F15" s="76" t="str">
        <f>IF(E15&lt;&gt;"", IFERROR(VLOOKUP(E15, Dashboard!$B48:$F53, 5, FALSE), ""), "")</f>
        <v/>
      </c>
      <c r="G15" s="77"/>
      <c r="H15" s="64"/>
      <c r="I15" s="64"/>
      <c r="J15" s="77"/>
      <c r="K15" s="77"/>
      <c r="L15" s="38"/>
      <c r="M15" s="38"/>
      <c r="N15" s="77"/>
      <c r="O15" s="77"/>
      <c r="P15" s="38"/>
      <c r="Q15" s="38" t="s">
        <v>23</v>
      </c>
      <c r="R15" s="77"/>
      <c r="S15" s="64"/>
      <c r="T15" s="77"/>
    </row>
    <row r="16" spans="2:20" ht="60" customHeight="1" x14ac:dyDescent="0.35">
      <c r="B16" s="36" t="s">
        <v>399</v>
      </c>
      <c r="C16" s="75"/>
      <c r="D16" s="76"/>
      <c r="E16" s="76" t="s">
        <v>23</v>
      </c>
      <c r="F16" s="76" t="str">
        <f>IF(E16&lt;&gt;"", IFERROR(VLOOKUP(E16, Dashboard!$B48:$F53, 5, FALSE), ""), "")</f>
        <v/>
      </c>
      <c r="G16" s="77"/>
      <c r="H16" s="64"/>
      <c r="I16" s="64"/>
      <c r="J16" s="77"/>
      <c r="K16" s="77"/>
      <c r="L16" s="38"/>
      <c r="M16" s="38"/>
      <c r="N16" s="77"/>
      <c r="O16" s="77"/>
      <c r="P16" s="38"/>
      <c r="Q16" s="38" t="s">
        <v>23</v>
      </c>
      <c r="R16" s="77"/>
      <c r="S16" s="64"/>
      <c r="T16" s="77"/>
    </row>
    <row r="17" spans="2:20" ht="60" customHeight="1" x14ac:dyDescent="0.35">
      <c r="B17" s="36" t="s">
        <v>400</v>
      </c>
      <c r="C17" s="75"/>
      <c r="D17" s="76"/>
      <c r="E17" s="76" t="s">
        <v>23</v>
      </c>
      <c r="F17" s="76" t="str">
        <f>IF(E17&lt;&gt;"", IFERROR(VLOOKUP(E17, Dashboard!$B48:$F53, 5, FALSE), ""), "")</f>
        <v/>
      </c>
      <c r="G17" s="77"/>
      <c r="H17" s="64"/>
      <c r="I17" s="64"/>
      <c r="J17" s="77"/>
      <c r="K17" s="77"/>
      <c r="L17" s="38"/>
      <c r="M17" s="38"/>
      <c r="N17" s="77"/>
      <c r="O17" s="77"/>
      <c r="P17" s="38"/>
      <c r="Q17" s="38" t="s">
        <v>23</v>
      </c>
      <c r="R17" s="77"/>
      <c r="S17" s="64"/>
      <c r="T17" s="77"/>
    </row>
    <row r="18" spans="2:20" ht="60" customHeight="1" x14ac:dyDescent="0.35">
      <c r="B18" s="36" t="s">
        <v>401</v>
      </c>
      <c r="C18" s="75"/>
      <c r="D18" s="76"/>
      <c r="E18" s="76" t="s">
        <v>23</v>
      </c>
      <c r="F18" s="76" t="str">
        <f>IF(E18&lt;&gt;"", IFERROR(VLOOKUP(E18, Dashboard!$B48:$F53, 5, FALSE), ""), "")</f>
        <v/>
      </c>
      <c r="G18" s="77"/>
      <c r="H18" s="64"/>
      <c r="I18" s="64"/>
      <c r="J18" s="77"/>
      <c r="K18" s="77"/>
      <c r="L18" s="38"/>
      <c r="M18" s="38"/>
      <c r="N18" s="77"/>
      <c r="O18" s="77"/>
      <c r="P18" s="38"/>
      <c r="Q18" s="38" t="s">
        <v>23</v>
      </c>
      <c r="R18" s="77"/>
      <c r="S18" s="64"/>
      <c r="T18" s="77"/>
    </row>
    <row r="19" spans="2:20" ht="60" customHeight="1" x14ac:dyDescent="0.35">
      <c r="B19" s="36" t="s">
        <v>402</v>
      </c>
      <c r="C19" s="75"/>
      <c r="D19" s="76"/>
      <c r="E19" s="76" t="s">
        <v>23</v>
      </c>
      <c r="F19" s="76" t="str">
        <f>IF(E19&lt;&gt;"", IFERROR(VLOOKUP(E19, Dashboard!$B48:$F53, 5, FALSE), ""), "")</f>
        <v/>
      </c>
      <c r="G19" s="77"/>
      <c r="H19" s="64"/>
      <c r="I19" s="64"/>
      <c r="J19" s="77"/>
      <c r="K19" s="77"/>
      <c r="L19" s="38"/>
      <c r="M19" s="38"/>
      <c r="N19" s="77"/>
      <c r="O19" s="77"/>
      <c r="P19" s="38"/>
      <c r="Q19" s="38" t="s">
        <v>23</v>
      </c>
      <c r="R19" s="77"/>
      <c r="S19" s="64"/>
      <c r="T19" s="77"/>
    </row>
    <row r="20" spans="2:20" ht="60" customHeight="1" x14ac:dyDescent="0.35">
      <c r="B20" s="36" t="s">
        <v>403</v>
      </c>
      <c r="C20" s="75"/>
      <c r="D20" s="76"/>
      <c r="E20" s="76" t="s">
        <v>23</v>
      </c>
      <c r="F20" s="76" t="str">
        <f>IF(E20&lt;&gt;"", IFERROR(VLOOKUP(E20, Dashboard!$B48:$F53, 5, FALSE), ""), "")</f>
        <v/>
      </c>
      <c r="G20" s="77"/>
      <c r="H20" s="64"/>
      <c r="I20" s="64"/>
      <c r="J20" s="77"/>
      <c r="K20" s="77"/>
      <c r="L20" s="38"/>
      <c r="M20" s="38"/>
      <c r="N20" s="77"/>
      <c r="O20" s="77"/>
      <c r="P20" s="38"/>
      <c r="Q20" s="38" t="s">
        <v>23</v>
      </c>
      <c r="R20" s="77"/>
      <c r="S20" s="64"/>
      <c r="T20" s="77"/>
    </row>
    <row r="21" spans="2:20" ht="60" customHeight="1" x14ac:dyDescent="0.35">
      <c r="B21" s="36" t="s">
        <v>404</v>
      </c>
      <c r="C21" s="75"/>
      <c r="D21" s="76"/>
      <c r="E21" s="76" t="s">
        <v>23</v>
      </c>
      <c r="F21" s="76" t="str">
        <f>IF(E21&lt;&gt;"", IFERROR(VLOOKUP(E21, Dashboard!$B48:$F53, 5, FALSE), ""), "")</f>
        <v/>
      </c>
      <c r="G21" s="77"/>
      <c r="H21" s="64"/>
      <c r="I21" s="64"/>
      <c r="J21" s="77"/>
      <c r="K21" s="77"/>
      <c r="L21" s="38"/>
      <c r="M21" s="38"/>
      <c r="N21" s="77"/>
      <c r="O21" s="77"/>
      <c r="P21" s="38"/>
      <c r="Q21" s="38" t="s">
        <v>23</v>
      </c>
      <c r="R21" s="77"/>
      <c r="S21" s="64"/>
      <c r="T21" s="77"/>
    </row>
    <row r="22" spans="2:20" ht="60" customHeight="1" x14ac:dyDescent="0.35">
      <c r="B22" s="36" t="s">
        <v>405</v>
      </c>
      <c r="C22" s="75"/>
      <c r="D22" s="76"/>
      <c r="E22" s="76" t="s">
        <v>23</v>
      </c>
      <c r="F22" s="76" t="str">
        <f>IF(E22&lt;&gt;"", IFERROR(VLOOKUP(E22, Dashboard!$B48:$F53, 5, FALSE), ""), "")</f>
        <v/>
      </c>
      <c r="G22" s="77"/>
      <c r="H22" s="64"/>
      <c r="I22" s="64"/>
      <c r="J22" s="77"/>
      <c r="K22" s="77"/>
      <c r="L22" s="38"/>
      <c r="M22" s="38"/>
      <c r="N22" s="77"/>
      <c r="O22" s="77"/>
      <c r="P22" s="38"/>
      <c r="Q22" s="38" t="s">
        <v>23</v>
      </c>
      <c r="R22" s="77"/>
      <c r="S22" s="64"/>
      <c r="T22" s="77"/>
    </row>
    <row r="23" spans="2:20" ht="60" customHeight="1" x14ac:dyDescent="0.35">
      <c r="B23" s="36" t="s">
        <v>406</v>
      </c>
      <c r="C23" s="75"/>
      <c r="D23" s="76"/>
      <c r="E23" s="76" t="s">
        <v>23</v>
      </c>
      <c r="F23" s="76" t="str">
        <f>IF(E23&lt;&gt;"", IFERROR(VLOOKUP(E23, Dashboard!$B48:$F53, 5, FALSE), ""), "")</f>
        <v/>
      </c>
      <c r="G23" s="77"/>
      <c r="H23" s="64"/>
      <c r="I23" s="64"/>
      <c r="J23" s="77"/>
      <c r="K23" s="77"/>
      <c r="L23" s="38"/>
      <c r="M23" s="38"/>
      <c r="N23" s="77"/>
      <c r="O23" s="77"/>
      <c r="P23" s="38"/>
      <c r="Q23" s="38" t="s">
        <v>23</v>
      </c>
      <c r="R23" s="77"/>
      <c r="S23" s="64"/>
      <c r="T23" s="77"/>
    </row>
    <row r="24" spans="2:20" ht="60" customHeight="1" x14ac:dyDescent="0.35">
      <c r="B24" s="36" t="s">
        <v>407</v>
      </c>
      <c r="C24" s="75"/>
      <c r="D24" s="76"/>
      <c r="E24" s="76" t="s">
        <v>23</v>
      </c>
      <c r="F24" s="76" t="str">
        <f>IF(E24&lt;&gt;"", IFERROR(VLOOKUP(E24, Dashboard!$B48:$F53, 5, FALSE), ""), "")</f>
        <v/>
      </c>
      <c r="G24" s="77"/>
      <c r="H24" s="64"/>
      <c r="I24" s="64"/>
      <c r="J24" s="77"/>
      <c r="K24" s="77"/>
      <c r="L24" s="38"/>
      <c r="M24" s="38"/>
      <c r="N24" s="77"/>
      <c r="O24" s="77"/>
      <c r="P24" s="38"/>
      <c r="Q24" s="38" t="s">
        <v>23</v>
      </c>
      <c r="R24" s="77"/>
      <c r="S24" s="64"/>
      <c r="T24" s="77"/>
    </row>
    <row r="25" spans="2:20" ht="60" customHeight="1" x14ac:dyDescent="0.35">
      <c r="B25" s="36" t="s">
        <v>408</v>
      </c>
      <c r="C25" s="75"/>
      <c r="D25" s="76"/>
      <c r="E25" s="76" t="s">
        <v>23</v>
      </c>
      <c r="F25" s="76" t="str">
        <f>IF(E25&lt;&gt;"", IFERROR(VLOOKUP(E25, Dashboard!$B48:$F53, 5, FALSE), ""), "")</f>
        <v/>
      </c>
      <c r="G25" s="77"/>
      <c r="H25" s="64"/>
      <c r="I25" s="64"/>
      <c r="J25" s="77"/>
      <c r="K25" s="77"/>
      <c r="L25" s="38"/>
      <c r="M25" s="38"/>
      <c r="N25" s="77"/>
      <c r="O25" s="77"/>
      <c r="P25" s="38"/>
      <c r="Q25" s="38" t="s">
        <v>23</v>
      </c>
      <c r="R25" s="77"/>
      <c r="S25" s="64"/>
      <c r="T25" s="77"/>
    </row>
    <row r="26" spans="2:20" ht="60" customHeight="1" x14ac:dyDescent="0.35">
      <c r="B26" s="36" t="s">
        <v>409</v>
      </c>
      <c r="C26" s="75"/>
      <c r="D26" s="76"/>
      <c r="E26" s="76" t="s">
        <v>23</v>
      </c>
      <c r="F26" s="76" t="str">
        <f>IF(E26&lt;&gt;"", IFERROR(VLOOKUP(E26, Dashboard!$B48:$F53, 5, FALSE), ""), "")</f>
        <v/>
      </c>
      <c r="G26" s="77"/>
      <c r="H26" s="64"/>
      <c r="I26" s="64"/>
      <c r="J26" s="77"/>
      <c r="K26" s="77"/>
      <c r="L26" s="38"/>
      <c r="M26" s="38"/>
      <c r="N26" s="77"/>
      <c r="O26" s="77"/>
      <c r="P26" s="38"/>
      <c r="Q26" s="38" t="s">
        <v>23</v>
      </c>
      <c r="R26" s="77"/>
      <c r="S26" s="64"/>
      <c r="T26" s="77"/>
    </row>
    <row r="27" spans="2:20" ht="60" customHeight="1" x14ac:dyDescent="0.35">
      <c r="B27" s="36" t="s">
        <v>410</v>
      </c>
      <c r="C27" s="75"/>
      <c r="D27" s="76"/>
      <c r="E27" s="76" t="s">
        <v>23</v>
      </c>
      <c r="F27" s="76" t="str">
        <f>IF(E27&lt;&gt;"", IFERROR(VLOOKUP(E27, Dashboard!$B48:$F53, 5, FALSE), ""), "")</f>
        <v/>
      </c>
      <c r="G27" s="77"/>
      <c r="H27" s="64"/>
      <c r="I27" s="64"/>
      <c r="J27" s="77"/>
      <c r="K27" s="77"/>
      <c r="L27" s="38"/>
      <c r="M27" s="38"/>
      <c r="N27" s="77"/>
      <c r="O27" s="77"/>
      <c r="P27" s="38"/>
      <c r="Q27" s="38" t="s">
        <v>23</v>
      </c>
      <c r="R27" s="77"/>
      <c r="S27" s="64"/>
      <c r="T27" s="77"/>
    </row>
    <row r="28" spans="2:20" ht="60" customHeight="1" x14ac:dyDescent="0.35">
      <c r="B28" s="36" t="s">
        <v>411</v>
      </c>
      <c r="C28" s="75"/>
      <c r="D28" s="76"/>
      <c r="E28" s="76" t="s">
        <v>23</v>
      </c>
      <c r="F28" s="76" t="str">
        <f>IF(E28&lt;&gt;"", IFERROR(VLOOKUP(E28, Dashboard!$B48:$F53, 5, FALSE), ""), "")</f>
        <v/>
      </c>
      <c r="G28" s="77"/>
      <c r="H28" s="64"/>
      <c r="I28" s="64"/>
      <c r="J28" s="77"/>
      <c r="K28" s="77"/>
      <c r="L28" s="38"/>
      <c r="M28" s="38"/>
      <c r="N28" s="77"/>
      <c r="O28" s="77"/>
      <c r="P28" s="38"/>
      <c r="Q28" s="38" t="s">
        <v>23</v>
      </c>
      <c r="R28" s="77"/>
      <c r="S28" s="64"/>
      <c r="T28" s="77"/>
    </row>
    <row r="29" spans="2:20" ht="60" customHeight="1" x14ac:dyDescent="0.35">
      <c r="B29" s="36" t="s">
        <v>412</v>
      </c>
      <c r="C29" s="75"/>
      <c r="D29" s="76"/>
      <c r="E29" s="76" t="s">
        <v>23</v>
      </c>
      <c r="F29" s="76" t="str">
        <f>IF(E29&lt;&gt;"", IFERROR(VLOOKUP(E29, Dashboard!$B48:$F53, 5, FALSE), ""), "")</f>
        <v/>
      </c>
      <c r="G29" s="77"/>
      <c r="H29" s="64"/>
      <c r="I29" s="64"/>
      <c r="J29" s="77"/>
      <c r="K29" s="77"/>
      <c r="L29" s="38"/>
      <c r="M29" s="38"/>
      <c r="N29" s="77"/>
      <c r="O29" s="77"/>
      <c r="P29" s="38"/>
      <c r="Q29" s="38" t="s">
        <v>23</v>
      </c>
      <c r="R29" s="77"/>
      <c r="S29" s="64"/>
      <c r="T29" s="77"/>
    </row>
    <row r="30" spans="2:20" ht="60" customHeight="1" x14ac:dyDescent="0.35">
      <c r="B30" s="36" t="s">
        <v>413</v>
      </c>
      <c r="C30" s="75"/>
      <c r="D30" s="76"/>
      <c r="E30" s="76" t="s">
        <v>23</v>
      </c>
      <c r="F30" s="76" t="str">
        <f>IF(E30&lt;&gt;"", IFERROR(VLOOKUP(E30, Dashboard!$B48:$F53, 5, FALSE), ""), "")</f>
        <v/>
      </c>
      <c r="G30" s="77"/>
      <c r="H30" s="64"/>
      <c r="I30" s="64"/>
      <c r="J30" s="77"/>
      <c r="K30" s="77"/>
      <c r="L30" s="38"/>
      <c r="M30" s="38"/>
      <c r="N30" s="77"/>
      <c r="O30" s="77"/>
      <c r="P30" s="38"/>
      <c r="Q30" s="38" t="s">
        <v>23</v>
      </c>
      <c r="R30" s="77"/>
      <c r="S30" s="64"/>
      <c r="T30" s="77"/>
    </row>
    <row r="31" spans="2:20" ht="60" customHeight="1" x14ac:dyDescent="0.35">
      <c r="B31" s="36" t="s">
        <v>414</v>
      </c>
      <c r="C31" s="75"/>
      <c r="D31" s="76"/>
      <c r="E31" s="76" t="s">
        <v>23</v>
      </c>
      <c r="F31" s="76" t="str">
        <f>IF(E31&lt;&gt;"", IFERROR(VLOOKUP(E31, Dashboard!$B48:$F53, 5, FALSE), ""), "")</f>
        <v/>
      </c>
      <c r="G31" s="77"/>
      <c r="H31" s="64"/>
      <c r="I31" s="64"/>
      <c r="J31" s="77"/>
      <c r="K31" s="77"/>
      <c r="L31" s="38"/>
      <c r="M31" s="38"/>
      <c r="N31" s="77"/>
      <c r="O31" s="77"/>
      <c r="P31" s="38"/>
      <c r="Q31" s="38" t="s">
        <v>23</v>
      </c>
      <c r="R31" s="77"/>
      <c r="S31" s="64"/>
      <c r="T31" s="77"/>
    </row>
    <row r="32" spans="2:20" ht="60" customHeight="1" x14ac:dyDescent="0.35">
      <c r="B32" s="36" t="s">
        <v>415</v>
      </c>
      <c r="C32" s="75"/>
      <c r="D32" s="76"/>
      <c r="E32" s="76" t="s">
        <v>23</v>
      </c>
      <c r="F32" s="76" t="str">
        <f>IF(E32&lt;&gt;"", IFERROR(VLOOKUP(E32, Dashboard!$B48:$F53, 5, FALSE), ""), "")</f>
        <v/>
      </c>
      <c r="G32" s="77"/>
      <c r="H32" s="64"/>
      <c r="I32" s="64"/>
      <c r="J32" s="77"/>
      <c r="K32" s="77"/>
      <c r="L32" s="38"/>
      <c r="M32" s="38"/>
      <c r="N32" s="77"/>
      <c r="O32" s="77"/>
      <c r="P32" s="38"/>
      <c r="Q32" s="38" t="s">
        <v>23</v>
      </c>
      <c r="R32" s="77"/>
      <c r="S32" s="64"/>
      <c r="T32" s="77"/>
    </row>
    <row r="33" spans="2:20" ht="60" customHeight="1" x14ac:dyDescent="0.35">
      <c r="B33" s="36" t="s">
        <v>416</v>
      </c>
      <c r="C33" s="75"/>
      <c r="D33" s="76"/>
      <c r="E33" s="76" t="s">
        <v>23</v>
      </c>
      <c r="F33" s="76" t="str">
        <f>IF(E33&lt;&gt;"", IFERROR(VLOOKUP(E33, Dashboard!$B48:$F53, 5, FALSE), ""), "")</f>
        <v/>
      </c>
      <c r="G33" s="77"/>
      <c r="H33" s="64"/>
      <c r="I33" s="64"/>
      <c r="J33" s="77"/>
      <c r="K33" s="77"/>
      <c r="L33" s="38"/>
      <c r="M33" s="38"/>
      <c r="N33" s="77"/>
      <c r="O33" s="77"/>
      <c r="P33" s="38"/>
      <c r="Q33" s="38" t="s">
        <v>23</v>
      </c>
      <c r="R33" s="77"/>
      <c r="S33" s="64"/>
      <c r="T33" s="77"/>
    </row>
    <row r="34" spans="2:20" ht="60" customHeight="1" x14ac:dyDescent="0.35">
      <c r="B34" s="36" t="s">
        <v>417</v>
      </c>
      <c r="C34" s="75"/>
      <c r="D34" s="76"/>
      <c r="E34" s="76" t="s">
        <v>23</v>
      </c>
      <c r="F34" s="76" t="str">
        <f>IF(E34&lt;&gt;"", IFERROR(VLOOKUP(E34, Dashboard!$B48:$F53, 5, FALSE), ""), "")</f>
        <v/>
      </c>
      <c r="G34" s="77"/>
      <c r="H34" s="64"/>
      <c r="I34" s="64"/>
      <c r="J34" s="77"/>
      <c r="K34" s="77"/>
      <c r="L34" s="38"/>
      <c r="M34" s="38"/>
      <c r="N34" s="77"/>
      <c r="O34" s="77"/>
      <c r="P34" s="38"/>
      <c r="Q34" s="38" t="s">
        <v>23</v>
      </c>
      <c r="R34" s="77"/>
      <c r="S34" s="64"/>
      <c r="T34" s="77"/>
    </row>
    <row r="35" spans="2:20" ht="60" customHeight="1" x14ac:dyDescent="0.35">
      <c r="B35" s="36" t="s">
        <v>418</v>
      </c>
      <c r="C35" s="75"/>
      <c r="D35" s="76"/>
      <c r="E35" s="76" t="s">
        <v>23</v>
      </c>
      <c r="F35" s="76" t="str">
        <f>IF(E35&lt;&gt;"", IFERROR(VLOOKUP(E35, Dashboard!$B48:$F53, 5, FALSE), ""), "")</f>
        <v/>
      </c>
      <c r="G35" s="77"/>
      <c r="H35" s="64"/>
      <c r="I35" s="64"/>
      <c r="J35" s="77"/>
      <c r="K35" s="77"/>
      <c r="L35" s="38"/>
      <c r="M35" s="38"/>
      <c r="N35" s="77"/>
      <c r="O35" s="77"/>
      <c r="P35" s="38"/>
      <c r="Q35" s="38" t="s">
        <v>23</v>
      </c>
      <c r="R35" s="77"/>
      <c r="S35" s="64"/>
      <c r="T35" s="77"/>
    </row>
    <row r="36" spans="2:20" ht="60" customHeight="1" x14ac:dyDescent="0.35">
      <c r="B36" s="36" t="s">
        <v>419</v>
      </c>
      <c r="C36" s="75"/>
      <c r="D36" s="76"/>
      <c r="E36" s="76" t="s">
        <v>23</v>
      </c>
      <c r="F36" s="76" t="str">
        <f>IF(E36&lt;&gt;"", IFERROR(VLOOKUP(E36, Dashboard!$B48:$F53, 5, FALSE), ""), "")</f>
        <v/>
      </c>
      <c r="G36" s="77"/>
      <c r="H36" s="64"/>
      <c r="I36" s="64"/>
      <c r="J36" s="77"/>
      <c r="K36" s="77"/>
      <c r="L36" s="38"/>
      <c r="M36" s="38"/>
      <c r="N36" s="77"/>
      <c r="O36" s="77"/>
      <c r="P36" s="38"/>
      <c r="Q36" s="38" t="s">
        <v>23</v>
      </c>
      <c r="R36" s="77"/>
      <c r="S36" s="64"/>
      <c r="T36" s="77"/>
    </row>
    <row r="37" spans="2:20" ht="60" customHeight="1" x14ac:dyDescent="0.35">
      <c r="B37" s="36" t="s">
        <v>420</v>
      </c>
      <c r="C37" s="75"/>
      <c r="D37" s="76"/>
      <c r="E37" s="76" t="s">
        <v>23</v>
      </c>
      <c r="F37" s="76" t="str">
        <f>IF(E37&lt;&gt;"", IFERROR(VLOOKUP(E37, Dashboard!$B48:$F53, 5, FALSE), ""), "")</f>
        <v/>
      </c>
      <c r="G37" s="77"/>
      <c r="H37" s="64"/>
      <c r="I37" s="64"/>
      <c r="J37" s="77"/>
      <c r="K37" s="77"/>
      <c r="L37" s="38"/>
      <c r="M37" s="38"/>
      <c r="N37" s="77"/>
      <c r="O37" s="77"/>
      <c r="P37" s="38"/>
      <c r="Q37" s="38" t="s">
        <v>23</v>
      </c>
      <c r="R37" s="77"/>
      <c r="S37" s="64"/>
      <c r="T37" s="77"/>
    </row>
    <row r="38" spans="2:20" ht="60" customHeight="1" x14ac:dyDescent="0.35">
      <c r="B38" s="36" t="s">
        <v>421</v>
      </c>
      <c r="C38" s="75"/>
      <c r="D38" s="76"/>
      <c r="E38" s="76" t="s">
        <v>23</v>
      </c>
      <c r="F38" s="76" t="str">
        <f>IF(E38&lt;&gt;"", IFERROR(VLOOKUP(E38, Dashboard!$B48:$F53, 5, FALSE), ""), "")</f>
        <v/>
      </c>
      <c r="G38" s="77"/>
      <c r="H38" s="64"/>
      <c r="I38" s="64"/>
      <c r="J38" s="77"/>
      <c r="K38" s="77"/>
      <c r="L38" s="38"/>
      <c r="M38" s="38"/>
      <c r="N38" s="77"/>
      <c r="O38" s="77"/>
      <c r="P38" s="38"/>
      <c r="Q38" s="38" t="s">
        <v>23</v>
      </c>
      <c r="R38" s="77"/>
      <c r="S38" s="64"/>
      <c r="T38" s="77"/>
    </row>
    <row r="39" spans="2:20" ht="60" customHeight="1" x14ac:dyDescent="0.35">
      <c r="B39" s="36" t="s">
        <v>422</v>
      </c>
      <c r="C39" s="75"/>
      <c r="D39" s="76"/>
      <c r="E39" s="76" t="s">
        <v>23</v>
      </c>
      <c r="F39" s="76" t="str">
        <f>IF(E39&lt;&gt;"", IFERROR(VLOOKUP(E39, Dashboard!$B48:$F53, 5, FALSE), ""), "")</f>
        <v/>
      </c>
      <c r="G39" s="77"/>
      <c r="H39" s="64"/>
      <c r="I39" s="64"/>
      <c r="J39" s="77"/>
      <c r="K39" s="77"/>
      <c r="L39" s="38"/>
      <c r="M39" s="38"/>
      <c r="N39" s="77"/>
      <c r="O39" s="77"/>
      <c r="P39" s="38"/>
      <c r="Q39" s="38" t="s">
        <v>23</v>
      </c>
      <c r="R39" s="77"/>
      <c r="S39" s="64"/>
      <c r="T39" s="77"/>
    </row>
    <row r="40" spans="2:20" ht="60" customHeight="1" x14ac:dyDescent="0.35">
      <c r="B40" s="36" t="s">
        <v>423</v>
      </c>
      <c r="C40" s="75"/>
      <c r="D40" s="76"/>
      <c r="E40" s="76" t="s">
        <v>23</v>
      </c>
      <c r="F40" s="76" t="str">
        <f>IF(E40&lt;&gt;"", IFERROR(VLOOKUP(E40, Dashboard!$B48:$F53, 5, FALSE), ""), "")</f>
        <v/>
      </c>
      <c r="G40" s="77"/>
      <c r="H40" s="64"/>
      <c r="I40" s="64"/>
      <c r="J40" s="77"/>
      <c r="K40" s="77"/>
      <c r="L40" s="38"/>
      <c r="M40" s="38"/>
      <c r="N40" s="77"/>
      <c r="O40" s="77"/>
      <c r="P40" s="38"/>
      <c r="Q40" s="38" t="s">
        <v>23</v>
      </c>
      <c r="R40" s="77"/>
      <c r="S40" s="64"/>
      <c r="T40" s="77"/>
    </row>
    <row r="41" spans="2:20" ht="60" customHeight="1" x14ac:dyDescent="0.35">
      <c r="B41" s="36" t="s">
        <v>424</v>
      </c>
      <c r="C41" s="75"/>
      <c r="D41" s="76"/>
      <c r="E41" s="76" t="s">
        <v>23</v>
      </c>
      <c r="F41" s="76" t="str">
        <f>IF(E41&lt;&gt;"", IFERROR(VLOOKUP(E41, Dashboard!$B48:$F53, 5, FALSE), ""), "")</f>
        <v/>
      </c>
      <c r="G41" s="77"/>
      <c r="H41" s="64"/>
      <c r="I41" s="64"/>
      <c r="J41" s="77"/>
      <c r="K41" s="77"/>
      <c r="L41" s="38"/>
      <c r="M41" s="38"/>
      <c r="N41" s="77"/>
      <c r="O41" s="77"/>
      <c r="P41" s="38"/>
      <c r="Q41" s="38" t="s">
        <v>23</v>
      </c>
      <c r="R41" s="77"/>
      <c r="S41" s="64"/>
      <c r="T41" s="77"/>
    </row>
    <row r="42" spans="2:20" ht="60" customHeight="1" x14ac:dyDescent="0.35">
      <c r="B42" s="36" t="s">
        <v>425</v>
      </c>
      <c r="C42" s="75"/>
      <c r="D42" s="76"/>
      <c r="E42" s="76" t="s">
        <v>23</v>
      </c>
      <c r="F42" s="76" t="str">
        <f>IF(E42&lt;&gt;"", IFERROR(VLOOKUP(E42, Dashboard!$B48:$F53, 5, FALSE), ""), "")</f>
        <v/>
      </c>
      <c r="G42" s="77"/>
      <c r="H42" s="64"/>
      <c r="I42" s="64"/>
      <c r="J42" s="77"/>
      <c r="K42" s="77"/>
      <c r="L42" s="38"/>
      <c r="M42" s="38"/>
      <c r="N42" s="77"/>
      <c r="O42" s="77"/>
      <c r="P42" s="38"/>
      <c r="Q42" s="38" t="s">
        <v>23</v>
      </c>
      <c r="R42" s="77"/>
      <c r="S42" s="64"/>
      <c r="T42" s="77"/>
    </row>
    <row r="43" spans="2:20" ht="60" customHeight="1" x14ac:dyDescent="0.35">
      <c r="B43" s="36" t="s">
        <v>426</v>
      </c>
      <c r="C43" s="75"/>
      <c r="D43" s="76"/>
      <c r="E43" s="76" t="s">
        <v>23</v>
      </c>
      <c r="F43" s="76" t="str">
        <f>IF(E43&lt;&gt;"", IFERROR(VLOOKUP(E43, Dashboard!$B48:$F53, 5, FALSE), ""), "")</f>
        <v/>
      </c>
      <c r="G43" s="77"/>
      <c r="H43" s="64"/>
      <c r="I43" s="64"/>
      <c r="J43" s="77"/>
      <c r="K43" s="77"/>
      <c r="L43" s="38"/>
      <c r="M43" s="38"/>
      <c r="N43" s="77"/>
      <c r="O43" s="77"/>
      <c r="P43" s="38"/>
      <c r="Q43" s="38" t="s">
        <v>23</v>
      </c>
      <c r="R43" s="77"/>
      <c r="S43" s="64"/>
      <c r="T43" s="77"/>
    </row>
    <row r="44" spans="2:20" ht="60" customHeight="1" x14ac:dyDescent="0.35">
      <c r="B44" s="36" t="s">
        <v>427</v>
      </c>
      <c r="C44" s="75"/>
      <c r="D44" s="76"/>
      <c r="E44" s="76" t="s">
        <v>23</v>
      </c>
      <c r="F44" s="76" t="str">
        <f>IF(E44&lt;&gt;"", IFERROR(VLOOKUP(E44, Dashboard!$B48:$F53, 5, FALSE), ""), "")</f>
        <v/>
      </c>
      <c r="G44" s="77"/>
      <c r="H44" s="64"/>
      <c r="I44" s="64"/>
      <c r="J44" s="77"/>
      <c r="K44" s="77"/>
      <c r="L44" s="38"/>
      <c r="M44" s="38"/>
      <c r="N44" s="77"/>
      <c r="O44" s="77"/>
      <c r="P44" s="38"/>
      <c r="Q44" s="38" t="s">
        <v>23</v>
      </c>
      <c r="R44" s="77"/>
      <c r="S44" s="64"/>
      <c r="T44" s="77"/>
    </row>
    <row r="45" spans="2:20" ht="60" customHeight="1" x14ac:dyDescent="0.35">
      <c r="B45" s="36" t="s">
        <v>428</v>
      </c>
      <c r="C45" s="75"/>
      <c r="D45" s="76"/>
      <c r="E45" s="76" t="s">
        <v>23</v>
      </c>
      <c r="F45" s="76" t="str">
        <f>IF(E45&lt;&gt;"", IFERROR(VLOOKUP(E45, Dashboard!$B48:$F53, 5, FALSE), ""), "")</f>
        <v/>
      </c>
      <c r="G45" s="77"/>
      <c r="H45" s="64"/>
      <c r="I45" s="64"/>
      <c r="J45" s="77"/>
      <c r="K45" s="77"/>
      <c r="L45" s="38"/>
      <c r="M45" s="38"/>
      <c r="N45" s="77"/>
      <c r="O45" s="77"/>
      <c r="P45" s="38"/>
      <c r="Q45" s="38" t="s">
        <v>23</v>
      </c>
      <c r="R45" s="77"/>
      <c r="S45" s="64"/>
      <c r="T45" s="77"/>
    </row>
    <row r="46" spans="2:20" ht="60" customHeight="1" x14ac:dyDescent="0.35">
      <c r="B46" s="36" t="s">
        <v>429</v>
      </c>
      <c r="C46" s="75"/>
      <c r="D46" s="76"/>
      <c r="E46" s="76" t="s">
        <v>23</v>
      </c>
      <c r="F46" s="76" t="str">
        <f>IF(E46&lt;&gt;"", IFERROR(VLOOKUP(E46, Dashboard!$B48:$F53, 5, FALSE), ""), "")</f>
        <v/>
      </c>
      <c r="G46" s="77"/>
      <c r="H46" s="64"/>
      <c r="I46" s="64"/>
      <c r="J46" s="77"/>
      <c r="K46" s="77"/>
      <c r="L46" s="38"/>
      <c r="M46" s="38"/>
      <c r="N46" s="77"/>
      <c r="O46" s="77"/>
      <c r="P46" s="38"/>
      <c r="Q46" s="38" t="s">
        <v>23</v>
      </c>
      <c r="R46" s="77"/>
      <c r="S46" s="64"/>
      <c r="T46" s="77"/>
    </row>
    <row r="47" spans="2:20" ht="60" customHeight="1" x14ac:dyDescent="0.35">
      <c r="B47" s="36" t="s">
        <v>430</v>
      </c>
      <c r="C47" s="75"/>
      <c r="D47" s="76"/>
      <c r="E47" s="76" t="s">
        <v>23</v>
      </c>
      <c r="F47" s="76" t="str">
        <f>IF(E47&lt;&gt;"", IFERROR(VLOOKUP(E47, Dashboard!$B48:$F53, 5, FALSE), ""), "")</f>
        <v/>
      </c>
      <c r="G47" s="77"/>
      <c r="H47" s="64"/>
      <c r="I47" s="64"/>
      <c r="J47" s="77"/>
      <c r="K47" s="77"/>
      <c r="L47" s="38"/>
      <c r="M47" s="38"/>
      <c r="N47" s="77"/>
      <c r="O47" s="77"/>
      <c r="P47" s="38"/>
      <c r="Q47" s="38" t="s">
        <v>23</v>
      </c>
      <c r="R47" s="77"/>
      <c r="S47" s="64"/>
      <c r="T47" s="77"/>
    </row>
    <row r="48" spans="2:20" ht="60" customHeight="1" x14ac:dyDescent="0.35">
      <c r="B48" s="36" t="s">
        <v>431</v>
      </c>
      <c r="C48" s="75"/>
      <c r="D48" s="76"/>
      <c r="E48" s="76" t="s">
        <v>23</v>
      </c>
      <c r="F48" s="76" t="str">
        <f>IF(E48&lt;&gt;"", IFERROR(VLOOKUP(E48, Dashboard!$B48:$F53, 5, FALSE), ""), "")</f>
        <v/>
      </c>
      <c r="G48" s="77"/>
      <c r="H48" s="64"/>
      <c r="I48" s="64"/>
      <c r="J48" s="77"/>
      <c r="K48" s="77"/>
      <c r="L48" s="38"/>
      <c r="M48" s="38"/>
      <c r="N48" s="77"/>
      <c r="O48" s="77"/>
      <c r="P48" s="38"/>
      <c r="Q48" s="38" t="s">
        <v>23</v>
      </c>
      <c r="R48" s="77"/>
      <c r="S48" s="64"/>
      <c r="T48" s="77"/>
    </row>
    <row r="49" spans="2:20" ht="60" customHeight="1" x14ac:dyDescent="0.35">
      <c r="B49" s="36" t="s">
        <v>432</v>
      </c>
      <c r="C49" s="75"/>
      <c r="D49" s="76"/>
      <c r="E49" s="76" t="s">
        <v>23</v>
      </c>
      <c r="F49" s="76" t="str">
        <f>IF(E49&lt;&gt;"", IFERROR(VLOOKUP(E49, Dashboard!$B48:$F53, 5, FALSE), ""), "")</f>
        <v/>
      </c>
      <c r="G49" s="77"/>
      <c r="H49" s="64"/>
      <c r="I49" s="64"/>
      <c r="J49" s="77"/>
      <c r="K49" s="77"/>
      <c r="L49" s="38"/>
      <c r="M49" s="38"/>
      <c r="N49" s="77"/>
      <c r="O49" s="77"/>
      <c r="P49" s="38"/>
      <c r="Q49" s="38" t="s">
        <v>23</v>
      </c>
      <c r="R49" s="77"/>
      <c r="S49" s="64"/>
      <c r="T49" s="77"/>
    </row>
    <row r="50" spans="2:20" ht="60" customHeight="1" x14ac:dyDescent="0.35">
      <c r="B50" s="36" t="s">
        <v>433</v>
      </c>
      <c r="C50" s="75"/>
      <c r="D50" s="76"/>
      <c r="E50" s="76" t="s">
        <v>23</v>
      </c>
      <c r="F50" s="76" t="str">
        <f>IF(E50&lt;&gt;"", IFERROR(VLOOKUP(E50, Dashboard!$B48:$F53, 5, FALSE), ""), "")</f>
        <v/>
      </c>
      <c r="G50" s="77"/>
      <c r="H50" s="64"/>
      <c r="I50" s="64"/>
      <c r="J50" s="77"/>
      <c r="K50" s="77"/>
      <c r="L50" s="38"/>
      <c r="M50" s="38"/>
      <c r="N50" s="77"/>
      <c r="O50" s="77"/>
      <c r="P50" s="38"/>
      <c r="Q50" s="38" t="s">
        <v>23</v>
      </c>
      <c r="R50" s="77"/>
      <c r="S50" s="64"/>
      <c r="T50" s="77"/>
    </row>
    <row r="51" spans="2:20" ht="60" customHeight="1" x14ac:dyDescent="0.35">
      <c r="B51" s="36" t="s">
        <v>434</v>
      </c>
      <c r="C51" s="75"/>
      <c r="D51" s="76"/>
      <c r="E51" s="76" t="s">
        <v>23</v>
      </c>
      <c r="F51" s="76" t="str">
        <f>IF(E51&lt;&gt;"", IFERROR(VLOOKUP(E51, Dashboard!$B48:$F53, 5, FALSE), ""), "")</f>
        <v/>
      </c>
      <c r="G51" s="77"/>
      <c r="H51" s="64"/>
      <c r="I51" s="64"/>
      <c r="J51" s="77"/>
      <c r="K51" s="77"/>
      <c r="L51" s="38"/>
      <c r="M51" s="38"/>
      <c r="N51" s="77"/>
      <c r="O51" s="77"/>
      <c r="P51" s="38"/>
      <c r="Q51" s="38" t="s">
        <v>23</v>
      </c>
      <c r="R51" s="77"/>
      <c r="S51" s="64"/>
      <c r="T51" s="77"/>
    </row>
    <row r="52" spans="2:20" ht="60" customHeight="1" x14ac:dyDescent="0.35">
      <c r="B52" s="36" t="s">
        <v>435</v>
      </c>
      <c r="C52" s="75"/>
      <c r="D52" s="76"/>
      <c r="E52" s="76" t="s">
        <v>23</v>
      </c>
      <c r="F52" s="76" t="str">
        <f>IF(E52&lt;&gt;"", IFERROR(VLOOKUP(E52, Dashboard!$B48:$F53, 5, FALSE), ""), "")</f>
        <v/>
      </c>
      <c r="G52" s="77"/>
      <c r="H52" s="64"/>
      <c r="I52" s="64"/>
      <c r="J52" s="77"/>
      <c r="K52" s="77"/>
      <c r="L52" s="38"/>
      <c r="M52" s="38"/>
      <c r="N52" s="77"/>
      <c r="O52" s="77"/>
      <c r="P52" s="38"/>
      <c r="Q52" s="38" t="s">
        <v>23</v>
      </c>
      <c r="R52" s="77"/>
      <c r="S52" s="64"/>
      <c r="T52" s="77"/>
    </row>
    <row r="53" spans="2:20" ht="60" customHeight="1" x14ac:dyDescent="0.35">
      <c r="B53" s="36" t="s">
        <v>436</v>
      </c>
      <c r="C53" s="75"/>
      <c r="D53" s="76"/>
      <c r="E53" s="76" t="s">
        <v>23</v>
      </c>
      <c r="F53" s="76" t="str">
        <f>IF(E53&lt;&gt;"", IFERROR(VLOOKUP(E53, Dashboard!$B48:$F53, 5, FALSE), ""), "")</f>
        <v/>
      </c>
      <c r="G53" s="77"/>
      <c r="H53" s="64"/>
      <c r="I53" s="64"/>
      <c r="J53" s="77"/>
      <c r="K53" s="77"/>
      <c r="L53" s="38"/>
      <c r="M53" s="38"/>
      <c r="N53" s="77"/>
      <c r="O53" s="77"/>
      <c r="P53" s="38"/>
      <c r="Q53" s="38" t="s">
        <v>23</v>
      </c>
      <c r="R53" s="77"/>
      <c r="S53" s="64"/>
      <c r="T53" s="77"/>
    </row>
    <row r="54" spans="2:20" ht="60" customHeight="1" x14ac:dyDescent="0.35">
      <c r="B54" s="36" t="s">
        <v>437</v>
      </c>
      <c r="C54" s="75"/>
      <c r="D54" s="76"/>
      <c r="E54" s="76" t="s">
        <v>23</v>
      </c>
      <c r="F54" s="76" t="str">
        <f>IF(E54&lt;&gt;"", IFERROR(VLOOKUP(E54, Dashboard!$B48:$F53,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223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M365 Secure Configuration Baseline for Exchange Online - SHGIR</dc:title>
  <dc:subject>Generated on: 2026-06-09 11:36:16</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2026-06-09T10:52:12Z</dcterms:modified>
  <cp:category>CISA-SCuBA</cp:category>
  <cp:contentStatus>Draft</cp:contentStatus>
</cp:coreProperties>
</file>