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881FBEDB6FDE0F82DC853AACC2014E97B07C37E0" xr6:coauthVersionLast="47" xr6:coauthVersionMax="47" xr10:uidLastSave="{AEE9B2B8-C380-4DE8-80C1-619A2F64E28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9" i="1"/>
  <c r="P8" i="1"/>
  <c r="P7" i="1"/>
  <c r="P6" i="1"/>
  <c r="P5" i="1"/>
  <c r="P4" i="1"/>
  <c r="P3" i="1"/>
  <c r="P2" i="1"/>
  <c r="F121" i="3" s="1"/>
  <c r="R196" i="3"/>
  <c r="R195" i="3"/>
  <c r="R194" i="3"/>
  <c r="R193" i="3"/>
  <c r="R192" i="3"/>
  <c r="R191" i="3"/>
  <c r="R190" i="3"/>
  <c r="R189" i="3"/>
  <c r="R188" i="3"/>
  <c r="R187" i="3"/>
  <c r="R186" i="3"/>
  <c r="R185" i="3"/>
  <c r="R184" i="3"/>
  <c r="R183" i="3"/>
  <c r="R182" i="3"/>
  <c r="R181" i="3"/>
  <c r="R180" i="3"/>
  <c r="R179" i="3"/>
  <c r="R178" i="3"/>
  <c r="R177" i="3"/>
  <c r="O121" i="3"/>
  <c r="N121" i="3"/>
  <c r="M121" i="3"/>
  <c r="L121" i="3"/>
  <c r="K121" i="3"/>
  <c r="E121" i="3"/>
  <c r="O120" i="3"/>
  <c r="N120" i="3"/>
  <c r="M120" i="3"/>
  <c r="L120" i="3"/>
  <c r="K120" i="3"/>
  <c r="F120" i="3"/>
  <c r="E120" i="3"/>
  <c r="G120" i="3" s="1"/>
  <c r="O119" i="3"/>
  <c r="N119" i="3"/>
  <c r="M119" i="3"/>
  <c r="L119" i="3"/>
  <c r="K119" i="3"/>
  <c r="F119" i="3"/>
  <c r="E119" i="3"/>
  <c r="G119" i="3" s="1"/>
  <c r="O118" i="3"/>
  <c r="N118" i="3"/>
  <c r="M118" i="3"/>
  <c r="L118" i="3"/>
  <c r="K118" i="3"/>
  <c r="F118" i="3"/>
  <c r="E118" i="3"/>
  <c r="G118" i="3" s="1"/>
  <c r="O117" i="3"/>
  <c r="N117" i="3"/>
  <c r="M117" i="3"/>
  <c r="L117" i="3"/>
  <c r="K117" i="3"/>
  <c r="F117" i="3"/>
  <c r="E117" i="3"/>
  <c r="G117" i="3" s="1"/>
  <c r="O116" i="3"/>
  <c r="N116" i="3"/>
  <c r="M116" i="3"/>
  <c r="L116" i="3"/>
  <c r="K116" i="3"/>
  <c r="F116" i="3"/>
  <c r="E116" i="3"/>
  <c r="G116" i="3" s="1"/>
  <c r="E102" i="3"/>
  <c r="D102" i="3"/>
  <c r="C102" i="3"/>
  <c r="F102" i="3" s="1"/>
  <c r="E101" i="3"/>
  <c r="D101" i="3"/>
  <c r="C101" i="3"/>
  <c r="F101" i="3" s="1"/>
  <c r="E100" i="3"/>
  <c r="D100" i="3"/>
  <c r="C100" i="3"/>
  <c r="F100" i="3" s="1"/>
  <c r="E99" i="3"/>
  <c r="D99" i="3"/>
  <c r="C99" i="3"/>
  <c r="F99" i="3" s="1"/>
  <c r="D89" i="3"/>
  <c r="C89" i="3"/>
  <c r="C87" i="3"/>
  <c r="F82" i="3"/>
  <c r="E90" i="3" s="1"/>
  <c r="E82" i="3"/>
  <c r="D82" i="3"/>
  <c r="C82" i="3"/>
  <c r="F81" i="3"/>
  <c r="E89" i="3" s="1"/>
  <c r="E81" i="3"/>
  <c r="D81" i="3"/>
  <c r="C81" i="3"/>
  <c r="E80" i="3"/>
  <c r="D80" i="3"/>
  <c r="C80" i="3"/>
  <c r="W132" i="3" s="1"/>
  <c r="F79" i="3"/>
  <c r="V161" i="3" s="1"/>
  <c r="E79" i="3"/>
  <c r="D79" i="3"/>
  <c r="C79" i="3"/>
  <c r="U132" i="3" s="1"/>
  <c r="F78" i="3"/>
  <c r="T161" i="3" s="1"/>
  <c r="E78" i="3"/>
  <c r="D78" i="3"/>
  <c r="C78" i="3"/>
  <c r="S132" i="3" s="1"/>
  <c r="E65" i="3"/>
  <c r="D65" i="3"/>
  <c r="C65" i="3"/>
  <c r="F65" i="3" s="1"/>
  <c r="E47" i="3"/>
  <c r="D47" i="3"/>
  <c r="C47" i="3"/>
  <c r="F47" i="3" s="1"/>
  <c r="E46" i="3"/>
  <c r="D46" i="3"/>
  <c r="C46" i="3"/>
  <c r="F46" i="3" s="1"/>
  <c r="E45" i="3"/>
  <c r="D45" i="3"/>
  <c r="C45" i="3"/>
  <c r="F45" i="3" s="1"/>
  <c r="E44" i="3"/>
  <c r="D44" i="3"/>
  <c r="C44" i="3"/>
  <c r="F44" i="3" s="1"/>
  <c r="E43" i="3"/>
  <c r="D43" i="3"/>
  <c r="C43" i="3"/>
  <c r="F43" i="3" s="1"/>
  <c r="E42" i="3"/>
  <c r="D42" i="3"/>
  <c r="C42" i="3"/>
  <c r="F42" i="3" s="1"/>
  <c r="E29" i="3"/>
  <c r="D29" i="3"/>
  <c r="C29" i="3"/>
  <c r="F29" i="3" s="1"/>
  <c r="E16" i="3"/>
  <c r="F16" i="3" s="1"/>
  <c r="D16" i="3"/>
  <c r="C16" i="3"/>
  <c r="Q132" i="3" s="1"/>
  <c r="C9" i="3"/>
  <c r="D9" i="3" s="1"/>
  <c r="C8" i="3"/>
  <c r="D8" i="3" s="1"/>
  <c r="C7" i="3"/>
  <c r="D7" i="3" s="1"/>
  <c r="E107" i="3" l="1"/>
  <c r="D107" i="3"/>
  <c r="C107" i="3"/>
  <c r="E53" i="3"/>
  <c r="D53" i="3"/>
  <c r="C53" i="3"/>
  <c r="C56" i="3"/>
  <c r="E56" i="3"/>
  <c r="D56" i="3"/>
  <c r="E54" i="3"/>
  <c r="D54" i="3"/>
  <c r="C54" i="3"/>
  <c r="E109" i="3"/>
  <c r="D109" i="3"/>
  <c r="C109" i="3"/>
  <c r="E69" i="3"/>
  <c r="D69" i="3"/>
  <c r="C69" i="3"/>
  <c r="G121" i="3"/>
  <c r="E55" i="3"/>
  <c r="D55" i="3"/>
  <c r="C55" i="3"/>
  <c r="E108" i="3"/>
  <c r="D108" i="3"/>
  <c r="C108" i="3"/>
  <c r="R162" i="3"/>
  <c r="R157" i="3"/>
  <c r="R152" i="3"/>
  <c r="R147" i="3"/>
  <c r="R142" i="3"/>
  <c r="R137" i="3"/>
  <c r="R161" i="3"/>
  <c r="R156" i="3"/>
  <c r="R151" i="3"/>
  <c r="R146" i="3"/>
  <c r="R141" i="3"/>
  <c r="R136" i="3"/>
  <c r="D20" i="3"/>
  <c r="C20" i="3"/>
  <c r="E20" i="3"/>
  <c r="R160" i="3"/>
  <c r="R155" i="3"/>
  <c r="R150" i="3"/>
  <c r="R145" i="3"/>
  <c r="R140" i="3"/>
  <c r="R135" i="3"/>
  <c r="R164" i="3"/>
  <c r="R159" i="3"/>
  <c r="R154" i="3"/>
  <c r="R149" i="3"/>
  <c r="R144" i="3"/>
  <c r="R139" i="3"/>
  <c r="R134" i="3"/>
  <c r="R163" i="3"/>
  <c r="R158" i="3"/>
  <c r="R153" i="3"/>
  <c r="R148" i="3"/>
  <c r="R143" i="3"/>
  <c r="R138" i="3"/>
  <c r="E33" i="3"/>
  <c r="C33" i="3"/>
  <c r="D33" i="3"/>
  <c r="E51" i="3"/>
  <c r="C51" i="3"/>
  <c r="D51" i="3"/>
  <c r="D52" i="3"/>
  <c r="E52" i="3"/>
  <c r="C52" i="3"/>
  <c r="E106" i="3"/>
  <c r="D106" i="3"/>
  <c r="C106" i="3"/>
  <c r="T137" i="3"/>
  <c r="T142" i="3"/>
  <c r="T147" i="3"/>
  <c r="T152" i="3"/>
  <c r="T157" i="3"/>
  <c r="T162" i="3"/>
  <c r="V137" i="3"/>
  <c r="V142" i="3"/>
  <c r="V147" i="3"/>
  <c r="V152" i="3"/>
  <c r="V157" i="3"/>
  <c r="V162" i="3"/>
  <c r="F80" i="3"/>
  <c r="C90" i="3"/>
  <c r="T138" i="3"/>
  <c r="T143" i="3"/>
  <c r="T148" i="3"/>
  <c r="T153" i="3"/>
  <c r="T158" i="3"/>
  <c r="T163" i="3"/>
  <c r="D90" i="3"/>
  <c r="V138" i="3"/>
  <c r="V143" i="3"/>
  <c r="V148" i="3"/>
  <c r="V153" i="3"/>
  <c r="V158" i="3"/>
  <c r="V163" i="3"/>
  <c r="T134" i="3"/>
  <c r="T139" i="3"/>
  <c r="T144" i="3"/>
  <c r="T149" i="3"/>
  <c r="T154" i="3"/>
  <c r="T159" i="3"/>
  <c r="T164" i="3"/>
  <c r="V134" i="3"/>
  <c r="V139" i="3"/>
  <c r="V144" i="3"/>
  <c r="V149" i="3"/>
  <c r="V154" i="3"/>
  <c r="V159" i="3"/>
  <c r="V164" i="3"/>
  <c r="C86" i="3"/>
  <c r="T135" i="3"/>
  <c r="T140" i="3"/>
  <c r="T145" i="3"/>
  <c r="T150" i="3"/>
  <c r="T155" i="3"/>
  <c r="T160" i="3"/>
  <c r="D86" i="3"/>
  <c r="V135" i="3"/>
  <c r="V140" i="3"/>
  <c r="V145" i="3"/>
  <c r="V150" i="3"/>
  <c r="V155" i="3"/>
  <c r="V160" i="3"/>
  <c r="E86" i="3"/>
  <c r="D87" i="3"/>
  <c r="T136" i="3"/>
  <c r="T141" i="3"/>
  <c r="T146" i="3"/>
  <c r="T151" i="3"/>
  <c r="T156" i="3"/>
  <c r="E87" i="3"/>
  <c r="V136" i="3"/>
  <c r="V141" i="3"/>
  <c r="V146" i="3"/>
  <c r="V151" i="3"/>
  <c r="V156" i="3"/>
  <c r="X161" i="3" l="1"/>
  <c r="X156" i="3"/>
  <c r="X151" i="3"/>
  <c r="X146" i="3"/>
  <c r="X141" i="3"/>
  <c r="X136" i="3"/>
  <c r="C88" i="3"/>
  <c r="X160" i="3"/>
  <c r="X155" i="3"/>
  <c r="X150" i="3"/>
  <c r="X145" i="3"/>
  <c r="X140" i="3"/>
  <c r="X135" i="3"/>
  <c r="X164" i="3"/>
  <c r="X159" i="3"/>
  <c r="X154" i="3"/>
  <c r="X149" i="3"/>
  <c r="X144" i="3"/>
  <c r="X139" i="3"/>
  <c r="X134" i="3"/>
  <c r="D88" i="3"/>
  <c r="X163" i="3"/>
  <c r="X158" i="3"/>
  <c r="X153" i="3"/>
  <c r="X148" i="3"/>
  <c r="X143" i="3"/>
  <c r="X138" i="3"/>
  <c r="X162" i="3"/>
  <c r="X157" i="3"/>
  <c r="X152" i="3"/>
  <c r="X147" i="3"/>
  <c r="X142" i="3"/>
  <c r="X137" i="3"/>
  <c r="E8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that only authorized users can run transactions</t>
        </r>
      </text>
    </comment>
    <comment ref="K19" authorId="0" shapeId="0" xr:uid="{00000000-0006-0000-0400-000005000000}">
      <text>
        <r>
          <rPr>
            <sz val="11"/>
            <rFont val="Calibri"/>
          </rPr>
          <t>Ensure that only authorized users can access resources</t>
        </r>
      </text>
    </comment>
    <comment ref="L19" authorId="0" shapeId="0" xr:uid="{00000000-0006-0000-0400-000002000000}">
      <text>
        <r>
          <rPr>
            <sz val="11"/>
            <rFont val="Calibri"/>
          </rPr>
          <t>Ensure that SIT parameter SEC=YES is set in all regions</t>
        </r>
      </text>
    </comment>
    <comment ref="M19" authorId="0" shapeId="0" xr:uid="{00000000-0006-0000-0400-000003000000}">
      <text>
        <r>
          <rPr>
            <sz val="11"/>
            <rFont val="Calibri"/>
          </rPr>
          <t>Ensure that only authorized users can issue SPI commands</t>
        </r>
      </text>
    </comment>
    <comment ref="N19" authorId="0" shapeId="0" xr:uid="{00000000-0006-0000-0400-000004000000}">
      <text>
        <r>
          <rPr>
            <sz val="11"/>
            <rFont val="Calibri"/>
          </rPr>
          <t>Ensure that a user requires authorization to start work under a different userid</t>
        </r>
      </text>
    </comment>
    <comment ref="J26" authorId="0" shapeId="0" xr:uid="{00000000-0006-0000-0400-000006000000}">
      <text>
        <r>
          <rPr>
            <sz val="11"/>
            <rFont val="Calibri"/>
          </rPr>
          <t>Ensure that passwords are redacted in line traces</t>
        </r>
      </text>
    </comment>
    <comment ref="K26" authorId="0" shapeId="0" xr:uid="{00000000-0006-0000-0400-000007000000}">
      <text>
        <r>
          <rPr>
            <sz val="11"/>
            <rFont val="Calibri"/>
          </rPr>
          <t>Ensure that no unencrypted IP connections use BASICAUTH</t>
        </r>
      </text>
    </comment>
    <comment ref="J53" authorId="0" shapeId="0" xr:uid="{00000000-0006-0000-0400-000008000000}">
      <text>
        <r>
          <rPr>
            <sz val="11"/>
            <rFont val="Calibri"/>
          </rPr>
          <t>Ensure that RACF changes are accepted immediately</t>
        </r>
      </text>
    </comment>
  </commentList>
</comments>
</file>

<file path=xl/sharedStrings.xml><?xml version="1.0" encoding="utf-8"?>
<sst xmlns="http://schemas.openxmlformats.org/spreadsheetml/2006/main" count="1879" uniqueCount="1011">
  <si>
    <t>Section</t>
  </si>
  <si>
    <t>Id</t>
  </si>
  <si>
    <t>Title</t>
  </si>
  <si>
    <t>Assessment</t>
  </si>
  <si>
    <t>Profile</t>
  </si>
  <si>
    <t>MoSCoW</t>
  </si>
  <si>
    <t>OpsImpact</t>
  </si>
  <si>
    <t>Phase</t>
  </si>
  <si>
    <t>ImplStatus</t>
  </si>
  <si>
    <t>Notes</t>
  </si>
  <si>
    <t>Remediation</t>
  </si>
  <si>
    <t>Description</t>
  </si>
  <si>
    <t>Impact</t>
  </si>
  <si>
    <t>Audit</t>
  </si>
  <si>
    <t>Default</t>
  </si>
  <si>
    <t>Status</t>
  </si>
  <si>
    <t>LogID</t>
  </si>
  <si>
    <t>RACF Options</t>
  </si>
  <si>
    <t>1.1.1</t>
  </si>
  <si>
    <r>
      <rPr>
        <sz val="11"/>
        <rFont val="Calibri"/>
      </rPr>
      <t>Ensure that RACF changes are accepted immediately</t>
    </r>
  </si>
  <si>
    <t>Manual</t>
  </si>
  <si>
    <t>Level 1</t>
  </si>
  <si>
    <t>Unassigned</t>
  </si>
  <si>
    <t>Unassessed</t>
  </si>
  <si>
    <t>Pending</t>
  </si>
  <si>
    <t/>
  </si>
  <si>
    <r>
      <rPr>
        <sz val="11"/>
        <color rgb="FF000000"/>
        <rFont val="Calibri"/>
      </rPr>
      <t>- Set RACFSYNC=YES</t>
    </r>
    <r>
      <rPr>
        <sz val="11"/>
        <color rgb="FF000000"/>
        <rFont val="Calibri"/>
      </rPr>
      <t xml:space="preserve">
</t>
    </r>
    <r>
      <rPr>
        <sz val="11"/>
        <color rgb="FF000000"/>
        <rFont val="Calibri"/>
      </rPr>
      <t>- Restart CICS</t>
    </r>
  </si>
  <si>
    <r>
      <rPr>
        <sz val="11"/>
        <color rgb="FF000000"/>
        <rFont val="Calibri"/>
      </rPr>
      <t>RACF sends a type 71 ENF signal to listening CICS regions when a RACF CONNECT or REMOVE command changes a user's resource authorization level.It also sends a type 71 ENF signal when a user ID is revoked.This can occur when a RACF REVOKE command is issued or when a user ID is revoked automatically as a result of too many failed password attempts.</t>
    </r>
    <r>
      <rPr>
        <sz val="11"/>
        <color rgb="FF000000"/>
        <rFont val="Calibri"/>
      </rPr>
      <t xml:space="preserve">
</t>
    </r>
    <r>
      <rPr>
        <sz val="11"/>
        <color rgb="FF000000"/>
        <rFont val="Calibri"/>
      </rPr>
      <t>When CICS receives a type 71 ENF event for a user ID, all cached user tokens for the user ID are invalidated. Subsequent requests from that user ID result in a refresh of the user's authorization level.</t>
    </r>
    <r>
      <rPr>
        <sz val="11"/>
        <color rgb="FF000000"/>
        <rFont val="Calibri"/>
      </rPr>
      <t xml:space="preserve">
</t>
    </r>
    <r>
      <rPr>
        <sz val="11"/>
        <color rgb="FF000000"/>
        <rFont val="Calibri"/>
      </rPr>
      <t>The CICS SIT option RACFSYNC can be set to the following</t>
    </r>
    <r>
      <rPr>
        <sz val="11"/>
        <color rgb="FF000000"/>
        <rFont val="Calibri"/>
      </rPr>
      <t xml:space="preserve">
</t>
    </r>
    <r>
      <rPr>
        <sz val="11"/>
        <color rgb="FF000000"/>
        <rFont val="Calibri"/>
      </rPr>
      <t>- YES - CICS listens for type 71 ENF events.</t>
    </r>
    <r>
      <rPr>
        <sz val="11"/>
        <color rgb="FF000000"/>
        <rFont val="Calibri"/>
      </rPr>
      <t xml:space="preserve">
</t>
    </r>
    <r>
      <rPr>
        <sz val="11"/>
        <color rgb="FF000000"/>
        <rFont val="Calibri"/>
      </rPr>
      <t>- NO - CICS does not listen for type 71 ENF events.</t>
    </r>
    <r>
      <rPr>
        <sz val="11"/>
        <color rgb="FF000000"/>
        <rFont val="Calibri"/>
      </rPr>
      <t xml:space="preserve">
</t>
    </r>
    <r>
      <rPr>
        <sz val="11"/>
        <color rgb="FF000000"/>
        <rFont val="Calibri"/>
      </rPr>
      <t>RACFSYNC=YES should be specified.</t>
    </r>
  </si>
  <si>
    <r>
      <rPr>
        <sz val="11"/>
        <color rgb="FF000000"/>
        <rFont val="Calibri"/>
      </rPr>
      <t>This option can have a performance impact if you have a very large number of CICS  regions. To minimize the impact you normally only configure this option on production regions. In addition RACF commands to add or remove users from groups should not be issued in large numbers at the same time.</t>
    </r>
  </si>
  <si>
    <r>
      <rPr>
        <sz val="11"/>
        <color rgb="FF000000"/>
        <rFont val="Calibri"/>
      </rPr>
      <t>Issue the z/OSMF Compliance data collection REST API to drive collection of compliance evidence in the SMF 1154 record.</t>
    </r>
    <r>
      <rPr>
        <sz val="11"/>
        <color rgb="FF000000"/>
        <rFont val="Calibri"/>
      </rPr>
      <t xml:space="preserve">
</t>
    </r>
    <r>
      <rPr>
        <sz val="11"/>
        <color rgb="FF006096"/>
        <rFont val="Roboto Condensed"/>
      </rPr>
      <t>https://{host}:{port}/zosmf/compliance/rest/v1/facts</t>
    </r>
    <r>
      <rPr>
        <sz val="11"/>
        <color rgb="FF006096"/>
        <rFont val="Roboto Condensed"/>
      </rPr>
      <t xml:space="preserve">
</t>
    </r>
    <r>
      <rPr>
        <sz val="11"/>
        <color rgb="FF000000"/>
        <rFont val="Calibri"/>
      </rPr>
      <t xml:space="preserve">
</t>
    </r>
    <r>
      <rPr>
        <sz val="11"/>
        <color rgb="FF000000"/>
        <rFont val="Calibri"/>
      </rPr>
      <t>- Wait for the data to be collected; this may take up to a minute in some regions.</t>
    </r>
    <r>
      <rPr>
        <sz val="11"/>
        <color rgb="FF000000"/>
        <rFont val="Calibri"/>
      </rPr>
      <t xml:space="preserve">
</t>
    </r>
    <r>
      <rPr>
        <sz val="11"/>
        <color rgb="FF000000"/>
        <rFont val="Calibri"/>
      </rPr>
      <t>- Customize and run the DFH$54P sample JCL to create a spreadsheet containing data for all of the CICS TS regions.</t>
    </r>
    <r>
      <rPr>
        <sz val="11"/>
        <color rgb="FF000000"/>
        <rFont val="Calibri"/>
      </rPr>
      <t xml:space="preserve">
</t>
    </r>
    <r>
      <rPr>
        <sz val="11"/>
        <color rgb="FF000000"/>
        <rFont val="Calibri"/>
      </rPr>
      <t>- Open the spreadsheet and review the settings of the RACFSYNC column. They should all be set to YES.</t>
    </r>
  </si>
  <si>
    <r>
      <rPr>
        <sz val="11"/>
        <color rgb="FF000000"/>
        <rFont val="Calibri"/>
      </rPr>
      <t>RACFSYNC=YES</t>
    </r>
  </si>
  <si>
    <t>Resource Protection</t>
  </si>
  <si>
    <t>1.2.1</t>
  </si>
  <si>
    <r>
      <rPr>
        <sz val="11"/>
        <rFont val="Calibri"/>
      </rPr>
      <t>Ensure that only authorized users can run transactions</t>
    </r>
  </si>
  <si>
    <r>
      <rPr>
        <sz val="11"/>
        <color rgb="FF000000"/>
        <rFont val="Calibri"/>
      </rPr>
      <t>Categorize the transactions on the system according to who should have access to them.Define profiles for these transactions either generically or in groups in the classes TCICSTRN or GCICSTRN (or the class names used if the default classes aren’t used).</t>
    </r>
    <r>
      <rPr>
        <sz val="11"/>
        <color rgb="FF000000"/>
        <rFont val="Calibri"/>
      </rPr>
      <t xml:space="preserve">
</t>
    </r>
    <r>
      <rPr>
        <sz val="11"/>
        <color rgb="FF000000"/>
        <rFont val="Calibri"/>
      </rPr>
      <t>Give READ access to the appropriate groups for these profiles.An example of this is as follows</t>
    </r>
    <r>
      <rPr>
        <sz val="11"/>
        <color rgb="FF000000"/>
        <rFont val="Calibri"/>
      </rPr>
      <t xml:space="preserve">
</t>
    </r>
    <r>
      <rPr>
        <sz val="11"/>
        <color rgb="FF006096"/>
        <rFont val="Roboto Condensed"/>
      </rPr>
      <t>RDEFINE GCICSTRN memname OWNER(admin) AUDIT(ALL(READ)) UACC(NONE)</t>
    </r>
    <r>
      <rPr>
        <sz val="11"/>
        <color rgb="FF006096"/>
        <rFont val="Roboto Condensed"/>
      </rPr>
      <t xml:space="preserve">
</t>
    </r>
    <r>
      <rPr>
        <sz val="11"/>
        <color rgb="FF006096"/>
        <rFont val="Roboto Condensed"/>
      </rPr>
      <t>RALTER  GCICSTRN memname ADDMEM(tran1 tran2 tran3)</t>
    </r>
    <r>
      <rPr>
        <sz val="11"/>
        <color rgb="FF006096"/>
        <rFont val="Roboto Condensed"/>
      </rPr>
      <t xml:space="preserve">
</t>
    </r>
    <r>
      <rPr>
        <sz val="11"/>
        <color rgb="FF006096"/>
        <rFont val="Roboto Condensed"/>
      </rPr>
      <t>PERMIT memname CLASS(GICICSTRN) ID(group) ACCESS(READ)</t>
    </r>
    <r>
      <rPr>
        <sz val="11"/>
        <color rgb="FF006096"/>
        <rFont val="Roboto Condensed"/>
      </rPr>
      <t xml:space="preserve">
</t>
    </r>
    <r>
      <rPr>
        <sz val="11"/>
        <color rgb="FF006096"/>
        <rFont val="Roboto Condensed"/>
      </rPr>
      <t>SETROPTS RACLIST(TCICSTRN) REFRESH</t>
    </r>
    <r>
      <rPr>
        <sz val="11"/>
        <color rgb="FF006096"/>
        <rFont val="Roboto Condensed"/>
      </rPr>
      <t xml:space="preserve">
</t>
    </r>
    <r>
      <rPr>
        <sz val="11"/>
        <color rgb="FF000000"/>
        <rFont val="Calibri"/>
      </rPr>
      <t xml:space="preserve">
</t>
    </r>
    <r>
      <rPr>
        <sz val="11"/>
        <color rgb="FF000000"/>
        <rFont val="Calibri"/>
      </rPr>
      <t xml:space="preserve">- Set XTRAN=YES or </t>
    </r>
    <r>
      <rPr>
        <i/>
        <sz val="11"/>
        <color rgb="FF000000"/>
        <rFont val="Calibri"/>
      </rPr>
      <t>name</t>
    </r>
    <r>
      <rPr>
        <sz val="11"/>
        <color rgb="FF000000"/>
        <rFont val="Calibri"/>
      </rPr>
      <t>.</t>
    </r>
    <r>
      <rPr>
        <sz val="11"/>
        <color rgb="FF000000"/>
        <rFont val="Calibri"/>
      </rPr>
      <t xml:space="preserve">
</t>
    </r>
    <r>
      <rPr>
        <sz val="11"/>
        <color rgb="FF000000"/>
        <rFont val="Calibri"/>
      </rPr>
      <t>- Restart CICS</t>
    </r>
  </si>
  <si>
    <r>
      <rPr>
        <sz val="11"/>
        <color rgb="FF000000"/>
        <rFont val="Calibri"/>
      </rPr>
      <t>The authority to run CICS transactions is determined by a pair of RACF classes specified by the XTRAN SIT option. This option can have the following values</t>
    </r>
    <r>
      <rPr>
        <sz val="11"/>
        <color rgb="FF000000"/>
        <rFont val="Calibri"/>
      </rPr>
      <t xml:space="preserve">
</t>
    </r>
    <r>
      <rPr>
        <sz val="11"/>
        <color rgb="FF000000"/>
        <rFont val="Calibri"/>
      </rPr>
      <t>- YES - The resource class name is TCICSTRN and the grouping class name is GCICSTRN.</t>
    </r>
    <r>
      <rPr>
        <sz val="11"/>
        <color rgb="FF000000"/>
        <rFont val="Calibri"/>
      </rPr>
      <t xml:space="preserve">
</t>
    </r>
    <r>
      <rPr>
        <sz val="11"/>
        <color rgb="FF000000"/>
        <rFont val="Calibri"/>
      </rPr>
      <t xml:space="preserve">- </t>
    </r>
    <r>
      <rPr>
        <i/>
        <sz val="11"/>
        <color rgb="FF000000"/>
        <rFont val="Calibri"/>
      </rPr>
      <t>name</t>
    </r>
    <r>
      <rPr>
        <sz val="11"/>
        <color rgb="FF000000"/>
        <rFont val="Calibri"/>
      </rPr>
      <t xml:space="preserve"> - The resource class name is Tname and the grouping class name is Gname.</t>
    </r>
    <r>
      <rPr>
        <sz val="11"/>
        <color rgb="FF000000"/>
        <rFont val="Calibri"/>
      </rPr>
      <t xml:space="preserve">
</t>
    </r>
    <r>
      <rPr>
        <sz val="11"/>
        <color rgb="FF000000"/>
        <rFont val="Calibri"/>
      </rPr>
      <t>- NO - CICS does not perform any transaction security checks, allowing any user to run any transaction.</t>
    </r>
    <r>
      <rPr>
        <sz val="11"/>
        <color rgb="FF000000"/>
        <rFont val="Calibri"/>
      </rPr>
      <t xml:space="preserve">
</t>
    </r>
    <r>
      <rPr>
        <sz val="11"/>
        <color rgb="FF000000"/>
        <rFont val="Calibri"/>
      </rPr>
      <t xml:space="preserve">XTRAN must be set to YES or a </t>
    </r>
    <r>
      <rPr>
        <i/>
        <sz val="11"/>
        <color rgb="FF000000"/>
        <rFont val="Calibri"/>
      </rPr>
      <t>name</t>
    </r>
    <r>
      <rPr>
        <sz val="11"/>
        <color rgb="FF000000"/>
        <rFont val="Calibri"/>
      </rPr>
      <t>.</t>
    </r>
    <r>
      <rPr>
        <sz val="11"/>
        <color rgb="FF000000"/>
        <rFont val="Calibri"/>
      </rPr>
      <t xml:space="preserve">
</t>
    </r>
    <r>
      <rPr>
        <sz val="11"/>
        <color rgb="FF000000"/>
        <rFont val="Calibri"/>
      </rPr>
      <t>The profiles in these classes are used to define which users or groups of users have authority to run transactions.</t>
    </r>
    <r>
      <rPr>
        <sz val="11"/>
        <color rgb="FF000000"/>
        <rFont val="Calibri"/>
      </rPr>
      <t xml:space="preserve">
</t>
    </r>
    <r>
      <rPr>
        <sz val="11"/>
        <color rgb="FF000000"/>
        <rFont val="Calibri"/>
      </rPr>
      <t>There are two special categories of CICS supplied transactions which are not defined in the RACF class.</t>
    </r>
    <r>
      <rPr>
        <sz val="11"/>
        <color rgb="FF000000"/>
        <rFont val="Calibri"/>
      </rPr>
      <t xml:space="preserve">
</t>
    </r>
    <r>
      <rPr>
        <i/>
        <sz val="11"/>
        <color rgb="FF000000"/>
        <rFont val="Calibri"/>
      </rPr>
      <t>CAT1 transactions</t>
    </r>
    <r>
      <rPr>
        <sz val="11"/>
        <color rgb="FF000000"/>
        <rFont val="Calibri"/>
      </rPr>
      <t xml:space="preserve">
</t>
    </r>
    <r>
      <rPr>
        <sz val="11"/>
        <color rgb="FF000000"/>
        <rFont val="Calibri"/>
      </rPr>
      <t>These are part of the CICS system code. In releases prior to CICS TS 6.1 these had to be defined to RACF to prevent users running these transactions. From CICS TS 6.1 this is no longer necessary. Users cannot run these transactions. Any attempt to do so will result in a transaction abend.</t>
    </r>
    <r>
      <rPr>
        <sz val="11"/>
        <color rgb="FF000000"/>
        <rFont val="Calibri"/>
      </rPr>
      <t xml:space="preserve">
</t>
    </r>
    <r>
      <rPr>
        <i/>
        <sz val="11"/>
        <color rgb="FF000000"/>
        <rFont val="Calibri"/>
      </rPr>
      <t>CAT3 transactions</t>
    </r>
    <r>
      <rPr>
        <sz val="11"/>
        <color rgb="FF000000"/>
        <rFont val="Calibri"/>
      </rPr>
      <t xml:space="preserve">
</t>
    </r>
    <r>
      <rPr>
        <sz val="11"/>
        <color rgb="FF000000"/>
        <rFont val="Calibri"/>
      </rPr>
      <t>These are transactions which are not subject to security, such as the transactions which allow a user to sign on to CICS.</t>
    </r>
  </si>
  <si>
    <r>
      <rPr>
        <sz val="11"/>
        <color rgb="FF000000"/>
        <rFont val="Calibri"/>
      </rPr>
      <t>None.</t>
    </r>
  </si>
  <si>
    <r>
      <rPr>
        <sz val="11"/>
        <color rgb="FF000000"/>
        <rFont val="Calibri"/>
      </rPr>
      <t>Issue the z/OSMF Compliance data collection REST API to drive collection of compliance evidence in the SMF 1154 record.</t>
    </r>
    <r>
      <rPr>
        <sz val="11"/>
        <color rgb="FF000000"/>
        <rFont val="Calibri"/>
      </rPr>
      <t xml:space="preserve">
</t>
    </r>
    <r>
      <rPr>
        <sz val="11"/>
        <color rgb="FF006096"/>
        <rFont val="Roboto Condensed"/>
      </rPr>
      <t>https://{host}:{port}/zosmf/compliance/rest/v1/facts</t>
    </r>
    <r>
      <rPr>
        <sz val="11"/>
        <color rgb="FF006096"/>
        <rFont val="Roboto Condensed"/>
      </rPr>
      <t xml:space="preserve">
</t>
    </r>
    <r>
      <rPr>
        <sz val="11"/>
        <color rgb="FF000000"/>
        <rFont val="Calibri"/>
      </rPr>
      <t xml:space="preserve">
</t>
    </r>
    <r>
      <rPr>
        <sz val="11"/>
        <color rgb="FF000000"/>
        <rFont val="Calibri"/>
      </rPr>
      <t>- Wait for the data to be collected; this may take up to a minute in some regions.</t>
    </r>
    <r>
      <rPr>
        <sz val="11"/>
        <color rgb="FF000000"/>
        <rFont val="Calibri"/>
      </rPr>
      <t xml:space="preserve">
</t>
    </r>
    <r>
      <rPr>
        <sz val="11"/>
        <color rgb="FF000000"/>
        <rFont val="Calibri"/>
      </rPr>
      <t>- Customize and run the DFH$54P  sample JCL to create a spreadsheet containing data for all of the CICS TS regions.</t>
    </r>
    <r>
      <rPr>
        <sz val="11"/>
        <color rgb="FF000000"/>
        <rFont val="Calibri"/>
      </rPr>
      <t xml:space="preserve">
</t>
    </r>
    <r>
      <rPr>
        <sz val="11"/>
        <color rgb="FF000000"/>
        <rFont val="Calibri"/>
      </rPr>
      <t>- Open the spreadsheet and review the settings of the XTRAN column.</t>
    </r>
    <r>
      <rPr>
        <sz val="11"/>
        <color rgb="FF000000"/>
        <rFont val="Calibri"/>
      </rPr>
      <t xml:space="preserve">
</t>
    </r>
    <r>
      <rPr>
        <sz val="11"/>
        <color rgb="FF000000"/>
        <rFont val="Calibri"/>
      </rPr>
      <t>- They should all be set to the suffix of the transaction class name. The classes are prefixed by G and T.</t>
    </r>
    <r>
      <rPr>
        <sz val="11"/>
        <color rgb="FF000000"/>
        <rFont val="Calibri"/>
      </rPr>
      <t xml:space="preserve">
</t>
    </r>
    <r>
      <rPr>
        <sz val="11"/>
        <color rgb="FF000000"/>
        <rFont val="Calibri"/>
      </rPr>
      <t>In the following the default transaction class names will be used.It is assumed that you have AUDITOR authority, so that you can issue RACF commands and see all of the output.</t>
    </r>
    <r>
      <rPr>
        <sz val="11"/>
        <color rgb="FF000000"/>
        <rFont val="Calibri"/>
      </rPr>
      <t xml:space="preserve">
</t>
    </r>
    <r>
      <rPr>
        <sz val="11"/>
        <color rgb="FF000000"/>
        <rFont val="Calibri"/>
      </rPr>
      <t>List the profiles in the CICS classes by issuing the RACF commands</t>
    </r>
    <r>
      <rPr>
        <sz val="11"/>
        <color rgb="FF000000"/>
        <rFont val="Calibri"/>
      </rPr>
      <t xml:space="preserve">
</t>
    </r>
    <r>
      <rPr>
        <sz val="11"/>
        <color rgb="FF006096"/>
        <rFont val="Roboto Condensed"/>
      </rPr>
      <t>RLIST GCICSTRN ALL</t>
    </r>
    <r>
      <rPr>
        <sz val="11"/>
        <color rgb="FF006096"/>
        <rFont val="Roboto Condensed"/>
      </rPr>
      <t xml:space="preserve">
</t>
    </r>
    <r>
      <rPr>
        <sz val="11"/>
        <color rgb="FF006096"/>
        <rFont val="Roboto Condensed"/>
      </rPr>
      <t>RLIST TCICSTRN</t>
    </r>
    <r>
      <rPr>
        <sz val="11"/>
        <color rgb="FF006096"/>
        <rFont val="Roboto Condensed"/>
      </rPr>
      <t xml:space="preserve">
</t>
    </r>
    <r>
      <rPr>
        <sz val="11"/>
        <color rgb="FF000000"/>
        <rFont val="Calibri"/>
      </rPr>
      <t xml:space="preserve">
</t>
    </r>
    <r>
      <rPr>
        <sz val="11"/>
        <color rgb="FF000000"/>
        <rFont val="Calibri"/>
      </rPr>
      <t>Verify that the classes used contain profiles which identify the transactions used either generically in TCICSTRN, or by name in GCICSTRN.</t>
    </r>
    <r>
      <rPr>
        <sz val="11"/>
        <color rgb="FF000000"/>
        <rFont val="Calibri"/>
      </rPr>
      <t xml:space="preserve">
</t>
    </r>
    <r>
      <rPr>
        <sz val="11"/>
        <color rgb="FF000000"/>
        <rFont val="Calibri"/>
      </rPr>
      <t>Follow these guidelines:</t>
    </r>
    <r>
      <rPr>
        <sz val="11"/>
        <color rgb="FF000000"/>
        <rFont val="Calibri"/>
      </rPr>
      <t xml:space="preserve">
</t>
    </r>
    <r>
      <rPr>
        <sz val="11"/>
        <color rgb="FF000000"/>
        <rFont val="Calibri"/>
      </rPr>
      <t>- If any profiles have a universal access other than NONE, the transactions which they apply to must not access any sensitive data or resources.</t>
    </r>
    <r>
      <rPr>
        <sz val="11"/>
        <color rgb="FF000000"/>
        <rFont val="Calibri"/>
      </rPr>
      <t xml:space="preserve">
</t>
    </r>
    <r>
      <rPr>
        <sz val="11"/>
        <color rgb="FF000000"/>
        <rFont val="Calibri"/>
      </rPr>
      <t>- The users given access to generic transactions (in TCICSTRN) or groups of transactions (in GCICSTRN) should be defined in groups.</t>
    </r>
    <r>
      <rPr>
        <sz val="11"/>
        <color rgb="FF000000"/>
        <rFont val="Calibri"/>
      </rPr>
      <t xml:space="preserve">
</t>
    </r>
    <r>
      <rPr>
        <sz val="11"/>
        <color rgb="FF000000"/>
        <rFont val="Calibri"/>
      </rPr>
      <t>- The groups should match the roles of users allowed access to the transactions.</t>
    </r>
    <r>
      <rPr>
        <sz val="11"/>
        <color rgb="FF000000"/>
        <rFont val="Calibri"/>
      </rPr>
      <t xml:space="preserve">
</t>
    </r>
    <r>
      <rPr>
        <sz val="11"/>
        <color rgb="FF000000"/>
        <rFont val="Calibri"/>
      </rPr>
      <t>- The CICS CAT2 transactions are CICS supplied transactions. These should be defined in GCICSTRN with appropriate roles accessing these transactions.</t>
    </r>
    <r>
      <rPr>
        <sz val="11"/>
        <color rgb="FF000000"/>
        <rFont val="Calibri"/>
      </rPr>
      <t xml:space="preserve">
</t>
    </r>
    <r>
      <rPr>
        <sz val="11"/>
        <color rgb="FF000000"/>
        <rFont val="Calibri"/>
      </rPr>
      <t>- If a RACF database is used by both production and test systems, these systems must have separate profiles. This can be done either by using separate classes or by using profile prefixing using SECPRFX.</t>
    </r>
  </si>
  <si>
    <r>
      <rPr>
        <sz val="11"/>
        <color rgb="FF000000"/>
        <rFont val="Calibri"/>
      </rPr>
      <t>XTRAN=YES</t>
    </r>
  </si>
  <si>
    <t>1.2.2</t>
  </si>
  <si>
    <r>
      <rPr>
        <sz val="11"/>
        <rFont val="Calibri"/>
      </rPr>
      <t>Ensure that only authorized users can access resources</t>
    </r>
  </si>
  <si>
    <r>
      <rPr>
        <sz val="11"/>
        <color rgb="FF000000"/>
        <rFont val="Calibri"/>
      </rPr>
      <t>Categorize the resources on the system according to who should have access to them.</t>
    </r>
    <r>
      <rPr>
        <sz val="11"/>
        <color rgb="FF000000"/>
        <rFont val="Calibri"/>
      </rPr>
      <t xml:space="preserve">
</t>
    </r>
    <r>
      <rPr>
        <sz val="11"/>
        <color rgb="FF000000"/>
        <rFont val="Calibri"/>
      </rPr>
      <t>In the following the file classes will be used as an exampleDefine profiles for these resources either generically or in groups in the classes FCICSFCT or HCICSFCT (or the class names used if the default classes aren’t used).</t>
    </r>
    <r>
      <rPr>
        <sz val="11"/>
        <color rgb="FF000000"/>
        <rFont val="Calibri"/>
      </rPr>
      <t xml:space="preserve">
</t>
    </r>
    <r>
      <rPr>
        <sz val="11"/>
        <color rgb="FF000000"/>
        <rFont val="Calibri"/>
      </rPr>
      <t>- Give READ or UPDATE access to the appropriate groups for these profiles.</t>
    </r>
    <r>
      <rPr>
        <sz val="11"/>
        <color rgb="FF000000"/>
        <rFont val="Calibri"/>
      </rPr>
      <t xml:space="preserve">
</t>
    </r>
    <r>
      <rPr>
        <sz val="11"/>
        <color rgb="FF000000"/>
        <rFont val="Calibri"/>
      </rPr>
      <t>An example of this is as follows</t>
    </r>
    <r>
      <rPr>
        <sz val="11"/>
        <color rgb="FF000000"/>
        <rFont val="Calibri"/>
      </rPr>
      <t xml:space="preserve">
</t>
    </r>
    <r>
      <rPr>
        <sz val="11"/>
        <color rgb="FF006096"/>
        <rFont val="Roboto Condensed"/>
      </rPr>
      <t>RDEFINE HCICSFCT memname OWNER(admin) AUDIT(ALL(READ)) UACC(NONE)</t>
    </r>
    <r>
      <rPr>
        <sz val="11"/>
        <color rgb="FF006096"/>
        <rFont val="Roboto Condensed"/>
      </rPr>
      <t xml:space="preserve">
</t>
    </r>
    <r>
      <rPr>
        <sz val="11"/>
        <color rgb="FF006096"/>
        <rFont val="Roboto Condensed"/>
      </rPr>
      <t>RALTER  HCICSFCT memname ADDMEM(file1 file2 file3)</t>
    </r>
    <r>
      <rPr>
        <sz val="11"/>
        <color rgb="FF006096"/>
        <rFont val="Roboto Condensed"/>
      </rPr>
      <t xml:space="preserve">
</t>
    </r>
    <r>
      <rPr>
        <sz val="11"/>
        <color rgb="FF006096"/>
        <rFont val="Roboto Condensed"/>
      </rPr>
      <t>PERMIT memname CLASS(HCICSFCT) ID(group) ACCESS(READ)</t>
    </r>
    <r>
      <rPr>
        <sz val="11"/>
        <color rgb="FF006096"/>
        <rFont val="Roboto Condensed"/>
      </rPr>
      <t xml:space="preserve">
</t>
    </r>
    <r>
      <rPr>
        <sz val="11"/>
        <color rgb="FF006096"/>
        <rFont val="Roboto Condensed"/>
      </rPr>
      <t>SETROPTS RACLIST(FCICSFCT) REFRESH</t>
    </r>
    <r>
      <rPr>
        <sz val="11"/>
        <color rgb="FF006096"/>
        <rFont val="Roboto Condensed"/>
      </rPr>
      <t xml:space="preserve">
</t>
    </r>
    <r>
      <rPr>
        <sz val="11"/>
        <color rgb="FF000000"/>
        <rFont val="Calibri"/>
      </rPr>
      <t xml:space="preserve">
</t>
    </r>
    <r>
      <rPr>
        <sz val="11"/>
        <color rgb="FF000000"/>
        <rFont val="Calibri"/>
      </rPr>
      <t xml:space="preserve">- Set XFCT=YES or </t>
    </r>
    <r>
      <rPr>
        <i/>
        <sz val="11"/>
        <color rgb="FF000000"/>
        <rFont val="Calibri"/>
      </rPr>
      <t>name</t>
    </r>
    <r>
      <rPr>
        <sz val="11"/>
        <color rgb="FF000000"/>
        <rFont val="Calibri"/>
      </rPr>
      <t xml:space="preserve">
</t>
    </r>
    <r>
      <rPr>
        <sz val="11"/>
        <color rgb="FF000000"/>
        <rFont val="Calibri"/>
      </rPr>
      <t>- Change any transaction definitions with RESSEC(NO) to RESSEC(YES)</t>
    </r>
    <r>
      <rPr>
        <sz val="11"/>
        <color rgb="FF000000"/>
        <rFont val="Calibri"/>
      </rPr>
      <t xml:space="preserve">
</t>
    </r>
    <r>
      <rPr>
        <sz val="11"/>
        <color rgb="FF000000"/>
        <rFont val="Calibri"/>
      </rPr>
      <t>- Restart CICS</t>
    </r>
  </si>
  <si>
    <r>
      <rPr>
        <sz val="11"/>
        <color rgb="FF000000"/>
        <rFont val="Calibri"/>
      </rPr>
      <t>The authority to access CICS resources is determined by a pair of RACF classes for each resource. This is specified in the Xnnn SIT options (where nnn is the type of resource).</t>
    </r>
    <r>
      <rPr>
        <sz val="11"/>
        <color rgb="FF000000"/>
        <rFont val="Calibri"/>
      </rPr>
      <t xml:space="preserve">
</t>
    </r>
    <r>
      <rPr>
        <sz val="11"/>
        <color rgb="FF000000"/>
        <rFont val="Calibri"/>
      </rPr>
      <t>The types of resource, and their default resource classes are listed below</t>
    </r>
    <r>
      <rPr>
        <sz val="11"/>
        <color rgb="FF000000"/>
        <rFont val="Calibri"/>
      </rPr>
      <t xml:space="preserve">
</t>
    </r>
    <r>
      <rPr>
        <sz val="11"/>
        <color rgb="FF006096"/>
        <rFont val="Roboto Condensed"/>
      </rPr>
      <t>SIT 	Generic classes	Group classes 	Description</t>
    </r>
    <r>
      <rPr>
        <sz val="11"/>
        <color rgb="FF006096"/>
        <rFont val="Roboto Condensed"/>
      </rPr>
      <t xml:space="preserve">
</t>
    </r>
    <r>
      <rPr>
        <sz val="11"/>
        <color rgb="FF006096"/>
        <rFont val="Roboto Condensed"/>
      </rPr>
      <t>XPCT	ACICSPCT	BCICSPCT	started transactions and SPI command access to transactions</t>
    </r>
    <r>
      <rPr>
        <sz val="11"/>
        <color rgb="FF006096"/>
        <rFont val="Roboto Condensed"/>
      </rPr>
      <t xml:space="preserve">
</t>
    </r>
    <r>
      <rPr>
        <sz val="11"/>
        <color rgb="FF006096"/>
        <rFont val="Roboto Condensed"/>
      </rPr>
      <t>XDCT	DCICSDCT	ECICSDCT	transient data queues</t>
    </r>
    <r>
      <rPr>
        <sz val="11"/>
        <color rgb="FF006096"/>
        <rFont val="Roboto Condensed"/>
      </rPr>
      <t xml:space="preserve">
</t>
    </r>
    <r>
      <rPr>
        <sz val="11"/>
        <color rgb="FF006096"/>
        <rFont val="Roboto Condensed"/>
      </rPr>
      <t>XFCT	FCICSFCT	HCICSFCT	Files</t>
    </r>
    <r>
      <rPr>
        <sz val="11"/>
        <color rgb="FF006096"/>
        <rFont val="Roboto Condensed"/>
      </rPr>
      <t xml:space="preserve">
</t>
    </r>
    <r>
      <rPr>
        <sz val="11"/>
        <color rgb="FF006096"/>
        <rFont val="Roboto Condensed"/>
      </rPr>
      <t>XJCT	JCICSJCT	KCICSJCT	journals</t>
    </r>
    <r>
      <rPr>
        <sz val="11"/>
        <color rgb="FF006096"/>
        <rFont val="Roboto Condensed"/>
      </rPr>
      <t xml:space="preserve">
</t>
    </r>
    <r>
      <rPr>
        <sz val="11"/>
        <color rgb="FF006096"/>
        <rFont val="Roboto Condensed"/>
      </rPr>
      <t>XPPT	MCICSPPT	NCICSPPT	programs</t>
    </r>
    <r>
      <rPr>
        <sz val="11"/>
        <color rgb="FF006096"/>
        <rFont val="Roboto Condensed"/>
      </rPr>
      <t xml:space="preserve">
</t>
    </r>
    <r>
      <rPr>
        <sz val="11"/>
        <color rgb="FF006096"/>
        <rFont val="Roboto Condensed"/>
      </rPr>
      <t>XPSB	PCICSPSB	QCICSPSB	PSBs</t>
    </r>
    <r>
      <rPr>
        <sz val="11"/>
        <color rgb="FF006096"/>
        <rFont val="Roboto Condensed"/>
      </rPr>
      <t xml:space="preserve">
</t>
    </r>
    <r>
      <rPr>
        <sz val="11"/>
        <color rgb="FF006096"/>
        <rFont val="Roboto Condensed"/>
      </rPr>
      <t>XRES	RCICSRES	WCICSRES	miscellaneous resources</t>
    </r>
    <r>
      <rPr>
        <sz val="11"/>
        <color rgb="FF006096"/>
        <rFont val="Roboto Condensed"/>
      </rPr>
      <t xml:space="preserve">
</t>
    </r>
    <r>
      <rPr>
        <sz val="11"/>
        <color rgb="FF006096"/>
        <rFont val="Roboto Condensed"/>
      </rPr>
      <t>XTST	SCICSTST	UCICSTST	temporary storage queues</t>
    </r>
    <r>
      <rPr>
        <sz val="11"/>
        <color rgb="FF006096"/>
        <rFont val="Roboto Condensed"/>
      </rPr>
      <t xml:space="preserve">
</t>
    </r>
    <r>
      <rPr>
        <sz val="11"/>
        <color rgb="FF000000"/>
        <rFont val="Calibri"/>
      </rPr>
      <t xml:space="preserve">
</t>
    </r>
    <r>
      <rPr>
        <sz val="11"/>
        <color rgb="FF000000"/>
        <rFont val="Calibri"/>
      </rPr>
      <t>These options can have the following values</t>
    </r>
    <r>
      <rPr>
        <sz val="11"/>
        <color rgb="FF000000"/>
        <rFont val="Calibri"/>
      </rPr>
      <t xml:space="preserve">
</t>
    </r>
    <r>
      <rPr>
        <sz val="11"/>
        <color rgb="FF000000"/>
        <rFont val="Calibri"/>
      </rPr>
      <t>- YES - Use the default resource class name and the default grouping class name.</t>
    </r>
    <r>
      <rPr>
        <sz val="11"/>
        <color rgb="FF000000"/>
        <rFont val="Calibri"/>
      </rPr>
      <t xml:space="preserve">
</t>
    </r>
    <r>
      <rPr>
        <sz val="11"/>
        <color rgb="FF000000"/>
        <rFont val="Calibri"/>
      </rPr>
      <t xml:space="preserve">- </t>
    </r>
    <r>
      <rPr>
        <i/>
        <sz val="11"/>
        <color rgb="FF000000"/>
        <rFont val="Calibri"/>
      </rPr>
      <t>name</t>
    </r>
    <r>
      <rPr>
        <sz val="11"/>
        <color rgb="FF000000"/>
        <rFont val="Calibri"/>
      </rPr>
      <t xml:space="preserve"> - Use user supplied resource class names with the same 1 character suffix name as the default names (e.g. Aname and Bname for started transactions).</t>
    </r>
    <r>
      <rPr>
        <sz val="11"/>
        <color rgb="FF000000"/>
        <rFont val="Calibri"/>
      </rPr>
      <t xml:space="preserve">
</t>
    </r>
    <r>
      <rPr>
        <sz val="11"/>
        <color rgb="FF000000"/>
        <rFont val="Calibri"/>
      </rPr>
      <t>- NO - CICS does not perform any resource security checks, allowing any user full access to the resource.</t>
    </r>
    <r>
      <rPr>
        <sz val="11"/>
        <color rgb="FF000000"/>
        <rFont val="Calibri"/>
      </rPr>
      <t xml:space="preserve">
</t>
    </r>
    <r>
      <rPr>
        <sz val="11"/>
        <color rgb="FF000000"/>
        <rFont val="Calibri"/>
      </rPr>
      <t>The XDB2 SIT option controls access to DB2ENTRY resources. It does not control access to data held within Db2. The XDB2 SIT option does not have a CICS default class and therefore does not have a YES value. The XDB2 SIT option has 2 possible values</t>
    </r>
    <r>
      <rPr>
        <sz val="11"/>
        <color rgb="FF000000"/>
        <rFont val="Calibri"/>
      </rPr>
      <t xml:space="preserve">
</t>
    </r>
    <r>
      <rPr>
        <sz val="11"/>
        <color rgb="FF000000"/>
        <rFont val="Calibri"/>
      </rPr>
      <t xml:space="preserve">- </t>
    </r>
    <r>
      <rPr>
        <i/>
        <sz val="11"/>
        <color rgb="FF000000"/>
        <rFont val="Calibri"/>
      </rPr>
      <t>name</t>
    </r>
    <r>
      <rPr>
        <sz val="11"/>
        <color rgb="FF000000"/>
        <rFont val="Calibri"/>
      </rPr>
      <t xml:space="preserve"> - A user supplied resource class name. This name does not use a CICS supplied 1 character suffix. (e.g. Specify XDB2=ZCICSDB2 if the generic class to protect DB2ENTRY resources was ZCICSDB2 and its matching grouping class was XCICSDB2).</t>
    </r>
    <r>
      <rPr>
        <sz val="11"/>
        <color rgb="FF000000"/>
        <rFont val="Calibri"/>
      </rPr>
      <t xml:space="preserve">
</t>
    </r>
    <r>
      <rPr>
        <sz val="11"/>
        <color rgb="FF000000"/>
        <rFont val="Calibri"/>
      </rPr>
      <t>- NO - CICS does not perform any resource security checks, allowing any user full access to the DB2ENTRY resources.</t>
    </r>
    <r>
      <rPr>
        <sz val="11"/>
        <color rgb="FF000000"/>
        <rFont val="Calibri"/>
      </rPr>
      <t xml:space="preserve">
</t>
    </r>
    <r>
      <rPr>
        <sz val="11"/>
        <color rgb="FF000000"/>
        <rFont val="Calibri"/>
      </rPr>
      <t xml:space="preserve">Xnnn should be set to YES or a </t>
    </r>
    <r>
      <rPr>
        <i/>
        <sz val="11"/>
        <color rgb="FF000000"/>
        <rFont val="Calibri"/>
      </rPr>
      <t>name</t>
    </r>
    <r>
      <rPr>
        <sz val="11"/>
        <color rgb="FF000000"/>
        <rFont val="Calibri"/>
      </rPr>
      <t xml:space="preserve">. XDB2 should be set to a </t>
    </r>
    <r>
      <rPr>
        <i/>
        <sz val="11"/>
        <color rgb="FF000000"/>
        <rFont val="Calibri"/>
      </rPr>
      <t>name</t>
    </r>
    <r>
      <rPr>
        <sz val="11"/>
        <color rgb="FF000000"/>
        <rFont val="Calibri"/>
      </rPr>
      <t>.The profiles in these classes are then used to define which users or groups of users have authority to access the resource.</t>
    </r>
    <r>
      <rPr>
        <sz val="11"/>
        <color rgb="FF000000"/>
        <rFont val="Calibri"/>
      </rPr>
      <t xml:space="preserve">
</t>
    </r>
    <r>
      <rPr>
        <sz val="11"/>
        <color rgb="FF000000"/>
        <rFont val="Calibri"/>
      </rPr>
      <t>In addition CICS transaction definitions can disable resource security checking.  The transaction definition option is RESSEC. This option can have the following values:</t>
    </r>
    <r>
      <rPr>
        <sz val="11"/>
        <color rgb="FF000000"/>
        <rFont val="Calibri"/>
      </rPr>
      <t xml:space="preserve">
</t>
    </r>
    <r>
      <rPr>
        <sz val="11"/>
        <color rgb="FF000000"/>
        <rFont val="Calibri"/>
      </rPr>
      <t>- YES - Resource security is checked</t>
    </r>
    <r>
      <rPr>
        <sz val="11"/>
        <color rgb="FF000000"/>
        <rFont val="Calibri"/>
      </rPr>
      <t xml:space="preserve">
</t>
    </r>
    <r>
      <rPr>
        <sz val="11"/>
        <color rgb="FF000000"/>
        <rFont val="Calibri"/>
      </rPr>
      <t>- NO  - Resource security is not checked</t>
    </r>
    <r>
      <rPr>
        <sz val="11"/>
        <color rgb="FF000000"/>
        <rFont val="Calibri"/>
      </rPr>
      <t xml:space="preserve">
</t>
    </r>
    <r>
      <rPr>
        <sz val="11"/>
        <color rgb="FF000000"/>
        <rFont val="Calibri"/>
      </rPr>
      <t>The RESSEC transaction option can be overridden by the RESSEC SIT options. This option can have the following values:</t>
    </r>
    <r>
      <rPr>
        <sz val="11"/>
        <color rgb="FF000000"/>
        <rFont val="Calibri"/>
      </rPr>
      <t xml:space="preserve">
</t>
    </r>
    <r>
      <rPr>
        <sz val="11"/>
        <color rgb="FF000000"/>
        <rFont val="Calibri"/>
      </rPr>
      <t>- ASIS - The RESSEC value on the transaction definitions is honored</t>
    </r>
    <r>
      <rPr>
        <sz val="11"/>
        <color rgb="FF000000"/>
        <rFont val="Calibri"/>
      </rPr>
      <t xml:space="preserve">
</t>
    </r>
    <r>
      <rPr>
        <sz val="11"/>
        <color rgb="FF000000"/>
        <rFont val="Calibri"/>
      </rPr>
      <t>- ALWAYS - Resource security is checked regardless of the transaction definition</t>
    </r>
    <r>
      <rPr>
        <sz val="11"/>
        <color rgb="FF000000"/>
        <rFont val="Calibri"/>
      </rPr>
      <t xml:space="preserve">
</t>
    </r>
    <r>
      <rPr>
        <sz val="11"/>
        <color rgb="FF000000"/>
        <rFont val="Calibri"/>
      </rPr>
      <t>Disabling resource security in a transaction is not generally recommended.</t>
    </r>
  </si>
  <si>
    <r>
      <rPr>
        <sz val="11"/>
        <color rgb="FF000000"/>
        <rFont val="Calibri"/>
      </rPr>
      <t>Introducing resource security will require significant planning to identify which RACF groups should have access to each resource. It would also increase the number of security checks so there will be an increase in CPU.</t>
    </r>
  </si>
  <si>
    <r>
      <rPr>
        <sz val="11"/>
        <color rgb="FF000000"/>
        <rFont val="Calibri"/>
      </rPr>
      <t>Issue the z/OSMF Compliance data collection REST API to drive collection of compliance evidence in the SMF 1154 record.</t>
    </r>
    <r>
      <rPr>
        <sz val="11"/>
        <color rgb="FF000000"/>
        <rFont val="Calibri"/>
      </rPr>
      <t xml:space="preserve">
</t>
    </r>
    <r>
      <rPr>
        <sz val="11"/>
        <color rgb="FF006096"/>
        <rFont val="Roboto Condensed"/>
      </rPr>
      <t>https://{host}:{port}/zosmf/compliance/rest/v1/facts</t>
    </r>
    <r>
      <rPr>
        <sz val="11"/>
        <color rgb="FF006096"/>
        <rFont val="Roboto Condensed"/>
      </rPr>
      <t xml:space="preserve">
</t>
    </r>
    <r>
      <rPr>
        <sz val="11"/>
        <color rgb="FF000000"/>
        <rFont val="Calibri"/>
      </rPr>
      <t xml:space="preserve">
</t>
    </r>
    <r>
      <rPr>
        <sz val="11"/>
        <color rgb="FF000000"/>
        <rFont val="Calibri"/>
      </rPr>
      <t>- Wait for the data to be collected; this may take up to a minute in some regions.</t>
    </r>
    <r>
      <rPr>
        <sz val="11"/>
        <color rgb="FF000000"/>
        <rFont val="Calibri"/>
      </rPr>
      <t xml:space="preserve">
</t>
    </r>
    <r>
      <rPr>
        <sz val="11"/>
        <color rgb="FF000000"/>
        <rFont val="Calibri"/>
      </rPr>
      <t>- Customize and run the DFH$54P  sample JCL to create a spreadsheet containing data for all of the CICS TS regions. Open the spreadsheet and review the settings each of the Xnnn columns for the regions being audited.</t>
    </r>
    <r>
      <rPr>
        <sz val="11"/>
        <color rgb="FF000000"/>
        <rFont val="Calibri"/>
      </rPr>
      <t xml:space="preserve">
</t>
    </r>
    <r>
      <rPr>
        <sz val="11"/>
        <color rgb="FF000000"/>
        <rFont val="Calibri"/>
      </rPr>
      <t>- Xnnn They should all be set to the suffix of the class name such as CICSnnn.</t>
    </r>
    <r>
      <rPr>
        <sz val="11"/>
        <color rgb="FF000000"/>
        <rFont val="Calibri"/>
      </rPr>
      <t xml:space="preserve">
</t>
    </r>
    <r>
      <rPr>
        <sz val="11"/>
        <color rgb="FF000000"/>
        <rFont val="Calibri"/>
      </rPr>
      <t>In the following the file classes using the default class names will be used as an example.It is assumed that you have AUDITOR authority, so that you can issue RACF commands and see all of the output.List the profiles in the CICS classes by issuing the RACF commands</t>
    </r>
    <r>
      <rPr>
        <sz val="11"/>
        <color rgb="FF000000"/>
        <rFont val="Calibri"/>
      </rPr>
      <t xml:space="preserve">
</t>
    </r>
    <r>
      <rPr>
        <sz val="11"/>
        <color rgb="FF006096"/>
        <rFont val="Roboto Condensed"/>
      </rPr>
      <t>RLIST HCICSFCT ALL</t>
    </r>
    <r>
      <rPr>
        <sz val="11"/>
        <color rgb="FF006096"/>
        <rFont val="Roboto Condensed"/>
      </rPr>
      <t xml:space="preserve">
</t>
    </r>
    <r>
      <rPr>
        <sz val="11"/>
        <color rgb="FF006096"/>
        <rFont val="Roboto Condensed"/>
      </rPr>
      <t>RLIST FCICSFCT.</t>
    </r>
    <r>
      <rPr>
        <sz val="11"/>
        <color rgb="FF006096"/>
        <rFont val="Roboto Condensed"/>
      </rPr>
      <t xml:space="preserve">
</t>
    </r>
    <r>
      <rPr>
        <sz val="11"/>
        <color rgb="FF000000"/>
        <rFont val="Calibri"/>
      </rPr>
      <t>Verify that the classes used contain profiles which identify the transactions used either generically in FCICSFCT, or by name in HCICSFCT.</t>
    </r>
    <r>
      <rPr>
        <sz val="11"/>
        <color rgb="FF000000"/>
        <rFont val="Calibri"/>
      </rPr>
      <t xml:space="preserve">
</t>
    </r>
    <r>
      <rPr>
        <sz val="11"/>
        <color rgb="FF000000"/>
        <rFont val="Calibri"/>
      </rPr>
      <t>- Use the CICS Explorer to display all the regions being audited.</t>
    </r>
    <r>
      <rPr>
        <sz val="11"/>
        <color rgb="FF000000"/>
        <rFont val="Calibri"/>
      </rPr>
      <t xml:space="preserve">
</t>
    </r>
    <r>
      <rPr>
        <sz val="11"/>
        <color rgb="FF000000"/>
        <rFont val="Calibri"/>
      </rPr>
      <t>- Check the SIT parameter RESSEC. If this is set to ALWAYS the following steps can be skipped</t>
    </r>
    <r>
      <rPr>
        <sz val="11"/>
        <color rgb="FF000000"/>
        <rFont val="Calibri"/>
      </rPr>
      <t xml:space="preserve">
</t>
    </r>
    <r>
      <rPr>
        <sz val="11"/>
        <color rgb="FF000000"/>
        <rFont val="Calibri"/>
      </rPr>
      <t>- Use the CICS Explorer to display the list of transactions in the regions being audited.</t>
    </r>
    <r>
      <rPr>
        <sz val="11"/>
        <color rgb="FF000000"/>
        <rFont val="Calibri"/>
      </rPr>
      <t xml:space="preserve">
</t>
    </r>
    <r>
      <rPr>
        <sz val="11"/>
        <color rgb="FF000000"/>
        <rFont val="Calibri"/>
      </rPr>
      <t>- Verify that all user transactions (ignore CICS transactions) have RESSEC(YES)</t>
    </r>
    <r>
      <rPr>
        <sz val="11"/>
        <color rgb="FF000000"/>
        <rFont val="Calibri"/>
      </rPr>
      <t xml:space="preserve">
</t>
    </r>
    <r>
      <rPr>
        <sz val="11"/>
        <color rgb="FF000000"/>
        <rFont val="Calibri"/>
      </rPr>
      <t>Follow these guidelines:</t>
    </r>
    <r>
      <rPr>
        <sz val="11"/>
        <color rgb="FF000000"/>
        <rFont val="Calibri"/>
      </rPr>
      <t xml:space="preserve">
</t>
    </r>
    <r>
      <rPr>
        <sz val="11"/>
        <color rgb="FF000000"/>
        <rFont val="Calibri"/>
      </rPr>
      <t>- If any of the Xnnn SIT parms are set to NO (blank in the spreadsheet) then either that resource type must not be used or must not contain any sensitive data.</t>
    </r>
    <r>
      <rPr>
        <sz val="11"/>
        <color rgb="FF000000"/>
        <rFont val="Calibri"/>
      </rPr>
      <t xml:space="preserve">
</t>
    </r>
    <r>
      <rPr>
        <sz val="11"/>
        <color rgb="FF000000"/>
        <rFont val="Calibri"/>
      </rPr>
      <t>- If any profile have a universal access other than NONE, that these resources must not contain any sensitive data.</t>
    </r>
    <r>
      <rPr>
        <sz val="11"/>
        <color rgb="FF000000"/>
        <rFont val="Calibri"/>
      </rPr>
      <t xml:space="preserve">
</t>
    </r>
    <r>
      <rPr>
        <sz val="11"/>
        <color rgb="FF000000"/>
        <rFont val="Calibri"/>
      </rPr>
      <t>- The users given access to generic transactions (in FCICSFCT) or groups of transactions (in HCICSFCT) should be defined in groups.</t>
    </r>
    <r>
      <rPr>
        <sz val="11"/>
        <color rgb="FF000000"/>
        <rFont val="Calibri"/>
      </rPr>
      <t xml:space="preserve">
</t>
    </r>
    <r>
      <rPr>
        <sz val="11"/>
        <color rgb="FF000000"/>
        <rFont val="Calibri"/>
      </rPr>
      <t>- The groups should match the roles of user allowed access to the transactions.</t>
    </r>
    <r>
      <rPr>
        <sz val="11"/>
        <color rgb="FF000000"/>
        <rFont val="Calibri"/>
      </rPr>
      <t xml:space="preserve">
</t>
    </r>
    <r>
      <rPr>
        <sz val="11"/>
        <color rgb="FF000000"/>
        <rFont val="Calibri"/>
      </rPr>
      <t>- For each region check the SIT parameter RESSEC. If this is set to ASIS then check the RESSEC value on the transaction definitions in the region. This should be YES.</t>
    </r>
  </si>
  <si>
    <r>
      <rPr>
        <sz val="11"/>
        <color rgb="FF000000"/>
        <rFont val="Calibri"/>
      </rPr>
      <t>Xnnn=YES</t>
    </r>
  </si>
  <si>
    <t>System Settings</t>
  </si>
  <si>
    <t>1.3.1</t>
  </si>
  <si>
    <r>
      <rPr>
        <sz val="11"/>
        <rFont val="Calibri"/>
      </rPr>
      <t>Ensure that SIT parameter SEC=YES is set in all regions</t>
    </r>
  </si>
  <si>
    <r>
      <rPr>
        <sz val="11"/>
        <color rgb="FF000000"/>
        <rFont val="Calibri"/>
      </rPr>
      <t>- Set SEC=YES</t>
    </r>
    <r>
      <rPr>
        <sz val="11"/>
        <color rgb="FF000000"/>
        <rFont val="Calibri"/>
      </rPr>
      <t xml:space="preserve">
</t>
    </r>
    <r>
      <rPr>
        <sz val="11"/>
        <color rgb="FF000000"/>
        <rFont val="Calibri"/>
      </rPr>
      <t>- Restart CICS</t>
    </r>
  </si>
  <si>
    <r>
      <rPr>
        <sz val="11"/>
        <color rgb="FF000000"/>
        <rFont val="Calibri"/>
      </rPr>
      <t>The CICS SIT option SEC determines if security is enabled in CICS.</t>
    </r>
    <r>
      <rPr>
        <sz val="11"/>
        <color rgb="FF000000"/>
        <rFont val="Calibri"/>
      </rPr>
      <t xml:space="preserve">
</t>
    </r>
    <r>
      <rPr>
        <sz val="11"/>
        <color rgb="FF000000"/>
        <rFont val="Calibri"/>
      </rPr>
      <t>It can be set to the following</t>
    </r>
    <r>
      <rPr>
        <sz val="11"/>
        <color rgb="FF000000"/>
        <rFont val="Calibri"/>
      </rPr>
      <t xml:space="preserve">
</t>
    </r>
    <r>
      <rPr>
        <sz val="11"/>
        <color rgb="FF000000"/>
        <rFont val="Calibri"/>
      </rPr>
      <t>- YES - Security is enabled</t>
    </r>
    <r>
      <rPr>
        <sz val="11"/>
        <color rgb="FF000000"/>
        <rFont val="Calibri"/>
      </rPr>
      <t xml:space="preserve">
</t>
    </r>
    <r>
      <rPr>
        <sz val="11"/>
        <color rgb="FF000000"/>
        <rFont val="Calibri"/>
      </rPr>
      <t>- NO  - Security is disabled</t>
    </r>
  </si>
  <si>
    <r>
      <rPr>
        <sz val="11"/>
        <color rgb="FF000000"/>
        <rFont val="Calibri"/>
      </rPr>
      <t>Issue the z/OSMF Compliance data collection REST API to drive collection of compliance evidence in the SMF 1154 record.</t>
    </r>
    <r>
      <rPr>
        <sz val="11"/>
        <color rgb="FF000000"/>
        <rFont val="Calibri"/>
      </rPr>
      <t xml:space="preserve">
</t>
    </r>
    <r>
      <rPr>
        <sz val="11"/>
        <color rgb="FF006096"/>
        <rFont val="Roboto Condensed"/>
      </rPr>
      <t>https://{host}:{port}/zosmf/compliance/rest/v1/facts</t>
    </r>
    <r>
      <rPr>
        <sz val="11"/>
        <color rgb="FF006096"/>
        <rFont val="Roboto Condensed"/>
      </rPr>
      <t xml:space="preserve">
</t>
    </r>
    <r>
      <rPr>
        <sz val="11"/>
        <color rgb="FF000000"/>
        <rFont val="Calibri"/>
      </rPr>
      <t xml:space="preserve">
</t>
    </r>
    <r>
      <rPr>
        <sz val="11"/>
        <color rgb="FF000000"/>
        <rFont val="Calibri"/>
      </rPr>
      <t>- Customize and run the DFH$54P sample JCL to create a spreadsheet containing data for all of the CICS TS regions.</t>
    </r>
    <r>
      <rPr>
        <sz val="11"/>
        <color rgb="FF000000"/>
        <rFont val="Calibri"/>
      </rPr>
      <t xml:space="preserve">
</t>
    </r>
    <r>
      <rPr>
        <sz val="11"/>
        <color rgb="FF000000"/>
        <rFont val="Calibri"/>
      </rPr>
      <t>- Open the spreadsheet and review the settings of the SEC column. They must all be set to YES.</t>
    </r>
  </si>
  <si>
    <r>
      <rPr>
        <sz val="11"/>
        <color rgb="FF000000"/>
        <rFont val="Calibri"/>
      </rPr>
      <t>SEC=YES</t>
    </r>
  </si>
  <si>
    <t>User Privilege</t>
  </si>
  <si>
    <t>1.4.1</t>
  </si>
  <si>
    <r>
      <rPr>
        <sz val="11"/>
        <rFont val="Calibri"/>
      </rPr>
      <t>Ensure that only authorized users can issue SPI commands</t>
    </r>
  </si>
  <si>
    <r>
      <rPr>
        <sz val="11"/>
        <color rgb="FF000000"/>
        <rFont val="Calibri"/>
      </rPr>
      <t>Categorize the SPI commands on the system according to who should have access to them, and what level of access should be given, for example READ or UPDATE.</t>
    </r>
    <r>
      <rPr>
        <sz val="11"/>
        <color rgb="FF000000"/>
        <rFont val="Calibri"/>
      </rPr>
      <t xml:space="preserve">
</t>
    </r>
    <r>
      <rPr>
        <sz val="11"/>
        <color rgb="FF000000"/>
        <rFont val="Calibri"/>
      </rPr>
      <t>Define profiles for these commands either generically or in groups in the classes CCICSCMD or VCICSCMD (or the class names used if the default classes aren’t used).</t>
    </r>
    <r>
      <rPr>
        <sz val="11"/>
        <color rgb="FF000000"/>
        <rFont val="Calibri"/>
      </rPr>
      <t xml:space="preserve">
</t>
    </r>
    <r>
      <rPr>
        <sz val="11"/>
        <color rgb="FF000000"/>
        <rFont val="Calibri"/>
      </rPr>
      <t>Give the required level of access to the appropriate groups for these profiles.An example of this is as follows:</t>
    </r>
    <r>
      <rPr>
        <sz val="11"/>
        <color rgb="FF000000"/>
        <rFont val="Calibri"/>
      </rPr>
      <t xml:space="preserve">
</t>
    </r>
    <r>
      <rPr>
        <sz val="11"/>
        <color rgb="FF006096"/>
        <rFont val="Roboto Condensed"/>
      </rPr>
      <t>RDEFINE VCICSCMD memname OWNER(admin) AUDIT(ALL(READ)) UACC(NONE)</t>
    </r>
    <r>
      <rPr>
        <sz val="11"/>
        <color rgb="FF006096"/>
        <rFont val="Roboto Condensed"/>
      </rPr>
      <t xml:space="preserve">
</t>
    </r>
    <r>
      <rPr>
        <sz val="11"/>
        <color rgb="FF006096"/>
        <rFont val="Roboto Condensed"/>
      </rPr>
      <t>RALTER  VCICSCMD memname ADDMEM(cmd1 cmd2 cmd3)</t>
    </r>
    <r>
      <rPr>
        <sz val="11"/>
        <color rgb="FF006096"/>
        <rFont val="Roboto Condensed"/>
      </rPr>
      <t xml:space="preserve">
</t>
    </r>
    <r>
      <rPr>
        <sz val="11"/>
        <color rgb="FF006096"/>
        <rFont val="Roboto Condensed"/>
      </rPr>
      <t>PERMIT memname CLASS(VCICSCMD) ID(group) ACCESS(READ)</t>
    </r>
    <r>
      <rPr>
        <sz val="11"/>
        <color rgb="FF006096"/>
        <rFont val="Roboto Condensed"/>
      </rPr>
      <t xml:space="preserve">
</t>
    </r>
    <r>
      <rPr>
        <sz val="11"/>
        <color rgb="FF006096"/>
        <rFont val="Roboto Condensed"/>
      </rPr>
      <t>SETROPTS RACLIST(CCICSCMD) REFRESH</t>
    </r>
    <r>
      <rPr>
        <sz val="11"/>
        <color rgb="FF006096"/>
        <rFont val="Roboto Condensed"/>
      </rPr>
      <t xml:space="preserve">
</t>
    </r>
    <r>
      <rPr>
        <sz val="11"/>
        <color rgb="FF000000"/>
        <rFont val="Calibri"/>
      </rPr>
      <t xml:space="preserve">
</t>
    </r>
    <r>
      <rPr>
        <sz val="11"/>
        <color rgb="FF000000"/>
        <rFont val="Calibri"/>
      </rPr>
      <t>- Change any transactions definitions which specify CMDSEC(NO) to CMDSEC(YES)</t>
    </r>
    <r>
      <rPr>
        <sz val="11"/>
        <color rgb="FF000000"/>
        <rFont val="Calibri"/>
      </rPr>
      <t xml:space="preserve">
</t>
    </r>
    <r>
      <rPr>
        <sz val="11"/>
        <color rgb="FF000000"/>
        <rFont val="Calibri"/>
      </rPr>
      <t xml:space="preserve">- Set XCMD=YES or </t>
    </r>
    <r>
      <rPr>
        <i/>
        <sz val="11"/>
        <color rgb="FF000000"/>
        <rFont val="Calibri"/>
      </rPr>
      <t>name</t>
    </r>
    <r>
      <rPr>
        <sz val="11"/>
        <color rgb="FF000000"/>
        <rFont val="Calibri"/>
      </rPr>
      <t xml:space="preserve">
</t>
    </r>
    <r>
      <rPr>
        <sz val="11"/>
        <color rgb="FF000000"/>
        <rFont val="Calibri"/>
      </rPr>
      <t>- Restart CICS</t>
    </r>
  </si>
  <si>
    <r>
      <rPr>
        <sz val="11"/>
        <color rgb="FF000000"/>
        <rFont val="Calibri"/>
      </rPr>
      <t>SPI commands in CICS can be used to inquire upon or change the state of resources. They are typically used by operators to monitor CICS and system administrators to make changes. Automation tasks will also need access.They are not normally available to general users.</t>
    </r>
    <r>
      <rPr>
        <sz val="11"/>
        <color rgb="FF000000"/>
        <rFont val="Calibri"/>
      </rPr>
      <t xml:space="preserve">
</t>
    </r>
    <r>
      <rPr>
        <sz val="11"/>
        <color rgb="FF000000"/>
        <rFont val="Calibri"/>
      </rPr>
      <t>The authority to issue SPI commands is determined by a pair of RACF classes specified in the XCMD SIT option. This option can have the following values</t>
    </r>
    <r>
      <rPr>
        <sz val="11"/>
        <color rgb="FF000000"/>
        <rFont val="Calibri"/>
      </rPr>
      <t xml:space="preserve">
</t>
    </r>
    <r>
      <rPr>
        <sz val="11"/>
        <color rgb="FF000000"/>
        <rFont val="Calibri"/>
      </rPr>
      <t>- YES - The resource class name is CCICSCMD and the grouping class name is VCICSCMD.</t>
    </r>
    <r>
      <rPr>
        <sz val="11"/>
        <color rgb="FF000000"/>
        <rFont val="Calibri"/>
      </rPr>
      <t xml:space="preserve">
</t>
    </r>
    <r>
      <rPr>
        <sz val="11"/>
        <color rgb="FF000000"/>
        <rFont val="Calibri"/>
      </rPr>
      <t xml:space="preserve">- </t>
    </r>
    <r>
      <rPr>
        <i/>
        <sz val="11"/>
        <color rgb="FF000000"/>
        <rFont val="Calibri"/>
      </rPr>
      <t>name</t>
    </r>
    <r>
      <rPr>
        <sz val="11"/>
        <color rgb="FF000000"/>
        <rFont val="Calibri"/>
      </rPr>
      <t xml:space="preserve"> - The resource class name is Cname and the grouping class name is Vname.</t>
    </r>
    <r>
      <rPr>
        <sz val="11"/>
        <color rgb="FF000000"/>
        <rFont val="Calibri"/>
      </rPr>
      <t xml:space="preserve">
</t>
    </r>
    <r>
      <rPr>
        <sz val="11"/>
        <color rgb="FF000000"/>
        <rFont val="Calibri"/>
      </rPr>
      <t>- NO - CICS does not perform any command security checks, allowing any user to issue any SPI command.</t>
    </r>
    <r>
      <rPr>
        <sz val="11"/>
        <color rgb="FF000000"/>
        <rFont val="Calibri"/>
      </rPr>
      <t xml:space="preserve">
</t>
    </r>
    <r>
      <rPr>
        <sz val="11"/>
        <color rgb="FF000000"/>
        <rFont val="Calibri"/>
      </rPr>
      <t xml:space="preserve">XCMD must be set to YES or </t>
    </r>
    <r>
      <rPr>
        <i/>
        <sz val="11"/>
        <color rgb="FF000000"/>
        <rFont val="Calibri"/>
      </rPr>
      <t>name</t>
    </r>
    <r>
      <rPr>
        <sz val="11"/>
        <color rgb="FF000000"/>
        <rFont val="Calibri"/>
      </rPr>
      <t>.In addition CICS transaction definitions can disable command security checking.  The transaction definition option is CMDSEC. This option can have the following values:</t>
    </r>
    <r>
      <rPr>
        <sz val="11"/>
        <color rgb="FF000000"/>
        <rFont val="Calibri"/>
      </rPr>
      <t xml:space="preserve">
</t>
    </r>
    <r>
      <rPr>
        <sz val="11"/>
        <color rgb="FF000000"/>
        <rFont val="Calibri"/>
      </rPr>
      <t>- YES - Command security is checked</t>
    </r>
    <r>
      <rPr>
        <sz val="11"/>
        <color rgb="FF000000"/>
        <rFont val="Calibri"/>
      </rPr>
      <t xml:space="preserve">
</t>
    </r>
    <r>
      <rPr>
        <sz val="11"/>
        <color rgb="FF000000"/>
        <rFont val="Calibri"/>
      </rPr>
      <t>- NO  - Command security is not checked</t>
    </r>
    <r>
      <rPr>
        <sz val="11"/>
        <color rgb="FF000000"/>
        <rFont val="Calibri"/>
      </rPr>
      <t xml:space="preserve">
</t>
    </r>
    <r>
      <rPr>
        <sz val="11"/>
        <color rgb="FF000000"/>
        <rFont val="Calibri"/>
      </rPr>
      <t>The CMDSEC transaction option can be overridden by the CMDSEC SIT option. This option can have the following values:</t>
    </r>
    <r>
      <rPr>
        <sz val="11"/>
        <color rgb="FF000000"/>
        <rFont val="Calibri"/>
      </rPr>
      <t xml:space="preserve">
</t>
    </r>
    <r>
      <rPr>
        <sz val="11"/>
        <color rgb="FF000000"/>
        <rFont val="Calibri"/>
      </rPr>
      <t>- ASIS - The CMDSEC value on the transaction definitions is honored</t>
    </r>
    <r>
      <rPr>
        <sz val="11"/>
        <color rgb="FF000000"/>
        <rFont val="Calibri"/>
      </rPr>
      <t xml:space="preserve">
</t>
    </r>
    <r>
      <rPr>
        <sz val="11"/>
        <color rgb="FF000000"/>
        <rFont val="Calibri"/>
      </rPr>
      <t>- ALWAYS - Commands security is checked regardless of the transaction definition</t>
    </r>
    <r>
      <rPr>
        <sz val="11"/>
        <color rgb="FF000000"/>
        <rFont val="Calibri"/>
      </rPr>
      <t xml:space="preserve">
</t>
    </r>
    <r>
      <rPr>
        <sz val="11"/>
        <color rgb="FF000000"/>
        <rFont val="Calibri"/>
      </rPr>
      <t>Disabling command security in a transaction is not generally recommended.</t>
    </r>
  </si>
  <si>
    <r>
      <rPr>
        <sz val="11"/>
        <color rgb="FF000000"/>
        <rFont val="Calibri"/>
      </rPr>
      <t>Introducing command security may require planning to identify which RACF groups should have access to each command.</t>
    </r>
  </si>
  <si>
    <r>
      <rPr>
        <sz val="11"/>
        <color rgb="FF000000"/>
        <rFont val="Calibri"/>
      </rPr>
      <t>Issue the z/OSMF Compliance data collection REST API to drive collection of compliance evidence in the SMF 1154 record.</t>
    </r>
    <r>
      <rPr>
        <sz val="11"/>
        <color rgb="FF000000"/>
        <rFont val="Calibri"/>
      </rPr>
      <t xml:space="preserve">
</t>
    </r>
    <r>
      <rPr>
        <sz val="11"/>
        <color rgb="FF006096"/>
        <rFont val="Roboto Condensed"/>
      </rPr>
      <t>https://{host}:{port}/zosmf/compliance/rest/v1/facts</t>
    </r>
    <r>
      <rPr>
        <sz val="11"/>
        <color rgb="FF006096"/>
        <rFont val="Roboto Condensed"/>
      </rPr>
      <t xml:space="preserve">
</t>
    </r>
    <r>
      <rPr>
        <sz val="11"/>
        <color rgb="FF000000"/>
        <rFont val="Calibri"/>
      </rPr>
      <t xml:space="preserve">
</t>
    </r>
    <r>
      <rPr>
        <sz val="11"/>
        <color rgb="FF000000"/>
        <rFont val="Calibri"/>
      </rPr>
      <t>- Wait for the data to be collected; this may take up to a minute in some regions.</t>
    </r>
    <r>
      <rPr>
        <sz val="11"/>
        <color rgb="FF000000"/>
        <rFont val="Calibri"/>
      </rPr>
      <t xml:space="preserve">
</t>
    </r>
    <r>
      <rPr>
        <sz val="11"/>
        <color rgb="FF000000"/>
        <rFont val="Calibri"/>
      </rPr>
      <t>- Customize and run the DFH$54P sample JCL to create a spreadsheet containing data for all of the CICS TS regions.</t>
    </r>
    <r>
      <rPr>
        <sz val="11"/>
        <color rgb="FF000000"/>
        <rFont val="Calibri"/>
      </rPr>
      <t xml:space="preserve">
</t>
    </r>
    <r>
      <rPr>
        <sz val="11"/>
        <color rgb="FF000000"/>
        <rFont val="Calibri"/>
      </rPr>
      <t>- Open the spreadsheet and review the settings of the XCMD column. They should all be set to the suffix of the transaction class name. The classes are prefixed by C and V.</t>
    </r>
    <r>
      <rPr>
        <sz val="11"/>
        <color rgb="FF000000"/>
        <rFont val="Calibri"/>
      </rPr>
      <t xml:space="preserve">
</t>
    </r>
    <r>
      <rPr>
        <sz val="11"/>
        <color rgb="FF000000"/>
        <rFont val="Calibri"/>
      </rPr>
      <t>In the following the default class names will be used as an example.It is assumed that you have AUDITOR authority, so that you can issue RACF commands and see all of the output.</t>
    </r>
    <r>
      <rPr>
        <sz val="11"/>
        <color rgb="FF000000"/>
        <rFont val="Calibri"/>
      </rPr>
      <t xml:space="preserve">
</t>
    </r>
    <r>
      <rPr>
        <sz val="11"/>
        <color rgb="FF000000"/>
        <rFont val="Calibri"/>
      </rPr>
      <t>List the profiles in the CICS classes by issuing the RACF commands</t>
    </r>
    <r>
      <rPr>
        <sz val="11"/>
        <color rgb="FF000000"/>
        <rFont val="Calibri"/>
      </rPr>
      <t xml:space="preserve">
</t>
    </r>
    <r>
      <rPr>
        <sz val="11"/>
        <color rgb="FF006096"/>
        <rFont val="Roboto Condensed"/>
      </rPr>
      <t>RLIST CCICSCMD ALL</t>
    </r>
    <r>
      <rPr>
        <sz val="11"/>
        <color rgb="FF006096"/>
        <rFont val="Roboto Condensed"/>
      </rPr>
      <t xml:space="preserve">
</t>
    </r>
    <r>
      <rPr>
        <sz val="11"/>
        <color rgb="FF006096"/>
        <rFont val="Roboto Condensed"/>
      </rPr>
      <t>RLIST VCICSCMD.</t>
    </r>
    <r>
      <rPr>
        <sz val="11"/>
        <color rgb="FF006096"/>
        <rFont val="Roboto Condensed"/>
      </rPr>
      <t xml:space="preserve">
</t>
    </r>
    <r>
      <rPr>
        <sz val="11"/>
        <color rgb="FF000000"/>
        <rFont val="Calibri"/>
      </rPr>
      <t xml:space="preserve">
</t>
    </r>
    <r>
      <rPr>
        <sz val="11"/>
        <color rgb="FF000000"/>
        <rFont val="Calibri"/>
      </rPr>
      <t>Verify that the classes used contain profiles which identify the transactions used either generically in CCICSCMD, or by name in VCICSCMD.</t>
    </r>
    <r>
      <rPr>
        <sz val="11"/>
        <color rgb="FF000000"/>
        <rFont val="Calibri"/>
      </rPr>
      <t xml:space="preserve">
</t>
    </r>
    <r>
      <rPr>
        <sz val="11"/>
        <color rgb="FF000000"/>
        <rFont val="Calibri"/>
      </rPr>
      <t>Follow these guidelines:</t>
    </r>
    <r>
      <rPr>
        <sz val="11"/>
        <color rgb="FF000000"/>
        <rFont val="Calibri"/>
      </rPr>
      <t xml:space="preserve">
</t>
    </r>
    <r>
      <rPr>
        <sz val="11"/>
        <color rgb="FF000000"/>
        <rFont val="Calibri"/>
      </rPr>
      <t>- Profiles should be defined with UACC(NONE).</t>
    </r>
    <r>
      <rPr>
        <sz val="11"/>
        <color rgb="FF000000"/>
        <rFont val="Calibri"/>
      </rPr>
      <t xml:space="preserve">
</t>
    </r>
    <r>
      <rPr>
        <sz val="11"/>
        <color rgb="FF000000"/>
        <rFont val="Calibri"/>
      </rPr>
      <t>- The users given access to commands (in CCICSCMD) or groups of commands (in VCICSCMD) should be defined in groups.</t>
    </r>
    <r>
      <rPr>
        <sz val="11"/>
        <color rgb="FF000000"/>
        <rFont val="Calibri"/>
      </rPr>
      <t xml:space="preserve">
</t>
    </r>
    <r>
      <rPr>
        <sz val="11"/>
        <color rgb="FF000000"/>
        <rFont val="Calibri"/>
      </rPr>
      <t>- The groups should match the roles of users allowed access to these commands.</t>
    </r>
    <r>
      <rPr>
        <sz val="11"/>
        <color rgb="FF000000"/>
        <rFont val="Calibri"/>
      </rPr>
      <t xml:space="preserve">
</t>
    </r>
    <r>
      <rPr>
        <sz val="11"/>
        <color rgb="FF000000"/>
        <rFont val="Calibri"/>
      </rPr>
      <t>- For each region check the SIT parameter CMDSEC. If this is set to ASIS then check the CMDSEC value on the transaction definitions in the region. This should be YES.</t>
    </r>
    <r>
      <rPr>
        <sz val="11"/>
        <color rgb="FF000000"/>
        <rFont val="Calibri"/>
      </rPr>
      <t xml:space="preserve">
</t>
    </r>
    <r>
      <rPr>
        <sz val="11"/>
        <color rgb="FF000000"/>
        <rFont val="Calibri"/>
      </rPr>
      <t>The CICS Explorer can be used to display SIT parameters and transaction definitions for all connected regions.</t>
    </r>
  </si>
  <si>
    <r>
      <rPr>
        <sz val="11"/>
        <color rgb="FF000000"/>
        <rFont val="Calibri"/>
      </rPr>
      <t>XCMD=YES</t>
    </r>
  </si>
  <si>
    <t>1.4.2</t>
  </si>
  <si>
    <r>
      <rPr>
        <sz val="11"/>
        <rFont val="Calibri"/>
      </rPr>
      <t>Ensure that a user requires authorization to start work under a different userid</t>
    </r>
  </si>
  <si>
    <r>
      <rPr>
        <sz val="11"/>
        <color rgb="FF000000"/>
        <rFont val="Calibri"/>
      </rPr>
      <t>Define surrogate profiles as follows:</t>
    </r>
    <r>
      <rPr>
        <sz val="11"/>
        <color rgb="FF000000"/>
        <rFont val="Calibri"/>
      </rPr>
      <t xml:space="preserve">
</t>
    </r>
    <r>
      <rPr>
        <sz val="11"/>
        <color rgb="FF006096"/>
        <rFont val="Roboto Condensed"/>
      </rPr>
      <t>RDEFINE SURROGAT *.DFHSTART OWNER(admin) UACC(NONE)</t>
    </r>
    <r>
      <rPr>
        <sz val="11"/>
        <color rgb="FF006096"/>
        <rFont val="Roboto Condensed"/>
      </rPr>
      <t xml:space="preserve">
</t>
    </r>
    <r>
      <rPr>
        <sz val="11"/>
        <color rgb="FF006096"/>
        <rFont val="Roboto Condensed"/>
      </rPr>
      <t>RDEFINE SURROGAT *.DFHINSTL OWNER(admin) UACC(NONE)</t>
    </r>
    <r>
      <rPr>
        <sz val="11"/>
        <color rgb="FF006096"/>
        <rFont val="Roboto Condensed"/>
      </rPr>
      <t xml:space="preserve">
</t>
    </r>
    <r>
      <rPr>
        <sz val="11"/>
        <color rgb="FF006096"/>
        <rFont val="Roboto Condensed"/>
      </rPr>
      <t>RDEFINE SURROGAT *.DFHEXCI OWNER(admin) UACC(NONE)</t>
    </r>
    <r>
      <rPr>
        <sz val="11"/>
        <color rgb="FF006096"/>
        <rFont val="Roboto Condensed"/>
      </rPr>
      <t xml:space="preserve">
</t>
    </r>
    <r>
      <rPr>
        <sz val="11"/>
        <color rgb="FF006096"/>
        <rFont val="Roboto Condensed"/>
      </rPr>
      <t>RDEFINE SURROGAT *.DFHQUERY OWNER(admin) UACC(NONE)</t>
    </r>
    <r>
      <rPr>
        <sz val="11"/>
        <color rgb="FF006096"/>
        <rFont val="Roboto Condensed"/>
      </rPr>
      <t xml:space="preserve">
</t>
    </r>
    <r>
      <rPr>
        <sz val="11"/>
        <color rgb="FF006096"/>
        <rFont val="Roboto Condensed"/>
      </rPr>
      <t>SETROPTS RACLIST(SURROGAT) REFRESH</t>
    </r>
    <r>
      <rPr>
        <sz val="11"/>
        <color rgb="FF006096"/>
        <rFont val="Roboto Condensed"/>
      </rPr>
      <t xml:space="preserve">
</t>
    </r>
    <r>
      <rPr>
        <sz val="11"/>
        <color rgb="FF000000"/>
        <rFont val="Calibri"/>
      </rPr>
      <t xml:space="preserve">
</t>
    </r>
    <r>
      <rPr>
        <sz val="11"/>
        <color rgb="FF000000"/>
        <rFont val="Calibri"/>
      </rPr>
      <t>Investigate if surrogate security is needed anywhere if so you will need to define specific profiles similar to the following.</t>
    </r>
    <r>
      <rPr>
        <sz val="11"/>
        <color rgb="FF000000"/>
        <rFont val="Calibri"/>
      </rPr>
      <t xml:space="preserve">
</t>
    </r>
    <r>
      <rPr>
        <sz val="11"/>
        <color rgb="FF000000"/>
        <rFont val="Calibri"/>
      </rPr>
      <t>- Give READ access to the appropriate groups for these profiles.</t>
    </r>
    <r>
      <rPr>
        <sz val="11"/>
        <color rgb="FF000000"/>
        <rFont val="Calibri"/>
      </rPr>
      <t xml:space="preserve">
</t>
    </r>
    <r>
      <rPr>
        <sz val="11"/>
        <color rgb="FF000000"/>
        <rFont val="Calibri"/>
      </rPr>
      <t>The following is an example of this:</t>
    </r>
    <r>
      <rPr>
        <sz val="11"/>
        <color rgb="FF000000"/>
        <rFont val="Calibri"/>
      </rPr>
      <t xml:space="preserve">
</t>
    </r>
    <r>
      <rPr>
        <sz val="11"/>
        <color rgb="FF006096"/>
        <rFont val="Roboto Condensed"/>
      </rPr>
      <t>RDEFINE SURROGAT executionUserid.DFHSTART OWNER(admin) UACC(NONE)</t>
    </r>
    <r>
      <rPr>
        <sz val="11"/>
        <color rgb="FF006096"/>
        <rFont val="Roboto Condensed"/>
      </rPr>
      <t xml:space="preserve">
</t>
    </r>
    <r>
      <rPr>
        <sz val="11"/>
        <color rgb="FF006096"/>
        <rFont val="Roboto Condensed"/>
      </rPr>
      <t>PERMIT executionUserid.DFHSTART CLASS(SURROGAT) ID(group) ACCESS(READ)</t>
    </r>
    <r>
      <rPr>
        <sz val="11"/>
        <color rgb="FF006096"/>
        <rFont val="Roboto Condensed"/>
      </rPr>
      <t xml:space="preserve">
</t>
    </r>
    <r>
      <rPr>
        <sz val="11"/>
        <color rgb="FF006096"/>
        <rFont val="Roboto Condensed"/>
      </rPr>
      <t>SETROPTS RACLIST(SURROGAT) REFRESH</t>
    </r>
    <r>
      <rPr>
        <sz val="11"/>
        <color rgb="FF006096"/>
        <rFont val="Roboto Condensed"/>
      </rPr>
      <t xml:space="preserve">
</t>
    </r>
    <r>
      <rPr>
        <sz val="11"/>
        <color rgb="FF000000"/>
        <rFont val="Calibri"/>
      </rPr>
      <t xml:space="preserve">
</t>
    </r>
    <r>
      <rPr>
        <sz val="11"/>
        <color rgb="FF000000"/>
        <rFont val="Calibri"/>
      </rPr>
      <t>- Set XUSER=YES</t>
    </r>
    <r>
      <rPr>
        <sz val="11"/>
        <color rgb="FF000000"/>
        <rFont val="Calibri"/>
      </rPr>
      <t xml:space="preserve">
</t>
    </r>
    <r>
      <rPr>
        <sz val="11"/>
        <color rgb="FF000000"/>
        <rFont val="Calibri"/>
      </rPr>
      <t>- Restart CICS</t>
    </r>
  </si>
  <si>
    <r>
      <rPr>
        <sz val="11"/>
        <color rgb="FF000000"/>
        <rFont val="Calibri"/>
      </rPr>
      <t>The CICS SIT option XUSER determines if surrogate security is enabled in CICS.It can be set to the following:</t>
    </r>
    <r>
      <rPr>
        <sz val="11"/>
        <color rgb="FF000000"/>
        <rFont val="Calibri"/>
      </rPr>
      <t xml:space="preserve">
</t>
    </r>
    <r>
      <rPr>
        <sz val="11"/>
        <color rgb="FF000000"/>
        <rFont val="Calibri"/>
      </rPr>
      <t>- YES - Surrogate security is enabled</t>
    </r>
    <r>
      <rPr>
        <sz val="11"/>
        <color rgb="FF000000"/>
        <rFont val="Calibri"/>
      </rPr>
      <t xml:space="preserve">
</t>
    </r>
    <r>
      <rPr>
        <sz val="11"/>
        <color rgb="FF000000"/>
        <rFont val="Calibri"/>
      </rPr>
      <t>- NO  - Surrogate security is disabled</t>
    </r>
  </si>
  <si>
    <r>
      <rPr>
        <sz val="11"/>
        <color rgb="FF000000"/>
        <rFont val="Calibri"/>
      </rPr>
      <t>Introducing surrogate security will require planning to identify which RACF groups should be allowed surrogate access to specific user IDs.</t>
    </r>
  </si>
  <si>
    <r>
      <rPr>
        <sz val="11"/>
        <color rgb="FF000000"/>
        <rFont val="Calibri"/>
      </rPr>
      <t>Issue the z/OSMF Compliance data collection REST API to drive collection of compliance evidence in the SMF 1154 record.</t>
    </r>
    <r>
      <rPr>
        <sz val="11"/>
        <color rgb="FF000000"/>
        <rFont val="Calibri"/>
      </rPr>
      <t xml:space="preserve">
</t>
    </r>
    <r>
      <rPr>
        <sz val="11"/>
        <color rgb="FF006096"/>
        <rFont val="Roboto Condensed"/>
      </rPr>
      <t>https://{host}:{port}/zosmf/compliance/rest/v1/facts</t>
    </r>
    <r>
      <rPr>
        <sz val="11"/>
        <color rgb="FF006096"/>
        <rFont val="Roboto Condensed"/>
      </rPr>
      <t xml:space="preserve">
</t>
    </r>
    <r>
      <rPr>
        <sz val="11"/>
        <color rgb="FF000000"/>
        <rFont val="Calibri"/>
      </rPr>
      <t xml:space="preserve">
</t>
    </r>
    <r>
      <rPr>
        <sz val="11"/>
        <color rgb="FF000000"/>
        <rFont val="Calibri"/>
      </rPr>
      <t>- Wait for the data to be collected; this may take up to a minute in some regions.</t>
    </r>
    <r>
      <rPr>
        <sz val="11"/>
        <color rgb="FF000000"/>
        <rFont val="Calibri"/>
      </rPr>
      <t xml:space="preserve">
</t>
    </r>
    <r>
      <rPr>
        <sz val="11"/>
        <color rgb="FF000000"/>
        <rFont val="Calibri"/>
      </rPr>
      <t>- Customize and run the DFH$54P  sample JCL to create a spreadsheet containing data for all of the CICS TS regions.</t>
    </r>
    <r>
      <rPr>
        <sz val="11"/>
        <color rgb="FF000000"/>
        <rFont val="Calibri"/>
      </rPr>
      <t xml:space="preserve">
</t>
    </r>
    <r>
      <rPr>
        <sz val="11"/>
        <color rgb="FF000000"/>
        <rFont val="Calibri"/>
      </rPr>
      <t>- Open the spreadsheet and review the settings of the XUSER column. They should all be set to YES.</t>
    </r>
    <r>
      <rPr>
        <sz val="11"/>
        <color rgb="FF000000"/>
        <rFont val="Calibri"/>
      </rPr>
      <t xml:space="preserve">
</t>
    </r>
    <r>
      <rPr>
        <sz val="11"/>
        <color rgb="FF000000"/>
        <rFont val="Calibri"/>
      </rPr>
      <t>- List the SURROGAT class by using the RACF command RLIST SURROGAT.</t>
    </r>
    <r>
      <rPr>
        <sz val="11"/>
        <color rgb="FF000000"/>
        <rFont val="Calibri"/>
      </rPr>
      <t xml:space="preserve">
</t>
    </r>
    <r>
      <rPr>
        <sz val="11"/>
        <color rgb="FF000000"/>
        <rFont val="Calibri"/>
      </rPr>
      <t>- Look for the CICS profiles with the following suffixes: DFHSTART, DFHINSTL, DFHEXCI, DFHQUERY.</t>
    </r>
    <r>
      <rPr>
        <sz val="11"/>
        <color rgb="FF000000"/>
        <rFont val="Calibri"/>
      </rPr>
      <t xml:space="preserve">
</t>
    </r>
    <r>
      <rPr>
        <sz val="11"/>
        <color rgb="FF000000"/>
        <rFont val="Calibri"/>
      </rPr>
      <t>Follow these guidelines:</t>
    </r>
    <r>
      <rPr>
        <sz val="11"/>
        <color rgb="FF000000"/>
        <rFont val="Calibri"/>
      </rPr>
      <t xml:space="preserve">
</t>
    </r>
    <r>
      <rPr>
        <sz val="11"/>
        <color rgb="FF000000"/>
        <rFont val="Calibri"/>
      </rPr>
      <t>- All profiles must be defined with UACC(NONE).</t>
    </r>
    <r>
      <rPr>
        <sz val="11"/>
        <color rgb="FF000000"/>
        <rFont val="Calibri"/>
      </rPr>
      <t xml:space="preserve">
</t>
    </r>
    <r>
      <rPr>
        <sz val="11"/>
        <color rgb="FF000000"/>
        <rFont val="Calibri"/>
      </rPr>
      <t>- The users given access to profiles should be defined in groups.</t>
    </r>
    <r>
      <rPr>
        <sz val="11"/>
        <color rgb="FF000000"/>
        <rFont val="Calibri"/>
      </rPr>
      <t xml:space="preserve">
</t>
    </r>
    <r>
      <rPr>
        <sz val="11"/>
        <color rgb="FF000000"/>
        <rFont val="Calibri"/>
      </rPr>
      <t>- The groups should match the roles of users allowed the specific type of surrogate access.</t>
    </r>
    <r>
      <rPr>
        <sz val="11"/>
        <color rgb="FF000000"/>
        <rFont val="Calibri"/>
      </rPr>
      <t xml:space="preserve">
</t>
    </r>
    <r>
      <rPr>
        <sz val="11"/>
        <color rgb="FF000000"/>
        <rFont val="Calibri"/>
      </rPr>
      <t>- The reason for this surrogate access should be documented.</t>
    </r>
  </si>
  <si>
    <r>
      <rPr>
        <sz val="11"/>
        <color rgb="FF000000"/>
        <rFont val="Calibri"/>
      </rPr>
      <t>XUSER=YES</t>
    </r>
  </si>
  <si>
    <t>2.1.1</t>
  </si>
  <si>
    <r>
      <rPr>
        <sz val="11"/>
        <rFont val="Calibri"/>
      </rPr>
      <t>Ensure that passwords are redacted in line traces</t>
    </r>
  </si>
  <si>
    <r>
      <rPr>
        <sz val="11"/>
        <color rgb="FF000000"/>
        <rFont val="Calibri"/>
      </rPr>
      <t>Setting this value to SHOW can reveal passwords and similar sensitive information to someone investigating diagnostic.</t>
    </r>
  </si>
  <si>
    <r>
      <rPr>
        <sz val="11"/>
        <color rgb="FF000000"/>
        <rFont val="Calibri"/>
      </rPr>
      <t>CICS traces out information in a trace data, and in dumps for diagnostic purposes. CICS does not display sensitive information in traced internal function calls, but may display information in certain network trace information. The CONFDATA parameter can be used to redact known sensitive information in network trace information.</t>
    </r>
    <r>
      <rPr>
        <sz val="11"/>
        <color rgb="FF000000"/>
        <rFont val="Calibri"/>
      </rPr>
      <t xml:space="preserve">
</t>
    </r>
    <r>
      <rPr>
        <sz val="11"/>
        <color rgb="FF000000"/>
        <rFont val="Calibri"/>
      </rPr>
      <t>It can be set to the following:</t>
    </r>
    <r>
      <rPr>
        <sz val="11"/>
        <color rgb="FF000000"/>
        <rFont val="Calibri"/>
      </rPr>
      <t xml:space="preserve">
</t>
    </r>
    <r>
      <rPr>
        <sz val="11"/>
        <color rgb="FF000000"/>
        <rFont val="Calibri"/>
      </rPr>
      <t>- HIDE - Sensitive information is redacted</t>
    </r>
    <r>
      <rPr>
        <sz val="11"/>
        <color rgb="FF000000"/>
        <rFont val="Calibri"/>
      </rPr>
      <t xml:space="preserve">
</t>
    </r>
    <r>
      <rPr>
        <sz val="11"/>
        <color rgb="FF000000"/>
        <rFont val="Calibri"/>
      </rPr>
      <t>- SHOW - Sensitive information is visible</t>
    </r>
    <r>
      <rPr>
        <sz val="11"/>
        <color rgb="FF000000"/>
        <rFont val="Calibri"/>
      </rPr>
      <t xml:space="preserve">
</t>
    </r>
    <r>
      <rPr>
        <sz val="11"/>
        <color rgb="FF000000"/>
        <rFont val="Calibri"/>
      </rPr>
      <t>In addition CONFDATA is an option on a transaction definitionsIt can be set to the following:</t>
    </r>
    <r>
      <rPr>
        <sz val="11"/>
        <color rgb="FF000000"/>
        <rFont val="Calibri"/>
      </rPr>
      <t xml:space="preserve">
</t>
    </r>
    <r>
      <rPr>
        <sz val="11"/>
        <color rgb="FF000000"/>
        <rFont val="Calibri"/>
      </rPr>
      <t>- YES - Sensitive data is redacted unless CONFDATA=SHOW is specified</t>
    </r>
    <r>
      <rPr>
        <sz val="11"/>
        <color rgb="FF000000"/>
        <rFont val="Calibri"/>
      </rPr>
      <t xml:space="preserve">
</t>
    </r>
    <r>
      <rPr>
        <sz val="11"/>
        <color rgb="FF000000"/>
        <rFont val="Calibri"/>
      </rPr>
      <t>- NO - Sensitive information is visible</t>
    </r>
  </si>
  <si>
    <r>
      <rPr>
        <sz val="11"/>
        <color rgb="FF000000"/>
        <rFont val="Calibri"/>
      </rPr>
      <t>Issue the z/OSMF Compliance data collection REST API to drive collection of compliance evidence in the SMF 1154 record.</t>
    </r>
    <r>
      <rPr>
        <sz val="11"/>
        <color rgb="FF000000"/>
        <rFont val="Calibri"/>
      </rPr>
      <t xml:space="preserve">
</t>
    </r>
    <r>
      <rPr>
        <sz val="11"/>
        <color rgb="FF006096"/>
        <rFont val="Roboto Condensed"/>
      </rPr>
      <t>https://{host}:{port}/zosmf/compliance/rest/v1/facts</t>
    </r>
    <r>
      <rPr>
        <sz val="11"/>
        <color rgb="FF006096"/>
        <rFont val="Roboto Condensed"/>
      </rPr>
      <t xml:space="preserve">
</t>
    </r>
    <r>
      <rPr>
        <sz val="11"/>
        <color rgb="FF000000"/>
        <rFont val="Calibri"/>
      </rPr>
      <t xml:space="preserve">
</t>
    </r>
    <r>
      <rPr>
        <sz val="11"/>
        <color rgb="FF000000"/>
        <rFont val="Calibri"/>
      </rPr>
      <t>- Wait for the data to be collected; this may take up to a minute in some regions.</t>
    </r>
    <r>
      <rPr>
        <sz val="11"/>
        <color rgb="FF000000"/>
        <rFont val="Calibri"/>
      </rPr>
      <t xml:space="preserve">
</t>
    </r>
    <r>
      <rPr>
        <sz val="11"/>
        <color rgb="FF000000"/>
        <rFont val="Calibri"/>
      </rPr>
      <t>- Customize and run the DFH$54P  sample JCL to create a spreadsheet containing data for all of the CICS TS regions.</t>
    </r>
    <r>
      <rPr>
        <sz val="11"/>
        <color rgb="FF000000"/>
        <rFont val="Calibri"/>
      </rPr>
      <t xml:space="preserve">
</t>
    </r>
    <r>
      <rPr>
        <sz val="11"/>
        <color rgb="FF000000"/>
        <rFont val="Calibri"/>
      </rPr>
      <t>- Open the spreadsheet and review the settings of the CONFDATA column. They should all be set to HIDE.</t>
    </r>
  </si>
  <si>
    <r>
      <rPr>
        <sz val="11"/>
        <color rgb="FF000000"/>
        <rFont val="Calibri"/>
      </rPr>
      <t>CONFDATA=HIDE</t>
    </r>
    <r>
      <rPr>
        <sz val="11"/>
        <color rgb="FF000000"/>
        <rFont val="Calibri"/>
      </rPr>
      <t xml:space="preserve">
</t>
    </r>
    <r>
      <rPr>
        <sz val="11"/>
        <color rgb="FF000000"/>
        <rFont val="Calibri"/>
      </rPr>
      <t>Transaction definitions default to CONFDATA(NO)</t>
    </r>
  </si>
  <si>
    <t>Network Traffic</t>
  </si>
  <si>
    <t>3.1.1</t>
  </si>
  <si>
    <r>
      <rPr>
        <sz val="11"/>
        <rFont val="Calibri"/>
      </rPr>
      <t>Ensure that no unencrypted IP connections use BASICAUTH</t>
    </r>
  </si>
  <si>
    <r>
      <rPr>
        <i/>
        <sz val="11"/>
        <color rgb="FF000000"/>
        <rFont val="Calibri"/>
      </rPr>
      <t>Either</t>
    </r>
    <r>
      <rPr>
        <sz val="11"/>
        <color rgb="FF000000"/>
        <rFont val="Calibri"/>
      </rPr>
      <t xml:space="preserve">
</t>
    </r>
    <r>
      <rPr>
        <sz val="11"/>
        <color rgb="FF000000"/>
        <rFont val="Calibri"/>
      </rPr>
      <t>Configure all TCPIPSERVICE definitions with AUTHENTICATE(BASIC) to have SSL(YES)</t>
    </r>
    <r>
      <rPr>
        <sz val="11"/>
        <color rgb="FF000000"/>
        <rFont val="Calibri"/>
      </rPr>
      <t xml:space="preserve">
</t>
    </r>
    <r>
      <rPr>
        <i/>
        <sz val="11"/>
        <color rgb="FF000000"/>
        <rFont val="Calibri"/>
      </rPr>
      <t>Or</t>
    </r>
    <r>
      <rPr>
        <sz val="11"/>
        <color rgb="FF000000"/>
        <rFont val="Calibri"/>
      </rPr>
      <t xml:space="preserve">
</t>
    </r>
    <r>
      <rPr>
        <sz val="11"/>
        <color rgb="FF000000"/>
        <rFont val="Calibri"/>
      </rPr>
      <t>Create policy definitions in AT-TLS so that all TCPIPSERVICE definitions with AUTHENTICATE(BASIC) use TLS</t>
    </r>
    <r>
      <rPr>
        <sz val="11"/>
        <color rgb="FF000000"/>
        <rFont val="Calibri"/>
      </rPr>
      <t xml:space="preserve">
</t>
    </r>
    <r>
      <rPr>
        <sz val="11"/>
        <color rgb="FF000000"/>
        <rFont val="Calibri"/>
      </rPr>
      <t>Restart CICS</t>
    </r>
  </si>
  <si>
    <r>
      <rPr>
        <sz val="11"/>
        <color rgb="FF000000"/>
        <rFont val="Calibri"/>
      </rPr>
      <t>Passwords should not appear in unencrypted connections. Therefore if basic authentication is specified as the authentication mechanism for a connection, the connection must be secure by TLS. This can be done using configuration options in CICS TS or AT-TLS.</t>
    </r>
    <r>
      <rPr>
        <sz val="11"/>
        <color rgb="FF000000"/>
        <rFont val="Calibri"/>
      </rPr>
      <t xml:space="preserve">
</t>
    </r>
    <r>
      <rPr>
        <sz val="11"/>
        <color rgb="FF000000"/>
        <rFont val="Calibri"/>
      </rPr>
      <t>TCPIPSERVICE definitions with a PROTOCOL(HTTP) or PROTOCOL(USER), and AUTHENTICATE(BASIC) must be secured either by setting SSL(YES) or by using an AT-TLS policy.</t>
    </r>
  </si>
  <si>
    <r>
      <rPr>
        <sz val="11"/>
        <color rgb="FF000000"/>
        <rFont val="Calibri"/>
      </rPr>
      <t>Issue the z/OSMF Compliance data collection REST API to drive collection of compliance evidence in the SMF 1154 record.</t>
    </r>
    <r>
      <rPr>
        <sz val="11"/>
        <color rgb="FF000000"/>
        <rFont val="Calibri"/>
      </rPr>
      <t xml:space="preserve">
</t>
    </r>
    <r>
      <rPr>
        <sz val="11"/>
        <color rgb="FF006096"/>
        <rFont val="Roboto Condensed"/>
      </rPr>
      <t>https://{host}:{port}/zosmf/compliance/rest/v1/facts</t>
    </r>
    <r>
      <rPr>
        <sz val="11"/>
        <color rgb="FF006096"/>
        <rFont val="Roboto Condensed"/>
      </rPr>
      <t xml:space="preserve">
</t>
    </r>
    <r>
      <rPr>
        <sz val="11"/>
        <color rgb="FF000000"/>
        <rFont val="Calibri"/>
      </rPr>
      <t xml:space="preserve">
</t>
    </r>
    <r>
      <rPr>
        <sz val="11"/>
        <color rgb="FF000000"/>
        <rFont val="Calibri"/>
      </rPr>
      <t>- Wait for the data to be collected; this may take up to a minute in some regions.</t>
    </r>
    <r>
      <rPr>
        <sz val="11"/>
        <color rgb="FF000000"/>
        <rFont val="Calibri"/>
      </rPr>
      <t xml:space="preserve">
</t>
    </r>
    <r>
      <rPr>
        <sz val="11"/>
        <color rgb="FF000000"/>
        <rFont val="Calibri"/>
      </rPr>
      <t>- Customize and run the DFH$54P  sample JCL to create a summary of all of the CICS TS regions.</t>
    </r>
    <r>
      <rPr>
        <sz val="11"/>
        <color rgb="FF000000"/>
        <rFont val="Calibri"/>
      </rPr>
      <t xml:space="preserve">
</t>
    </r>
    <r>
      <rPr>
        <sz val="11"/>
        <color rgb="FF000000"/>
        <rFont val="Calibri"/>
      </rPr>
      <t>- Look at the ABBREV section of the output. Search for all entries with SMF1154_80_S4_NAME.</t>
    </r>
    <r>
      <rPr>
        <sz val="11"/>
        <color rgb="FF000000"/>
        <rFont val="Calibri"/>
      </rPr>
      <t xml:space="preserve">
</t>
    </r>
    <r>
      <rPr>
        <sz val="11"/>
        <color rgb="FF000000"/>
        <rFont val="Calibri"/>
      </rPr>
      <t xml:space="preserve">- SMF1154_80_S4_NAME is the name of a TCPIPSERVICE definition. To find the region page back to look at the </t>
    </r>
    <r>
      <rPr>
        <b/>
        <sz val="11"/>
        <color rgb="FF000000"/>
        <rFont val="Calibri"/>
      </rPr>
      <t>1154 Common Header</t>
    </r>
    <r>
      <rPr>
        <sz val="11"/>
        <color rgb="FF000000"/>
        <rFont val="Calibri"/>
      </rPr>
      <t xml:space="preserve"> which will give the Jobname and LPAR SystemName.</t>
    </r>
  </si>
  <si>
    <r>
      <rPr>
        <sz val="11"/>
        <color rgb="FF000000"/>
        <rFont val="Calibri"/>
      </rPr>
      <t>N/A</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</si>
  <si>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</si>
  <si>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</si>
  <si>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</si>
  <si>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</si>
  <si>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</si>
  <si>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</si>
  <si>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</si>
  <si>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</si>
  <si>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</si>
  <si>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</si>
  <si>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</si>
  <si>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</si>
  <si>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</si>
  <si>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</si>
  <si>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</si>
  <si>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</si>
  <si>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</si>
  <si>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</si>
  <si>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</si>
  <si>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</si>
  <si>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</si>
  <si>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</si>
  <si>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</si>
  <si>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</si>
  <si>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</si>
  <si>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</si>
  <si>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</si>
  <si>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</si>
  <si>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</si>
  <si>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IBM CICS Transaction Server 6.1 Benchmark</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</si>
  <si>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</si>
  <si>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</si>
  <si>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</si>
  <si>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02 December 2025     </t>
    </r>
    <r>
      <rPr>
        <b/>
        <sz val="11"/>
        <color rgb="FF000000"/>
        <rFont val="Calibri"/>
      </rPr>
      <t>Recommendation Count:</t>
    </r>
    <r>
      <rPr>
        <sz val="11"/>
        <color rgb="FF000000"/>
        <rFont val="Calibri"/>
      </rPr>
      <t xml:space="preserve"> 8</t>
    </r>
  </si>
  <si>
    <t>Development Url:</t>
  </si>
  <si>
    <t>https://workbench.cisecurity.org/benchmarks/10225</t>
  </si>
  <si>
    <t>Download Url:</t>
  </si>
  <si>
    <t>https://downloads.cisecurity.org/#/</t>
  </si>
  <si>
    <t>Guide Overview:</t>
  </si>
  <si>
    <r>
      <rPr>
        <sz val="11"/>
        <color rgb="FF000000"/>
        <rFont val="Calibri"/>
      </rPr>
      <t>This benchmark provides prescriptive guidance for establishing a secure configuration posture for IBM®  CICS Transaction Server for z/OS®. Refer to https://www.ibm.com/legal/copytrade for listing of United States trademarks owned by IBM and related information.</t>
    </r>
  </si>
  <si>
    <t>Intended Audience:</t>
  </si>
  <si>
    <r>
      <rPr>
        <sz val="11"/>
        <color rgb="FF000000"/>
        <rFont val="Calibri"/>
      </rPr>
      <t>This benchmark is intended for CICS Transaction Server for z/OS system and application administrators, security specialists, and auditors who plan to develop, deploy, assess, or secure solutions that incorporate IBM IBM CICS Transaction Server for z/OS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</si>
  <si>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</si>
  <si>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</si>
  <si>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</si>
  <si>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</si>
  <si>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</si>
  <si>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</si>
  <si>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</si>
  <si>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</si>
  <si>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</si>
  <si>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</si>
  <si>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</si>
  <si>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</si>
  <si>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</si>
  <si>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</si>
  <si>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</si>
  <si>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</si>
  <si>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</si>
  <si>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</si>
  <si>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</si>
  <si>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</si>
  <si>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</si>
  <si>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</si>
  <si>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</si>
  <si>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</si>
  <si>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</si>
  <si>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</si>
  <si>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IBM CICS Transaction Server 6.1 Benchmark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</si>
  <si>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</si>
  <si>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</si>
  <si>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</si>
  <si>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</si>
  <si>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</si>
  <si>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</si>
  <si>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</si>
  <si>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</si>
  <si>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</si>
  <si>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</si>
  <si>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</si>
  <si>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</si>
  <si>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</si>
  <si>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</si>
  <si>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</si>
  <si>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</si>
  <si>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</si>
  <si>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</si>
  <si>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</si>
  <si>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</si>
  <si>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</si>
  <si>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</si>
  <si>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</si>
  <si>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</si>
  <si>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</si>
  <si>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</si>
  <si>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</si>
  <si>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</si>
  <si>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</si>
  <si>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</si>
  <si>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</si>
  <si>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</si>
  <si>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</si>
  <si>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</si>
  <si>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</si>
  <si>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</si>
  <si>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</si>
  <si>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</si>
  <si>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</si>
  <si>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</si>
  <si>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</si>
  <si>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</si>
  <si>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</si>
  <si>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</si>
  <si>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</si>
  <si>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</si>
  <si>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</si>
  <si>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(C78)</t>
  </si>
  <si>
    <t>% Must</t>
  </si>
  <si>
    <t>Should Count (C79)</t>
  </si>
  <si>
    <t>% Should</t>
  </si>
  <si>
    <t>Could Count (C80)</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</si>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</sst>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0E6-4782-953E-756F8294762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0E6-4782-953E-756F8294762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c:v>
                </c:pt>
              </c:numCache>
            </c:numRef>
          </c:val>
          <c:extLst>
            <c:ext xmlns:c16="http://schemas.microsoft.com/office/drawing/2014/chart" uri="{C3380CC4-5D6E-409C-BE32-E72D297353CC}">
              <c16:uniqueId val="{00000002-10E6-4782-953E-756F8294762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7D01-4FE1-80CA-4D2253050F1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7D01-4FE1-80CA-4D2253050F1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8</c:v>
                </c:pt>
              </c:numCache>
            </c:numRef>
          </c:val>
          <c:extLst>
            <c:ext xmlns:c16="http://schemas.microsoft.com/office/drawing/2014/chart" uri="{C3380CC4-5D6E-409C-BE32-E72D297353CC}">
              <c16:uniqueId val="{00000002-7D01-4FE1-80CA-4D2253050F1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F88-4EFF-904E-8D0D8CF52E2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F88-4EFF-904E-8D0D8CF52E2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8</c:v>
                </c:pt>
              </c:numCache>
            </c:numRef>
          </c:val>
          <c:extLst>
            <c:ext xmlns:c16="http://schemas.microsoft.com/office/drawing/2014/chart" uri="{C3380CC4-5D6E-409C-BE32-E72D297353CC}">
              <c16:uniqueId val="{00000002-AF88-4EFF-904E-8D0D8CF52E2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Dashboard!$B$65:$B$65</c:f>
              <c:strCache>
                <c:ptCount val="1"/>
                <c:pt idx="0">
                  <c:v>Manual</c:v>
                </c:pt>
              </c:strCache>
            </c:strRef>
          </c:cat>
          <c:val>
            <c:numRef>
              <c:f>Dashboard!$C$65:$C$65</c:f>
              <c:numCache>
                <c:formatCode>General</c:formatCode>
                <c:ptCount val="1"/>
                <c:pt idx="0">
                  <c:v>0</c:v>
                </c:pt>
              </c:numCache>
            </c:numRef>
          </c:val>
          <c:extLst>
            <c:ext xmlns:c16="http://schemas.microsoft.com/office/drawing/2014/chart" uri="{C3380CC4-5D6E-409C-BE32-E72D297353CC}">
              <c16:uniqueId val="{00000000-D008-451E-9350-11CE65A0799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Dashboard!$B$65:$B$65</c:f>
              <c:strCache>
                <c:ptCount val="1"/>
                <c:pt idx="0">
                  <c:v>Manual</c:v>
                </c:pt>
              </c:strCache>
            </c:strRef>
          </c:cat>
          <c:val>
            <c:numRef>
              <c:f>Dashboard!$D$65:$D$65</c:f>
              <c:numCache>
                <c:formatCode>General</c:formatCode>
                <c:ptCount val="1"/>
                <c:pt idx="0">
                  <c:v>0</c:v>
                </c:pt>
              </c:numCache>
            </c:numRef>
          </c:val>
          <c:extLst>
            <c:ext xmlns:c16="http://schemas.microsoft.com/office/drawing/2014/chart" uri="{C3380CC4-5D6E-409C-BE32-E72D297353CC}">
              <c16:uniqueId val="{00000001-D008-451E-9350-11CE65A0799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Dashboard!$B$65:$B$65</c:f>
              <c:strCache>
                <c:ptCount val="1"/>
                <c:pt idx="0">
                  <c:v>Manual</c:v>
                </c:pt>
              </c:strCache>
            </c:strRef>
          </c:cat>
          <c:val>
            <c:numRef>
              <c:f>Dashboard!$E$65:$E$65</c:f>
              <c:numCache>
                <c:formatCode>General</c:formatCode>
                <c:ptCount val="1"/>
                <c:pt idx="0">
                  <c:v>8</c:v>
                </c:pt>
              </c:numCache>
            </c:numRef>
          </c:val>
          <c:extLst>
            <c:ext xmlns:c16="http://schemas.microsoft.com/office/drawing/2014/chart" uri="{C3380CC4-5D6E-409C-BE32-E72D297353CC}">
              <c16:uniqueId val="{00000002-D008-451E-9350-11CE65A0799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Dashboard!$B$78:$B$82</c:f>
              <c:strCache>
                <c:ptCount val="5"/>
                <c:pt idx="0">
                  <c:v>Must</c:v>
                </c:pt>
                <c:pt idx="1">
                  <c:v>Should</c:v>
                </c:pt>
                <c:pt idx="2">
                  <c:v>Could</c:v>
                </c:pt>
                <c:pt idx="3">
                  <c:v>Won't</c:v>
                </c:pt>
                <c:pt idx="4">
                  <c:v>Unassigned</c:v>
                </c:pt>
              </c:strCache>
            </c:strRef>
          </c:cat>
          <c:val>
            <c:numRef>
              <c:f>Dashboard!$C$78:$C$82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FF6-4A52-8469-10028B0FA3B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Dashboard!$B$78:$B$82</c:f>
              <c:strCache>
                <c:ptCount val="5"/>
                <c:pt idx="0">
                  <c:v>Must</c:v>
                </c:pt>
                <c:pt idx="1">
                  <c:v>Should</c:v>
                </c:pt>
                <c:pt idx="2">
                  <c:v>Could</c:v>
                </c:pt>
                <c:pt idx="3">
                  <c:v>Won't</c:v>
                </c:pt>
                <c:pt idx="4">
                  <c:v>Unassigned</c:v>
                </c:pt>
              </c:strCache>
            </c:strRef>
          </c:cat>
          <c:val>
            <c:numRef>
              <c:f>Dashboard!$D$78:$D$82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FF6-4A52-8469-10028B0FA3B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Dashboard!$B$78:$B$82</c:f>
              <c:strCache>
                <c:ptCount val="5"/>
                <c:pt idx="0">
                  <c:v>Must</c:v>
                </c:pt>
                <c:pt idx="1">
                  <c:v>Should</c:v>
                </c:pt>
                <c:pt idx="2">
                  <c:v>Could</c:v>
                </c:pt>
                <c:pt idx="3">
                  <c:v>Won't</c:v>
                </c:pt>
                <c:pt idx="4">
                  <c:v>Unassigned</c:v>
                </c:pt>
              </c:strCache>
            </c:strRef>
          </c:cat>
          <c:val>
            <c:numRef>
              <c:f>Dashboard!$E$78:$E$82</c:f>
              <c:numCache>
                <c:formatCode>General</c:formatCode>
                <c:ptCount val="5"/>
                <c:pt idx="0">
                  <c:v>0</c:v>
                </c:pt>
                <c:pt idx="1">
                  <c:v>0</c:v>
                </c:pt>
                <c:pt idx="2">
                  <c:v>0</c:v>
                </c:pt>
                <c:pt idx="3">
                  <c:v>0</c:v>
                </c:pt>
                <c:pt idx="4">
                  <c:v>8</c:v>
                </c:pt>
              </c:numCache>
            </c:numRef>
          </c:val>
          <c:extLst>
            <c:ext xmlns:c16="http://schemas.microsoft.com/office/drawing/2014/chart" uri="{C3380CC4-5D6E-409C-BE32-E72D297353CC}">
              <c16:uniqueId val="{00000002-0FF6-4A52-8469-10028B0FA3B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Dashboard!$B$99:$B$102</c:f>
              <c:strCache>
                <c:ptCount val="4"/>
                <c:pt idx="0">
                  <c:v>Low</c:v>
                </c:pt>
                <c:pt idx="1">
                  <c:v>Medium</c:v>
                </c:pt>
                <c:pt idx="2">
                  <c:v>High</c:v>
                </c:pt>
                <c:pt idx="3">
                  <c:v>Unassessed</c:v>
                </c:pt>
              </c:strCache>
            </c:strRef>
          </c:cat>
          <c:val>
            <c:numRef>
              <c:f>Dashboard!$C$99:$C$102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89E-4D43-818C-95635F309C7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Dashboard!$B$99:$B$102</c:f>
              <c:strCache>
                <c:ptCount val="4"/>
                <c:pt idx="0">
                  <c:v>Low</c:v>
                </c:pt>
                <c:pt idx="1">
                  <c:v>Medium</c:v>
                </c:pt>
                <c:pt idx="2">
                  <c:v>High</c:v>
                </c:pt>
                <c:pt idx="3">
                  <c:v>Unassessed</c:v>
                </c:pt>
              </c:strCache>
            </c:strRef>
          </c:cat>
          <c:val>
            <c:numRef>
              <c:f>Dashboard!$D$99:$D$102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89E-4D43-818C-95635F309C7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Dashboard!$B$99:$B$102</c:f>
              <c:strCache>
                <c:ptCount val="4"/>
                <c:pt idx="0">
                  <c:v>Low</c:v>
                </c:pt>
                <c:pt idx="1">
                  <c:v>Medium</c:v>
                </c:pt>
                <c:pt idx="2">
                  <c:v>High</c:v>
                </c:pt>
                <c:pt idx="3">
                  <c:v>Unassessed</c:v>
                </c:pt>
              </c:strCache>
            </c:strRef>
          </c:cat>
          <c:val>
            <c:numRef>
              <c:f>Dashboard!$E$99:$E$102</c:f>
              <c:numCache>
                <c:formatCode>General</c:formatCode>
                <c:ptCount val="4"/>
                <c:pt idx="0">
                  <c:v>0</c:v>
                </c:pt>
                <c:pt idx="1">
                  <c:v>0</c:v>
                </c:pt>
                <c:pt idx="2">
                  <c:v>0</c:v>
                </c:pt>
                <c:pt idx="3">
                  <c:v>8</c:v>
                </c:pt>
              </c:numCache>
            </c:numRef>
          </c:val>
          <c:extLst>
            <c:ext xmlns:c16="http://schemas.microsoft.com/office/drawing/2014/chart" uri="{C3380CC4-5D6E-409C-BE32-E72D297353CC}">
              <c16:uniqueId val="{00000002-A89E-4D43-818C-95635F309C7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Dashboard!$P$135:$P$164</c:f>
              <c:numCache>
                <c:formatCode>yyyy\-mm\-dd</c:formatCode>
                <c:ptCount val="30"/>
              </c:numCache>
            </c:numRef>
          </c:cat>
          <c:val>
            <c:numRef>
              <c:f>Dashboard!$R$135:$R$164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37A-40DD-BC77-114106CA89BC}"/>
            </c:ext>
          </c:extLst>
        </c:ser>
        <c:ser>
          <c:idx val="1"/>
          <c:order val="1"/>
          <c:tx>
            <c:v>Must % Resolved</c:v>
          </c:tx>
          <c:spPr>
            <a:ln w="22225" cap="rnd">
              <a:solidFill>
                <a:schemeClr val="accent2"/>
              </a:solidFill>
              <a:round/>
            </a:ln>
            <a:effectLst/>
          </c:spPr>
          <c:marker>
            <c:symbol val="none"/>
          </c:marker>
          <c:cat>
            <c:numRef>
              <c:f>Dashboard!$P$135:$P$164</c:f>
              <c:numCache>
                <c:formatCode>yyyy\-mm\-dd</c:formatCode>
                <c:ptCount val="30"/>
              </c:numCache>
            </c:numRef>
          </c:cat>
          <c:val>
            <c:numRef>
              <c:f>Dashboard!$T$135:$T$164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37A-40DD-BC77-114106CA89BC}"/>
            </c:ext>
          </c:extLst>
        </c:ser>
        <c:ser>
          <c:idx val="2"/>
          <c:order val="2"/>
          <c:tx>
            <c:v>Should % Resolved</c:v>
          </c:tx>
          <c:spPr>
            <a:ln w="22225" cap="rnd">
              <a:solidFill>
                <a:schemeClr val="accent3"/>
              </a:solidFill>
              <a:round/>
            </a:ln>
            <a:effectLst/>
          </c:spPr>
          <c:marker>
            <c:symbol val="none"/>
          </c:marker>
          <c:cat>
            <c:numRef>
              <c:f>Dashboard!$P$135:$P$164</c:f>
              <c:numCache>
                <c:formatCode>yyyy\-mm\-dd</c:formatCode>
                <c:ptCount val="30"/>
              </c:numCache>
            </c:numRef>
          </c:cat>
          <c:val>
            <c:numRef>
              <c:f>Dashboard!$V$135:$V$164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37A-40DD-BC77-114106CA89BC}"/>
            </c:ext>
          </c:extLst>
        </c:ser>
        <c:ser>
          <c:idx val="3"/>
          <c:order val="3"/>
          <c:tx>
            <c:v>Could % Resolved</c:v>
          </c:tx>
          <c:spPr>
            <a:ln w="22225" cap="rnd">
              <a:solidFill>
                <a:schemeClr val="accent4"/>
              </a:solidFill>
              <a:round/>
            </a:ln>
            <a:effectLst/>
          </c:spPr>
          <c:marker>
            <c:symbol val="none"/>
          </c:marker>
          <c:cat>
            <c:numRef>
              <c:f>Dashboard!$P$135:$P$164</c:f>
              <c:numCache>
                <c:formatCode>yyyy\-mm\-dd</c:formatCode>
                <c:ptCount val="30"/>
              </c:numCache>
            </c:numRef>
          </c:cat>
          <c:val>
            <c:numRef>
              <c:f>Dashboard!$X$135:$X$164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37A-40DD-BC77-114106CA89B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Dashboard!$P$177:$P$196</c:f>
              <c:numCache>
                <c:formatCode>yyyy\-mm\-dd</c:formatCode>
                <c:ptCount val="20"/>
              </c:numCache>
            </c:numRef>
          </c:cat>
          <c:val>
            <c:numRef>
              <c:f>Dashboard!$R$177:$R$196</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894-4DDE-A452-24175A33B10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zfkn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imcbpb">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ej2iqm">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g2zwpt">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74</xdr:row>
      <xdr:rowOff>95250</xdr:rowOff>
    </xdr:from>
    <xdr:to>
      <xdr:col>15</xdr:col>
      <xdr:colOff>28575</xdr:colOff>
      <xdr:row>90</xdr:row>
      <xdr:rowOff>0</xdr:rowOff>
    </xdr:to>
    <xdr:graphicFrame macro="">
      <xdr:nvGraphicFramePr>
        <xdr:cNvPr id="6" name="Chartccysb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93</xdr:row>
      <xdr:rowOff>95250</xdr:rowOff>
    </xdr:from>
    <xdr:to>
      <xdr:col>15</xdr:col>
      <xdr:colOff>28575</xdr:colOff>
      <xdr:row>108</xdr:row>
      <xdr:rowOff>142875</xdr:rowOff>
    </xdr:to>
    <xdr:graphicFrame macro="">
      <xdr:nvGraphicFramePr>
        <xdr:cNvPr id="7" name="Chartd5wcox">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130</xdr:row>
      <xdr:rowOff>95250</xdr:rowOff>
    </xdr:from>
    <xdr:to>
      <xdr:col>14</xdr:col>
      <xdr:colOff>0</xdr:colOff>
      <xdr:row>153</xdr:row>
      <xdr:rowOff>38100</xdr:rowOff>
    </xdr:to>
    <xdr:graphicFrame macro="">
      <xdr:nvGraphicFramePr>
        <xdr:cNvPr id="8" name="Chartbmaio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171</xdr:row>
      <xdr:rowOff>95250</xdr:rowOff>
    </xdr:from>
    <xdr:to>
      <xdr:col>14</xdr:col>
      <xdr:colOff>0</xdr:colOff>
      <xdr:row>189</xdr:row>
      <xdr:rowOff>123825</xdr:rowOff>
    </xdr:to>
    <xdr:graphicFrame macro="">
      <xdr:nvGraphicFramePr>
        <xdr:cNvPr id="9" name="Chartmdgmxk">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9">
  <autoFilter ref="A1:Q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022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82</v>
      </c>
    </row>
    <row r="3" spans="2:3" ht="15" customHeight="1" x14ac:dyDescent="0.35"/>
    <row r="4" spans="2:3" ht="58" x14ac:dyDescent="0.35">
      <c r="B4" s="20" t="s">
        <v>83</v>
      </c>
      <c r="C4" s="21" t="s">
        <v>84</v>
      </c>
    </row>
    <row r="5" spans="2:3" x14ac:dyDescent="0.35">
      <c r="C5" s="21" t="s">
        <v>85</v>
      </c>
    </row>
    <row r="6" spans="2:3" x14ac:dyDescent="0.35">
      <c r="C6" s="18" t="s">
        <v>86</v>
      </c>
    </row>
    <row r="7" spans="2:3" ht="10" customHeight="1" x14ac:dyDescent="0.35"/>
    <row r="8" spans="2:3" ht="232" x14ac:dyDescent="0.35">
      <c r="B8" s="22" t="s">
        <v>87</v>
      </c>
      <c r="C8" s="21" t="s">
        <v>88</v>
      </c>
    </row>
    <row r="9" spans="2:3" ht="10" customHeight="1" x14ac:dyDescent="0.35"/>
    <row r="10" spans="2:3" ht="35" customHeight="1" x14ac:dyDescent="0.35">
      <c r="B10" s="22" t="s">
        <v>89</v>
      </c>
      <c r="C10" s="21" t="s">
        <v>90</v>
      </c>
    </row>
    <row r="11" spans="2:3" ht="75" customHeight="1" x14ac:dyDescent="0.35">
      <c r="B11" s="18" t="s">
        <v>25</v>
      </c>
      <c r="C11" s="21" t="s">
        <v>91</v>
      </c>
    </row>
    <row r="12" spans="2:3" ht="47" customHeight="1" x14ac:dyDescent="0.35">
      <c r="B12" s="18" t="s">
        <v>25</v>
      </c>
      <c r="C12" s="21" t="s">
        <v>92</v>
      </c>
    </row>
    <row r="13" spans="2:3" ht="35" customHeight="1" x14ac:dyDescent="0.35">
      <c r="B13" s="18" t="s">
        <v>25</v>
      </c>
      <c r="C13" s="21" t="s">
        <v>93</v>
      </c>
    </row>
    <row r="14" spans="2:3" ht="32" customHeight="1" x14ac:dyDescent="0.35">
      <c r="B14" s="18" t="s">
        <v>25</v>
      </c>
      <c r="C14" s="21" t="s">
        <v>94</v>
      </c>
    </row>
    <row r="15" spans="2:3" ht="30" customHeight="1" x14ac:dyDescent="0.35">
      <c r="B15" s="18" t="s">
        <v>25</v>
      </c>
      <c r="C15" s="21" t="s">
        <v>95</v>
      </c>
    </row>
    <row r="16" spans="2:3" ht="10" customHeight="1" x14ac:dyDescent="0.35"/>
    <row r="17" spans="1:3" ht="145" customHeight="1" x14ac:dyDescent="0.35">
      <c r="B17" s="22" t="s">
        <v>96</v>
      </c>
      <c r="C17" s="21" t="s">
        <v>97</v>
      </c>
    </row>
    <row r="18" spans="1:3" ht="10" customHeight="1" x14ac:dyDescent="0.35"/>
    <row r="19" spans="1:3" ht="3" customHeight="1" x14ac:dyDescent="0.35">
      <c r="B19" s="23"/>
      <c r="C19" s="23"/>
    </row>
    <row r="20" spans="1:3" ht="12" customHeight="1" x14ac:dyDescent="0.35"/>
    <row r="21" spans="1:3" ht="35" customHeight="1" x14ac:dyDescent="0.35">
      <c r="A21" s="25"/>
      <c r="B21" s="26" t="s">
        <v>98</v>
      </c>
      <c r="C21" s="27" t="s">
        <v>99</v>
      </c>
    </row>
    <row r="22" spans="1:3" ht="18" customHeight="1" x14ac:dyDescent="0.35">
      <c r="A22" s="25"/>
      <c r="B22" s="25" t="s">
        <v>25</v>
      </c>
      <c r="C22" s="27" t="s">
        <v>100</v>
      </c>
    </row>
    <row r="23" spans="1:3" ht="18" customHeight="1" x14ac:dyDescent="0.35">
      <c r="A23" s="25"/>
      <c r="B23" s="25" t="s">
        <v>25</v>
      </c>
      <c r="C23" s="27" t="s">
        <v>101</v>
      </c>
    </row>
    <row r="24" spans="1:3" ht="18" customHeight="1" x14ac:dyDescent="0.35">
      <c r="A24" s="25"/>
      <c r="B24" s="25" t="s">
        <v>25</v>
      </c>
      <c r="C24" s="27" t="s">
        <v>102</v>
      </c>
    </row>
    <row r="25" spans="1:3" ht="18" customHeight="1" x14ac:dyDescent="0.35">
      <c r="A25" s="25"/>
      <c r="B25" s="25" t="s">
        <v>25</v>
      </c>
      <c r="C25" s="27" t="s">
        <v>103</v>
      </c>
    </row>
    <row r="26" spans="1:3" ht="18" customHeight="1" x14ac:dyDescent="0.35">
      <c r="A26" s="25"/>
      <c r="B26" s="25" t="s">
        <v>25</v>
      </c>
      <c r="C26" s="27" t="s">
        <v>104</v>
      </c>
    </row>
    <row r="27" spans="1:3" ht="18" customHeight="1" x14ac:dyDescent="0.35">
      <c r="A27" s="25"/>
      <c r="B27" s="25" t="s">
        <v>25</v>
      </c>
      <c r="C27" s="27" t="s">
        <v>105</v>
      </c>
    </row>
    <row r="28" spans="1:3" ht="18" customHeight="1" x14ac:dyDescent="0.35">
      <c r="A28" s="25"/>
      <c r="B28" s="25" t="s">
        <v>25</v>
      </c>
      <c r="C28" s="27" t="s">
        <v>106</v>
      </c>
    </row>
    <row r="29" spans="1:3" ht="18" customHeight="1" x14ac:dyDescent="0.35">
      <c r="A29" s="25"/>
      <c r="B29" s="25" t="s">
        <v>25</v>
      </c>
      <c r="C29" s="27" t="s">
        <v>107</v>
      </c>
    </row>
    <row r="30" spans="1:3" ht="44" customHeight="1" x14ac:dyDescent="0.35">
      <c r="A30" s="25"/>
      <c r="B30" s="25" t="s">
        <v>25</v>
      </c>
      <c r="C30" s="28" t="s">
        <v>108</v>
      </c>
    </row>
    <row r="31" spans="1:3" ht="10" customHeight="1" x14ac:dyDescent="0.35"/>
    <row r="32" spans="1:3" ht="3" customHeight="1" x14ac:dyDescent="0.35">
      <c r="B32" s="23"/>
      <c r="C32" s="23"/>
    </row>
    <row r="33" spans="2:3" ht="12" customHeight="1" x14ac:dyDescent="0.35"/>
    <row r="34" spans="2:3" ht="24" customHeight="1" x14ac:dyDescent="0.35">
      <c r="B34" s="29" t="s">
        <v>109</v>
      </c>
      <c r="C34" s="30" t="s">
        <v>110</v>
      </c>
    </row>
    <row r="35" spans="2:3" ht="18.5" x14ac:dyDescent="0.35">
      <c r="B35" s="29" t="s">
        <v>111</v>
      </c>
      <c r="C35" s="31" t="s">
        <v>112</v>
      </c>
    </row>
    <row r="36" spans="2:3" ht="27" customHeight="1" x14ac:dyDescent="0.35">
      <c r="B36" s="32" t="s">
        <v>113</v>
      </c>
      <c r="C36" s="24" t="s">
        <v>114</v>
      </c>
    </row>
    <row r="37" spans="2:3" x14ac:dyDescent="0.35">
      <c r="B37" s="29" t="s">
        <v>115</v>
      </c>
      <c r="C37" s="33" t="s">
        <v>116</v>
      </c>
    </row>
    <row r="38" spans="2:3" x14ac:dyDescent="0.35">
      <c r="B38" s="29" t="s">
        <v>117</v>
      </c>
      <c r="C38" s="33" t="s">
        <v>118</v>
      </c>
    </row>
    <row r="39" spans="2:3" ht="10" customHeight="1" x14ac:dyDescent="0.35"/>
    <row r="40" spans="2:3" ht="43.5" x14ac:dyDescent="0.35">
      <c r="B40" s="29" t="s">
        <v>119</v>
      </c>
      <c r="C40" s="34" t="s">
        <v>120</v>
      </c>
    </row>
    <row r="42" spans="2:3" ht="43.5" x14ac:dyDescent="0.35">
      <c r="B42" s="29" t="s">
        <v>121</v>
      </c>
      <c r="C42" s="21" t="s">
        <v>122</v>
      </c>
    </row>
    <row r="43" spans="2:3" ht="10" customHeight="1" x14ac:dyDescent="0.35"/>
    <row r="44" spans="2:3" x14ac:dyDescent="0.35">
      <c r="B44" s="29" t="s">
        <v>123</v>
      </c>
      <c r="C44" s="35" t="s">
        <v>124</v>
      </c>
    </row>
    <row r="45" spans="2:3" ht="72.5" x14ac:dyDescent="0.35">
      <c r="C45" s="21" t="s">
        <v>125</v>
      </c>
    </row>
    <row r="47" spans="2:3" x14ac:dyDescent="0.35">
      <c r="C47" s="35" t="s">
        <v>126</v>
      </c>
    </row>
    <row r="48" spans="2:3" ht="87" x14ac:dyDescent="0.35">
      <c r="C48" s="21" t="s">
        <v>127</v>
      </c>
    </row>
    <row r="49" spans="2:3" ht="10" customHeight="1" x14ac:dyDescent="0.35"/>
    <row r="50" spans="2:3" ht="3" customHeight="1" x14ac:dyDescent="0.35">
      <c r="B50" s="23"/>
      <c r="C50" s="23"/>
    </row>
    <row r="51" spans="2:3" ht="12" customHeight="1" x14ac:dyDescent="0.35"/>
    <row r="52" spans="2:3" ht="130.5" x14ac:dyDescent="0.35">
      <c r="B52" s="20" t="s">
        <v>128</v>
      </c>
      <c r="C52" s="21" t="s">
        <v>129</v>
      </c>
    </row>
    <row r="53" spans="2:3" ht="6" customHeight="1" x14ac:dyDescent="0.35"/>
    <row r="54" spans="2:3" ht="217.5" x14ac:dyDescent="0.35">
      <c r="C54" s="21" t="s">
        <v>130</v>
      </c>
    </row>
    <row r="55" spans="2:3" ht="6" customHeight="1" x14ac:dyDescent="0.35"/>
    <row r="56" spans="2:3" ht="43.5" x14ac:dyDescent="0.35">
      <c r="C56" s="21" t="s">
        <v>131</v>
      </c>
    </row>
    <row r="57" spans="2:3" ht="10" customHeight="1" x14ac:dyDescent="0.35"/>
    <row r="58" spans="2:3" ht="3" customHeight="1" x14ac:dyDescent="0.35">
      <c r="B58" s="23"/>
      <c r="C58" s="23"/>
    </row>
    <row r="59" spans="2:3" ht="12" customHeight="1" x14ac:dyDescent="0.35"/>
    <row r="60" spans="2:3" ht="145" x14ac:dyDescent="0.35">
      <c r="B60" s="20" t="s">
        <v>132</v>
      </c>
      <c r="C60" s="21" t="s">
        <v>133</v>
      </c>
    </row>
    <row r="61" spans="2:3" ht="6" customHeight="1" x14ac:dyDescent="0.35"/>
    <row r="62" spans="2:3" ht="203" x14ac:dyDescent="0.35">
      <c r="C62" s="21" t="s">
        <v>134</v>
      </c>
    </row>
    <row r="63" spans="2:3" ht="6" customHeight="1" x14ac:dyDescent="0.35"/>
    <row r="64" spans="2:3" ht="43.5" x14ac:dyDescent="0.35">
      <c r="C64" s="21" t="s">
        <v>135</v>
      </c>
    </row>
    <row r="65" spans="2:3" ht="10" customHeight="1" x14ac:dyDescent="0.35"/>
    <row r="66" spans="2:3" ht="3" customHeight="1" x14ac:dyDescent="0.35">
      <c r="B66" s="23"/>
      <c r="C66" s="23"/>
    </row>
    <row r="67" spans="2:3" ht="12" customHeight="1" x14ac:dyDescent="0.35"/>
    <row r="68" spans="2:3" ht="101.5" x14ac:dyDescent="0.35">
      <c r="B68" s="20" t="s">
        <v>136</v>
      </c>
      <c r="C68" s="21" t="s">
        <v>137</v>
      </c>
    </row>
    <row r="69" spans="2:3" ht="6" customHeight="1" x14ac:dyDescent="0.35"/>
    <row r="70" spans="2:3" ht="145" x14ac:dyDescent="0.35">
      <c r="C70" s="21" t="s">
        <v>138</v>
      </c>
    </row>
    <row r="71" spans="2:3" ht="6" customHeight="1" x14ac:dyDescent="0.35"/>
    <row r="72" spans="2:3" ht="43.5" x14ac:dyDescent="0.35">
      <c r="C72" s="21" t="s">
        <v>139</v>
      </c>
    </row>
    <row r="73" spans="2:3" ht="10" customHeight="1" x14ac:dyDescent="0.35"/>
    <row r="74" spans="2:3" ht="3" customHeight="1" x14ac:dyDescent="0.35">
      <c r="B74" s="23"/>
      <c r="C74" s="23"/>
    </row>
    <row r="75" spans="2:3" ht="12" customHeight="1" x14ac:dyDescent="0.35"/>
    <row r="76" spans="2:3" ht="26" customHeight="1" x14ac:dyDescent="0.35">
      <c r="B76" s="36" t="s">
        <v>140</v>
      </c>
    </row>
    <row r="77" spans="2:3" ht="8" customHeight="1" x14ac:dyDescent="0.35"/>
    <row r="78" spans="2:3" ht="20" customHeight="1" x14ac:dyDescent="0.35">
      <c r="B78" s="29" t="s">
        <v>141</v>
      </c>
      <c r="C78" s="37" t="s">
        <v>142</v>
      </c>
    </row>
    <row r="79" spans="2:3" ht="116" x14ac:dyDescent="0.35">
      <c r="C79" s="21" t="s">
        <v>143</v>
      </c>
    </row>
    <row r="80" spans="2:3" ht="10" customHeight="1" x14ac:dyDescent="0.35"/>
    <row r="83" spans="2:3" ht="32" customHeight="1" x14ac:dyDescent="0.35">
      <c r="B83" s="106" t="s">
        <v>81</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0"/>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144</v>
      </c>
      <c r="C2" s="108"/>
      <c r="D2" s="108"/>
      <c r="E2" s="108"/>
      <c r="F2" s="108"/>
      <c r="G2" s="108"/>
      <c r="H2" s="108"/>
      <c r="I2" s="108"/>
    </row>
    <row r="4" spans="2:15" ht="18.5" x14ac:dyDescent="0.45">
      <c r="B4" s="39" t="s">
        <v>145</v>
      </c>
    </row>
    <row r="5" spans="2:15" x14ac:dyDescent="0.35">
      <c r="B5" s="41" t="s">
        <v>25</v>
      </c>
      <c r="C5" s="41" t="s">
        <v>146</v>
      </c>
      <c r="D5" s="41" t="s">
        <v>147</v>
      </c>
      <c r="F5" s="109" t="s">
        <v>148</v>
      </c>
      <c r="G5" s="109"/>
      <c r="H5" s="109"/>
      <c r="I5" s="110" t="s">
        <v>149</v>
      </c>
      <c r="J5" s="110"/>
      <c r="K5" s="110"/>
      <c r="L5" s="110"/>
      <c r="M5" s="110"/>
      <c r="N5" s="110"/>
      <c r="O5" s="110"/>
    </row>
    <row r="6" spans="2:15" x14ac:dyDescent="0.35">
      <c r="B6" s="47" t="s">
        <v>150</v>
      </c>
      <c r="C6" s="48">
        <v>8</v>
      </c>
      <c r="D6" s="49" t="s">
        <v>25</v>
      </c>
      <c r="F6" s="109" t="s">
        <v>151</v>
      </c>
      <c r="G6" s="109"/>
      <c r="H6" s="109"/>
      <c r="I6" s="111" t="s">
        <v>152</v>
      </c>
      <c r="J6" s="111"/>
      <c r="K6" s="111"/>
      <c r="L6" s="111"/>
      <c r="M6" s="111"/>
      <c r="N6" s="111"/>
      <c r="O6" s="111"/>
    </row>
    <row r="7" spans="2:15" x14ac:dyDescent="0.35">
      <c r="B7" s="50" t="s">
        <v>153</v>
      </c>
      <c r="C7" s="51">
        <f>C6-C8-C9</f>
        <v>8</v>
      </c>
      <c r="D7" s="52">
        <f>IF(C6&gt;0,C7/C6,0)</f>
        <v>1</v>
      </c>
      <c r="F7" s="109" t="s">
        <v>154</v>
      </c>
      <c r="G7" s="109"/>
      <c r="H7" s="109"/>
      <c r="I7" s="111" t="s">
        <v>152</v>
      </c>
      <c r="J7" s="111"/>
      <c r="K7" s="111"/>
      <c r="L7" s="111"/>
      <c r="M7" s="111"/>
      <c r="N7" s="111"/>
      <c r="O7" s="111"/>
    </row>
    <row r="8" spans="2:15" x14ac:dyDescent="0.35">
      <c r="B8" s="43" t="s">
        <v>155</v>
      </c>
      <c r="C8" s="44">
        <f>COUNTIF('Recommendations'!I:I,"Risk Accepted")</f>
        <v>0</v>
      </c>
      <c r="D8" s="45">
        <f>IF(C6&gt;0,C8/C6,0)</f>
        <v>0</v>
      </c>
      <c r="F8" s="109" t="s">
        <v>156</v>
      </c>
      <c r="G8" s="109"/>
      <c r="H8" s="109"/>
      <c r="I8" s="111" t="s">
        <v>152</v>
      </c>
      <c r="J8" s="111"/>
      <c r="K8" s="111"/>
      <c r="L8" s="111"/>
      <c r="M8" s="111"/>
      <c r="N8" s="111"/>
      <c r="O8" s="111"/>
    </row>
    <row r="9" spans="2:15" x14ac:dyDescent="0.35">
      <c r="B9" s="43" t="s">
        <v>157</v>
      </c>
      <c r="C9" s="44">
        <f>COUNTIF('Recommendations'!I:I,"N/A")</f>
        <v>0</v>
      </c>
      <c r="D9" s="45">
        <f>IF(C6&gt;0,C9/C6,0)</f>
        <v>0</v>
      </c>
      <c r="F9" s="109" t="s">
        <v>158</v>
      </c>
      <c r="G9" s="109"/>
      <c r="H9" s="109"/>
      <c r="I9" s="111" t="s">
        <v>152</v>
      </c>
      <c r="J9" s="111"/>
      <c r="K9" s="111"/>
      <c r="L9" s="111"/>
      <c r="M9" s="111"/>
      <c r="N9" s="111"/>
      <c r="O9" s="111"/>
    </row>
    <row r="12" spans="2:15" ht="18.5" x14ac:dyDescent="0.45">
      <c r="B12" s="39" t="s">
        <v>159</v>
      </c>
    </row>
    <row r="14" spans="2:15" x14ac:dyDescent="0.35">
      <c r="B14" s="53" t="s">
        <v>160</v>
      </c>
    </row>
    <row r="15" spans="2:15" x14ac:dyDescent="0.35">
      <c r="B15" s="41" t="s">
        <v>25</v>
      </c>
      <c r="C15" s="41" t="s">
        <v>161</v>
      </c>
      <c r="D15" s="41" t="s">
        <v>162</v>
      </c>
      <c r="E15" s="41" t="s">
        <v>163</v>
      </c>
      <c r="F15" s="41" t="s">
        <v>164</v>
      </c>
    </row>
    <row r="16" spans="2:15" x14ac:dyDescent="0.35">
      <c r="B16" s="43" t="s">
        <v>165</v>
      </c>
      <c r="C16" s="44">
        <f>COUNTIF('Recommendations'!P:P,"Resolved")</f>
        <v>0</v>
      </c>
      <c r="D16" s="44">
        <f>COUNTIF('Recommendations'!P:P,"Testing")</f>
        <v>0</v>
      </c>
      <c r="E16" s="44">
        <f>COUNTIF('Recommendations'!P:P,"Outstanding")</f>
        <v>8</v>
      </c>
      <c r="F16" s="44">
        <f>SUM(C16:E16)</f>
        <v>8</v>
      </c>
    </row>
    <row r="18" spans="2:6" x14ac:dyDescent="0.35">
      <c r="B18" s="53" t="s">
        <v>166</v>
      </c>
    </row>
    <row r="19" spans="2:6" x14ac:dyDescent="0.35">
      <c r="B19" s="54" t="s">
        <v>25</v>
      </c>
      <c r="C19" s="54" t="s">
        <v>161</v>
      </c>
      <c r="D19" s="54" t="s">
        <v>162</v>
      </c>
      <c r="E19" s="54" t="s">
        <v>163</v>
      </c>
      <c r="F19" s="54" t="s">
        <v>25</v>
      </c>
    </row>
    <row r="20" spans="2:6" x14ac:dyDescent="0.35">
      <c r="B20" s="43" t="s">
        <v>165</v>
      </c>
      <c r="C20" s="45">
        <f>IF(F16&gt;0, C16/F16, 0)</f>
        <v>0</v>
      </c>
      <c r="D20" s="45">
        <f>IF(F16&gt;0, D16/F16, 0)</f>
        <v>0</v>
      </c>
      <c r="E20" s="45">
        <f>IF(F16&gt;0, E16/F16, 0)</f>
        <v>1</v>
      </c>
      <c r="F20" s="46" t="s">
        <v>25</v>
      </c>
    </row>
    <row r="25" spans="2:6" ht="18.5" x14ac:dyDescent="0.45">
      <c r="B25" s="39" t="s">
        <v>167</v>
      </c>
    </row>
    <row r="27" spans="2:6" x14ac:dyDescent="0.35">
      <c r="B27" s="53" t="s">
        <v>160</v>
      </c>
    </row>
    <row r="28" spans="2:6" x14ac:dyDescent="0.35">
      <c r="B28" s="41" t="s">
        <v>4</v>
      </c>
      <c r="C28" s="41" t="s">
        <v>161</v>
      </c>
      <c r="D28" s="41" t="s">
        <v>162</v>
      </c>
      <c r="E28" s="41" t="s">
        <v>163</v>
      </c>
      <c r="F28" s="41" t="s">
        <v>164</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8</v>
      </c>
      <c r="F29" s="44">
        <f>SUM(C29:E29)</f>
        <v>8</v>
      </c>
    </row>
    <row r="31" spans="2:6" x14ac:dyDescent="0.35">
      <c r="B31" s="53" t="s">
        <v>166</v>
      </c>
    </row>
    <row r="32" spans="2:6" x14ac:dyDescent="0.35">
      <c r="B32" s="54" t="s">
        <v>4</v>
      </c>
      <c r="C32" s="54" t="s">
        <v>161</v>
      </c>
      <c r="D32" s="54" t="s">
        <v>162</v>
      </c>
      <c r="E32" s="54" t="s">
        <v>163</v>
      </c>
      <c r="F32" s="54" t="s">
        <v>25</v>
      </c>
    </row>
    <row r="33" spans="2:6" x14ac:dyDescent="0.35">
      <c r="B33" s="43" t="s">
        <v>21</v>
      </c>
      <c r="C33" s="45">
        <f>IF(F29&gt;0, C29/F29, 0)</f>
        <v>0</v>
      </c>
      <c r="D33" s="45">
        <f>IF(F29&gt;0, D29/F29, 0)</f>
        <v>0</v>
      </c>
      <c r="E33" s="45">
        <f>IF(F29&gt;0, E29/F29, 0)</f>
        <v>1</v>
      </c>
      <c r="F33" s="46" t="s">
        <v>25</v>
      </c>
    </row>
    <row r="38" spans="2:6" ht="18.5" x14ac:dyDescent="0.45">
      <c r="B38" s="39" t="s">
        <v>168</v>
      </c>
    </row>
    <row r="40" spans="2:6" x14ac:dyDescent="0.35">
      <c r="B40" s="53" t="s">
        <v>160</v>
      </c>
    </row>
    <row r="41" spans="2:6" x14ac:dyDescent="0.35">
      <c r="B41" s="41" t="s">
        <v>7</v>
      </c>
      <c r="C41" s="41" t="s">
        <v>161</v>
      </c>
      <c r="D41" s="41" t="s">
        <v>162</v>
      </c>
      <c r="E41" s="41" t="s">
        <v>163</v>
      </c>
      <c r="F41" s="41" t="s">
        <v>164</v>
      </c>
    </row>
    <row r="42" spans="2:6" x14ac:dyDescent="0.35">
      <c r="B42" s="43" t="s">
        <v>169</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170</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171</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172</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173</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8</v>
      </c>
      <c r="F47" s="44">
        <f t="shared" si="0"/>
        <v>8</v>
      </c>
    </row>
    <row r="49" spans="2:6" x14ac:dyDescent="0.35">
      <c r="B49" s="53" t="s">
        <v>166</v>
      </c>
    </row>
    <row r="50" spans="2:6" x14ac:dyDescent="0.35">
      <c r="B50" s="54" t="s">
        <v>7</v>
      </c>
      <c r="C50" s="54" t="s">
        <v>161</v>
      </c>
      <c r="D50" s="54" t="s">
        <v>162</v>
      </c>
      <c r="E50" s="54" t="s">
        <v>163</v>
      </c>
      <c r="F50" s="54" t="s">
        <v>25</v>
      </c>
    </row>
    <row r="51" spans="2:6" x14ac:dyDescent="0.35">
      <c r="B51" s="43" t="s">
        <v>169</v>
      </c>
      <c r="C51" s="45">
        <f t="shared" ref="C51:C56" si="1">IF(F42&gt;0, C42/F42, 0)</f>
        <v>0</v>
      </c>
      <c r="D51" s="45">
        <f t="shared" ref="D51:D56" si="2">IF(F42&gt;0, D42/F42, 0)</f>
        <v>0</v>
      </c>
      <c r="E51" s="45">
        <f t="shared" ref="E51:E56" si="3">IF(F42&gt;0, E42/F42, 0)</f>
        <v>0</v>
      </c>
      <c r="F51" s="46" t="s">
        <v>25</v>
      </c>
    </row>
    <row r="52" spans="2:6" x14ac:dyDescent="0.35">
      <c r="B52" s="43" t="s">
        <v>170</v>
      </c>
      <c r="C52" s="45">
        <f t="shared" si="1"/>
        <v>0</v>
      </c>
      <c r="D52" s="45">
        <f t="shared" si="2"/>
        <v>0</v>
      </c>
      <c r="E52" s="45">
        <f t="shared" si="3"/>
        <v>0</v>
      </c>
      <c r="F52" s="46" t="s">
        <v>25</v>
      </c>
    </row>
    <row r="53" spans="2:6" x14ac:dyDescent="0.35">
      <c r="B53" s="43" t="s">
        <v>171</v>
      </c>
      <c r="C53" s="45">
        <f t="shared" si="1"/>
        <v>0</v>
      </c>
      <c r="D53" s="45">
        <f t="shared" si="2"/>
        <v>0</v>
      </c>
      <c r="E53" s="45">
        <f t="shared" si="3"/>
        <v>0</v>
      </c>
      <c r="F53" s="46" t="s">
        <v>25</v>
      </c>
    </row>
    <row r="54" spans="2:6" x14ac:dyDescent="0.35">
      <c r="B54" s="43" t="s">
        <v>172</v>
      </c>
      <c r="C54" s="45">
        <f t="shared" si="1"/>
        <v>0</v>
      </c>
      <c r="D54" s="45">
        <f t="shared" si="2"/>
        <v>0</v>
      </c>
      <c r="E54" s="45">
        <f t="shared" si="3"/>
        <v>0</v>
      </c>
      <c r="F54" s="46" t="s">
        <v>25</v>
      </c>
    </row>
    <row r="55" spans="2:6" x14ac:dyDescent="0.35">
      <c r="B55" s="43" t="s">
        <v>173</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174</v>
      </c>
    </row>
    <row r="63" spans="2:6" x14ac:dyDescent="0.35">
      <c r="B63" s="53" t="s">
        <v>160</v>
      </c>
    </row>
    <row r="64" spans="2:6" x14ac:dyDescent="0.35">
      <c r="B64" s="41" t="s">
        <v>3</v>
      </c>
      <c r="C64" s="41" t="s">
        <v>161</v>
      </c>
      <c r="D64" s="41" t="s">
        <v>162</v>
      </c>
      <c r="E64" s="41" t="s">
        <v>163</v>
      </c>
      <c r="F64" s="41" t="s">
        <v>164</v>
      </c>
    </row>
    <row r="65" spans="2:6" x14ac:dyDescent="0.35">
      <c r="B65" s="43" t="s">
        <v>20</v>
      </c>
      <c r="C65" s="44">
        <f>COUNTIFS('Recommendations'!D:D,"Manual",'Recommendations'!P:P,"=Resolved")</f>
        <v>0</v>
      </c>
      <c r="D65" s="44">
        <f>COUNTIFS('Recommendations'!D:D,"=Manual",'Recommendations'!P:P,"=Testing")</f>
        <v>0</v>
      </c>
      <c r="E65" s="44">
        <f>COUNTIFS('Recommendations'!D:D,"=Manual",'Recommendations'!P:P,"=Outstanding")</f>
        <v>8</v>
      </c>
      <c r="F65" s="44">
        <f>SUM(C65:E65)</f>
        <v>8</v>
      </c>
    </row>
    <row r="67" spans="2:6" x14ac:dyDescent="0.35">
      <c r="B67" s="53" t="s">
        <v>166</v>
      </c>
    </row>
    <row r="68" spans="2:6" x14ac:dyDescent="0.35">
      <c r="B68" s="54" t="s">
        <v>3</v>
      </c>
      <c r="C68" s="54" t="s">
        <v>161</v>
      </c>
      <c r="D68" s="54" t="s">
        <v>162</v>
      </c>
      <c r="E68" s="54" t="s">
        <v>163</v>
      </c>
      <c r="F68" s="54" t="s">
        <v>25</v>
      </c>
    </row>
    <row r="69" spans="2:6" x14ac:dyDescent="0.35">
      <c r="B69" s="43" t="s">
        <v>20</v>
      </c>
      <c r="C69" s="45">
        <f>IF(F65&gt;0, C65/F65, 0)</f>
        <v>0</v>
      </c>
      <c r="D69" s="45">
        <f>IF(F65&gt;0, D65/F65, 0)</f>
        <v>0</v>
      </c>
      <c r="E69" s="45">
        <f>IF(F65&gt;0, E65/F65, 0)</f>
        <v>1</v>
      </c>
      <c r="F69" s="46" t="s">
        <v>25</v>
      </c>
    </row>
    <row r="74" spans="2:6" ht="18.5" x14ac:dyDescent="0.45">
      <c r="B74" s="39" t="s">
        <v>175</v>
      </c>
    </row>
    <row r="76" spans="2:6" x14ac:dyDescent="0.35">
      <c r="B76" s="53" t="s">
        <v>160</v>
      </c>
    </row>
    <row r="77" spans="2:6" x14ac:dyDescent="0.35">
      <c r="B77" s="41" t="s">
        <v>5</v>
      </c>
      <c r="C77" s="41" t="s">
        <v>161</v>
      </c>
      <c r="D77" s="41" t="s">
        <v>162</v>
      </c>
      <c r="E77" s="41" t="s">
        <v>163</v>
      </c>
      <c r="F77" s="41" t="s">
        <v>164</v>
      </c>
    </row>
    <row r="78" spans="2:6" x14ac:dyDescent="0.35">
      <c r="B78" s="43" t="s">
        <v>176</v>
      </c>
      <c r="C78" s="44">
        <f>COUNTIFS('Recommendations'!F:F,"Must",'Recommendations'!P:P,"=Resolved")</f>
        <v>0</v>
      </c>
      <c r="D78" s="44">
        <f>COUNTIFS('Recommendations'!F:F,"=Must",'Recommendations'!P:P,"=Testing")</f>
        <v>0</v>
      </c>
      <c r="E78" s="44">
        <f>COUNTIFS('Recommendations'!F:F,"=Must",'Recommendations'!P:P,"=Outstanding")</f>
        <v>0</v>
      </c>
      <c r="F78" s="44">
        <f>SUM(C78:E78)</f>
        <v>0</v>
      </c>
    </row>
    <row r="79" spans="2:6" x14ac:dyDescent="0.35">
      <c r="B79" s="43" t="s">
        <v>177</v>
      </c>
      <c r="C79" s="44">
        <f>COUNTIFS('Recommendations'!F:F,"Should",'Recommendations'!P:P,"=Resolved")</f>
        <v>0</v>
      </c>
      <c r="D79" s="44">
        <f>COUNTIFS('Recommendations'!F:F,"=Should",'Recommendations'!P:P,"=Testing")</f>
        <v>0</v>
      </c>
      <c r="E79" s="44">
        <f>COUNTIFS('Recommendations'!F:F,"=Should",'Recommendations'!P:P,"=Outstanding")</f>
        <v>0</v>
      </c>
      <c r="F79" s="44">
        <f>SUM(C79:E79)</f>
        <v>0</v>
      </c>
    </row>
    <row r="80" spans="2:6" x14ac:dyDescent="0.35">
      <c r="B80" s="43" t="s">
        <v>178</v>
      </c>
      <c r="C80" s="44">
        <f>COUNTIFS('Recommendations'!F:F,"Could",'Recommendations'!P:P,"=Resolved")</f>
        <v>0</v>
      </c>
      <c r="D80" s="44">
        <f>COUNTIFS('Recommendations'!F:F,"=Could",'Recommendations'!P:P,"=Testing")</f>
        <v>0</v>
      </c>
      <c r="E80" s="44">
        <f>COUNTIFS('Recommendations'!F:F,"=Could",'Recommendations'!P:P,"=Outstanding")</f>
        <v>0</v>
      </c>
      <c r="F80" s="44">
        <f>SUM(C80:E80)</f>
        <v>0</v>
      </c>
    </row>
    <row r="81" spans="2:6" x14ac:dyDescent="0.35">
      <c r="B81" s="43" t="s">
        <v>179</v>
      </c>
      <c r="C81" s="44">
        <f>COUNTIFS('Recommendations'!F:F,"Won't",'Recommendations'!P:P,"=Resolved")</f>
        <v>0</v>
      </c>
      <c r="D81" s="44">
        <f>COUNTIFS('Recommendations'!F:F,"=Won't",'Recommendations'!P:P,"=Testing")</f>
        <v>0</v>
      </c>
      <c r="E81" s="44">
        <f>COUNTIFS('Recommendations'!F:F,"=Won't",'Recommendations'!P:P,"=Outstanding")</f>
        <v>0</v>
      </c>
      <c r="F81" s="44">
        <f>SUM(C81:E81)</f>
        <v>0</v>
      </c>
    </row>
    <row r="82" spans="2:6" x14ac:dyDescent="0.35">
      <c r="B82" s="43" t="s">
        <v>22</v>
      </c>
      <c r="C82" s="44">
        <f>COUNTIFS('Recommendations'!F:F,"Unassigned",'Recommendations'!P:P,"=Resolved")</f>
        <v>0</v>
      </c>
      <c r="D82" s="44">
        <f>COUNTIFS('Recommendations'!F:F,"=Unassigned",'Recommendations'!P:P,"=Testing")</f>
        <v>0</v>
      </c>
      <c r="E82" s="44">
        <f>COUNTIFS('Recommendations'!F:F,"=Unassigned",'Recommendations'!P:P,"=Outstanding")</f>
        <v>8</v>
      </c>
      <c r="F82" s="44">
        <f>SUM(C82:E82)</f>
        <v>8</v>
      </c>
    </row>
    <row r="84" spans="2:6" x14ac:dyDescent="0.35">
      <c r="B84" s="53" t="s">
        <v>166</v>
      </c>
    </row>
    <row r="85" spans="2:6" x14ac:dyDescent="0.35">
      <c r="B85" s="54" t="s">
        <v>5</v>
      </c>
      <c r="C85" s="54" t="s">
        <v>161</v>
      </c>
      <c r="D85" s="54" t="s">
        <v>162</v>
      </c>
      <c r="E85" s="54" t="s">
        <v>163</v>
      </c>
      <c r="F85" s="54" t="s">
        <v>25</v>
      </c>
    </row>
    <row r="86" spans="2:6" x14ac:dyDescent="0.35">
      <c r="B86" s="43" t="s">
        <v>176</v>
      </c>
      <c r="C86" s="45">
        <f>IF(F78&gt;0, C78/F78, 0)</f>
        <v>0</v>
      </c>
      <c r="D86" s="45">
        <f>IF(F78&gt;0, D78/F78, 0)</f>
        <v>0</v>
      </c>
      <c r="E86" s="45">
        <f>IF(F78&gt;0, E78/F78, 0)</f>
        <v>0</v>
      </c>
      <c r="F86" s="46" t="s">
        <v>25</v>
      </c>
    </row>
    <row r="87" spans="2:6" x14ac:dyDescent="0.35">
      <c r="B87" s="43" t="s">
        <v>177</v>
      </c>
      <c r="C87" s="45">
        <f>IF(F79&gt;0, C79/F79, 0)</f>
        <v>0</v>
      </c>
      <c r="D87" s="45">
        <f>IF(F79&gt;0, D79/F79, 0)</f>
        <v>0</v>
      </c>
      <c r="E87" s="45">
        <f>IF(F79&gt;0, E79/F79, 0)</f>
        <v>0</v>
      </c>
      <c r="F87" s="46" t="s">
        <v>25</v>
      </c>
    </row>
    <row r="88" spans="2:6" x14ac:dyDescent="0.35">
      <c r="B88" s="43" t="s">
        <v>178</v>
      </c>
      <c r="C88" s="45">
        <f>IF(F80&gt;0, C80/F80, 0)</f>
        <v>0</v>
      </c>
      <c r="D88" s="45">
        <f>IF(F80&gt;0, D80/F80, 0)</f>
        <v>0</v>
      </c>
      <c r="E88" s="45">
        <f>IF(F80&gt;0, E80/F80, 0)</f>
        <v>0</v>
      </c>
      <c r="F88" s="46" t="s">
        <v>25</v>
      </c>
    </row>
    <row r="89" spans="2:6" x14ac:dyDescent="0.35">
      <c r="B89" s="43" t="s">
        <v>179</v>
      </c>
      <c r="C89" s="45">
        <f>IF(F81&gt;0, C81/F81, 0)</f>
        <v>0</v>
      </c>
      <c r="D89" s="45">
        <f>IF(F81&gt;0, D81/F81, 0)</f>
        <v>0</v>
      </c>
      <c r="E89" s="45">
        <f>IF(F81&gt;0, E81/F81, 0)</f>
        <v>0</v>
      </c>
      <c r="F89" s="46" t="s">
        <v>25</v>
      </c>
    </row>
    <row r="90" spans="2:6" x14ac:dyDescent="0.35">
      <c r="B90" s="43" t="s">
        <v>22</v>
      </c>
      <c r="C90" s="45">
        <f>IF(F82&gt;0, C82/F82, 0)</f>
        <v>0</v>
      </c>
      <c r="D90" s="45">
        <f>IF(F82&gt;0, D82/F82, 0)</f>
        <v>0</v>
      </c>
      <c r="E90" s="45">
        <f>IF(F82&gt;0, E82/F82, 0)</f>
        <v>1</v>
      </c>
      <c r="F90" s="46" t="s">
        <v>25</v>
      </c>
    </row>
    <row r="95" spans="2:6" ht="18.5" x14ac:dyDescent="0.45">
      <c r="B95" s="39" t="s">
        <v>180</v>
      </c>
    </row>
    <row r="97" spans="2:6" x14ac:dyDescent="0.35">
      <c r="B97" s="53" t="s">
        <v>160</v>
      </c>
    </row>
    <row r="98" spans="2:6" x14ac:dyDescent="0.35">
      <c r="B98" s="41" t="s">
        <v>181</v>
      </c>
      <c r="C98" s="41" t="s">
        <v>161</v>
      </c>
      <c r="D98" s="41" t="s">
        <v>162</v>
      </c>
      <c r="E98" s="41" t="s">
        <v>163</v>
      </c>
      <c r="F98" s="41" t="s">
        <v>164</v>
      </c>
    </row>
    <row r="99" spans="2:6" x14ac:dyDescent="0.35">
      <c r="B99" s="43" t="s">
        <v>182</v>
      </c>
      <c r="C99" s="44">
        <f>COUNTIFS('Recommendations'!G:G,"Low",'Recommendations'!P:P,"=Resolved")</f>
        <v>0</v>
      </c>
      <c r="D99" s="44">
        <f>COUNTIFS('Recommendations'!G:G,"=Low",'Recommendations'!P:P,"=Testing")</f>
        <v>0</v>
      </c>
      <c r="E99" s="44">
        <f>COUNTIFS('Recommendations'!G:G,"=Low",'Recommendations'!P:P,"=Outstanding")</f>
        <v>0</v>
      </c>
      <c r="F99" s="44">
        <f>SUM(C99:E99)</f>
        <v>0</v>
      </c>
    </row>
    <row r="100" spans="2:6" x14ac:dyDescent="0.35">
      <c r="B100" s="43" t="s">
        <v>183</v>
      </c>
      <c r="C100" s="44">
        <f>COUNTIFS('Recommendations'!G:G,"Medium",'Recommendations'!P:P,"=Resolved")</f>
        <v>0</v>
      </c>
      <c r="D100" s="44">
        <f>COUNTIFS('Recommendations'!G:G,"=Medium",'Recommendations'!P:P,"=Testing")</f>
        <v>0</v>
      </c>
      <c r="E100" s="44">
        <f>COUNTIFS('Recommendations'!G:G,"=Medium",'Recommendations'!P:P,"=Outstanding")</f>
        <v>0</v>
      </c>
      <c r="F100" s="44">
        <f>SUM(C100:E100)</f>
        <v>0</v>
      </c>
    </row>
    <row r="101" spans="2:6" x14ac:dyDescent="0.35">
      <c r="B101" s="43" t="s">
        <v>184</v>
      </c>
      <c r="C101" s="44">
        <f>COUNTIFS('Recommendations'!G:G,"High",'Recommendations'!P:P,"=Resolved")</f>
        <v>0</v>
      </c>
      <c r="D101" s="44">
        <f>COUNTIFS('Recommendations'!G:G,"=High",'Recommendations'!P:P,"=Testing")</f>
        <v>0</v>
      </c>
      <c r="E101" s="44">
        <f>COUNTIFS('Recommendations'!G:G,"=High",'Recommendations'!P:P,"=Outstanding")</f>
        <v>0</v>
      </c>
      <c r="F101" s="44">
        <f>SUM(C101:E101)</f>
        <v>0</v>
      </c>
    </row>
    <row r="102" spans="2:6" x14ac:dyDescent="0.35">
      <c r="B102" s="43" t="s">
        <v>23</v>
      </c>
      <c r="C102" s="44">
        <f>COUNTIFS('Recommendations'!G:G,"Unassessed",'Recommendations'!P:P,"=Resolved")</f>
        <v>0</v>
      </c>
      <c r="D102" s="44">
        <f>COUNTIFS('Recommendations'!G:G,"=Unassessed",'Recommendations'!P:P,"=Testing")</f>
        <v>0</v>
      </c>
      <c r="E102" s="44">
        <f>COUNTIFS('Recommendations'!G:G,"=Unassessed",'Recommendations'!P:P,"=Outstanding")</f>
        <v>8</v>
      </c>
      <c r="F102" s="44">
        <f>SUM(C102:E102)</f>
        <v>8</v>
      </c>
    </row>
    <row r="104" spans="2:6" x14ac:dyDescent="0.35">
      <c r="B104" s="53" t="s">
        <v>166</v>
      </c>
    </row>
    <row r="105" spans="2:6" x14ac:dyDescent="0.35">
      <c r="B105" s="54" t="s">
        <v>181</v>
      </c>
      <c r="C105" s="54" t="s">
        <v>161</v>
      </c>
      <c r="D105" s="54" t="s">
        <v>162</v>
      </c>
      <c r="E105" s="54" t="s">
        <v>163</v>
      </c>
      <c r="F105" s="54" t="s">
        <v>25</v>
      </c>
    </row>
    <row r="106" spans="2:6" x14ac:dyDescent="0.35">
      <c r="B106" s="43" t="s">
        <v>182</v>
      </c>
      <c r="C106" s="45">
        <f>IF(F99&gt;0, C99/F99, 0)</f>
        <v>0</v>
      </c>
      <c r="D106" s="45">
        <f>IF(F99&gt;0, D99/F99, 0)</f>
        <v>0</v>
      </c>
      <c r="E106" s="45">
        <f>IF(F99&gt;0, E99/F99, 0)</f>
        <v>0</v>
      </c>
      <c r="F106" s="46" t="s">
        <v>25</v>
      </c>
    </row>
    <row r="107" spans="2:6" x14ac:dyDescent="0.35">
      <c r="B107" s="43" t="s">
        <v>183</v>
      </c>
      <c r="C107" s="45">
        <f>IF(F100&gt;0, C100/F100, 0)</f>
        <v>0</v>
      </c>
      <c r="D107" s="45">
        <f>IF(F100&gt;0, D100/F100, 0)</f>
        <v>0</v>
      </c>
      <c r="E107" s="45">
        <f>IF(F100&gt;0, E100/F100, 0)</f>
        <v>0</v>
      </c>
      <c r="F107" s="46" t="s">
        <v>25</v>
      </c>
    </row>
    <row r="108" spans="2:6" x14ac:dyDescent="0.35">
      <c r="B108" s="43" t="s">
        <v>184</v>
      </c>
      <c r="C108" s="45">
        <f>IF(F101&gt;0, C101/F101, 0)</f>
        <v>0</v>
      </c>
      <c r="D108" s="45">
        <f>IF(F101&gt;0, D101/F101, 0)</f>
        <v>0</v>
      </c>
      <c r="E108" s="45">
        <f>IF(F101&gt;0, E101/F101, 0)</f>
        <v>0</v>
      </c>
      <c r="F108" s="46" t="s">
        <v>25</v>
      </c>
    </row>
    <row r="109" spans="2:6" x14ac:dyDescent="0.35">
      <c r="B109" s="43" t="s">
        <v>23</v>
      </c>
      <c r="C109" s="45">
        <f>IF(F102&gt;0, C102/F102, 0)</f>
        <v>0</v>
      </c>
      <c r="D109" s="45">
        <f>IF(F102&gt;0, D102/F102, 0)</f>
        <v>0</v>
      </c>
      <c r="E109" s="45">
        <f>IF(F102&gt;0, E102/F102, 0)</f>
        <v>1</v>
      </c>
      <c r="F109" s="46" t="s">
        <v>25</v>
      </c>
    </row>
    <row r="114" spans="2:16" ht="18.5" x14ac:dyDescent="0.45">
      <c r="B114" s="39" t="s">
        <v>185</v>
      </c>
      <c r="J114" s="39" t="s">
        <v>186</v>
      </c>
    </row>
    <row r="115" spans="2:16" x14ac:dyDescent="0.35">
      <c r="B115" s="41" t="s">
        <v>7</v>
      </c>
      <c r="C115" s="112" t="s">
        <v>187</v>
      </c>
      <c r="D115" s="112"/>
      <c r="E115" s="41" t="s">
        <v>153</v>
      </c>
      <c r="F115" s="41" t="s">
        <v>161</v>
      </c>
      <c r="G115" s="112" t="s">
        <v>188</v>
      </c>
      <c r="H115" s="112"/>
      <c r="J115" s="41" t="s">
        <v>7</v>
      </c>
      <c r="K115" s="41" t="s">
        <v>176</v>
      </c>
      <c r="L115" s="41" t="s">
        <v>177</v>
      </c>
      <c r="M115" s="41" t="s">
        <v>178</v>
      </c>
      <c r="N115" s="41" t="s">
        <v>179</v>
      </c>
      <c r="O115" s="41" t="s">
        <v>22</v>
      </c>
    </row>
    <row r="116" spans="2:16" x14ac:dyDescent="0.35">
      <c r="B116" s="47" t="s">
        <v>169</v>
      </c>
      <c r="C116" s="113" t="s">
        <v>25</v>
      </c>
      <c r="D116" s="113"/>
      <c r="E116" s="44">
        <f>COUNTIF('Recommendations'!H:H,"Phase1")-COUNTIFS('Recommendations'!H:H,"Phase1",'Recommendations'!I:I,"Risk Accepted")-COUNTIFS('Recommendations'!H:H,"Phase1",'Recommendations'!I:I,"N/A")</f>
        <v>0</v>
      </c>
      <c r="F116" s="44">
        <f>COUNTIFS('Recommendations'!H:H,"Phase1",'Recommendations'!P:P,"Resolved")</f>
        <v>0</v>
      </c>
      <c r="G116" s="114">
        <f t="shared" ref="G116:G121" si="4">IF(E116&gt;0,F116/E116,0)</f>
        <v>0</v>
      </c>
      <c r="H116" s="114"/>
      <c r="J116" s="47" t="s">
        <v>169</v>
      </c>
      <c r="K116" s="44">
        <f>COUNTIFS('Recommendations'!H:H,"Phase1",'Recommendations'!F:F,"Must")</f>
        <v>0</v>
      </c>
      <c r="L116" s="44">
        <f>COUNTIFS('Recommendations'!H:H,"Phase1",'Recommendations'!F:F,"Should")</f>
        <v>0</v>
      </c>
      <c r="M116" s="44">
        <f>COUNTIFS('Recommendations'!H:H,"Phase1",'Recommendations'!F:F,"Could")</f>
        <v>0</v>
      </c>
      <c r="N116" s="44">
        <f>COUNTIFS('Recommendations'!H:H,"Phase1",'Recommendations'!F:F,"Won't")</f>
        <v>0</v>
      </c>
      <c r="O116" s="44">
        <f>COUNTIFS('Recommendations'!H:H,"Phase1",'Recommendations'!F:F,"Unassigned")</f>
        <v>0</v>
      </c>
    </row>
    <row r="117" spans="2:16" x14ac:dyDescent="0.35">
      <c r="B117" s="47" t="s">
        <v>170</v>
      </c>
      <c r="C117" s="113" t="s">
        <v>25</v>
      </c>
      <c r="D117" s="113"/>
      <c r="E117" s="44">
        <f>COUNTIF('Recommendations'!H:H,"Phase2")-COUNTIFS('Recommendations'!H:H,"Phase2",'Recommendations'!I:I,"Risk Accepted")-COUNTIFS('Recommendations'!H:H,"Phase2",'Recommendations'!I:I,"N/A")</f>
        <v>0</v>
      </c>
      <c r="F117" s="44">
        <f>COUNTIFS('Recommendations'!H:H,"Phase2",'Recommendations'!P:P,"Resolved")</f>
        <v>0</v>
      </c>
      <c r="G117" s="114">
        <f t="shared" si="4"/>
        <v>0</v>
      </c>
      <c r="H117" s="114"/>
      <c r="J117" s="47" t="s">
        <v>170</v>
      </c>
      <c r="K117" s="44">
        <f>COUNTIFS('Recommendations'!H:H,"Phase2",'Recommendations'!F:F,"Must")</f>
        <v>0</v>
      </c>
      <c r="L117" s="44">
        <f>COUNTIFS('Recommendations'!H:H,"Phase2",'Recommendations'!F:F,"Should")</f>
        <v>0</v>
      </c>
      <c r="M117" s="44">
        <f>COUNTIFS('Recommendations'!H:H,"Phase2",'Recommendations'!F:F,"Could")</f>
        <v>0</v>
      </c>
      <c r="N117" s="44">
        <f>COUNTIFS('Recommendations'!H:H,"Phase2",'Recommendations'!F:F,"Won't")</f>
        <v>0</v>
      </c>
      <c r="O117" s="44">
        <f>COUNTIFS('Recommendations'!H:H,"Phase2",'Recommendations'!F:F,"Unassigned")</f>
        <v>0</v>
      </c>
    </row>
    <row r="118" spans="2:16" x14ac:dyDescent="0.35">
      <c r="B118" s="47" t="s">
        <v>171</v>
      </c>
      <c r="C118" s="113" t="s">
        <v>25</v>
      </c>
      <c r="D118" s="113"/>
      <c r="E118" s="44">
        <f>COUNTIF('Recommendations'!H:H,"Phase3")-COUNTIFS('Recommendations'!H:H,"Phase3",'Recommendations'!I:I,"Risk Accepted")-COUNTIFS('Recommendations'!H:H,"Phase3",'Recommendations'!I:I,"N/A")</f>
        <v>0</v>
      </c>
      <c r="F118" s="44">
        <f>COUNTIFS('Recommendations'!H:H,"Phase3",'Recommendations'!P:P,"Resolved")</f>
        <v>0</v>
      </c>
      <c r="G118" s="114">
        <f t="shared" si="4"/>
        <v>0</v>
      </c>
      <c r="H118" s="114"/>
      <c r="J118" s="47" t="s">
        <v>171</v>
      </c>
      <c r="K118" s="44">
        <f>COUNTIFS('Recommendations'!H:H,"Phase3",'Recommendations'!F:F,"Must")</f>
        <v>0</v>
      </c>
      <c r="L118" s="44">
        <f>COUNTIFS('Recommendations'!H:H,"Phase3",'Recommendations'!F:F,"Should")</f>
        <v>0</v>
      </c>
      <c r="M118" s="44">
        <f>COUNTIFS('Recommendations'!H:H,"Phase3",'Recommendations'!F:F,"Could")</f>
        <v>0</v>
      </c>
      <c r="N118" s="44">
        <f>COUNTIFS('Recommendations'!H:H,"Phase3",'Recommendations'!F:F,"Won't")</f>
        <v>0</v>
      </c>
      <c r="O118" s="44">
        <f>COUNTIFS('Recommendations'!H:H,"Phase3",'Recommendations'!F:F,"Unassigned")</f>
        <v>0</v>
      </c>
    </row>
    <row r="119" spans="2:16" x14ac:dyDescent="0.35">
      <c r="B119" s="47" t="s">
        <v>172</v>
      </c>
      <c r="C119" s="113" t="s">
        <v>25</v>
      </c>
      <c r="D119" s="113"/>
      <c r="E119" s="44">
        <f>COUNTIF('Recommendations'!H:H,"Phase4")-COUNTIFS('Recommendations'!H:H,"Phase4",'Recommendations'!I:I,"Risk Accepted")-COUNTIFS('Recommendations'!H:H,"Phase4",'Recommendations'!I:I,"N/A")</f>
        <v>0</v>
      </c>
      <c r="F119" s="44">
        <f>COUNTIFS('Recommendations'!H:H,"Phase4",'Recommendations'!P:P,"Resolved")</f>
        <v>0</v>
      </c>
      <c r="G119" s="114">
        <f t="shared" si="4"/>
        <v>0</v>
      </c>
      <c r="H119" s="114"/>
      <c r="J119" s="47" t="s">
        <v>172</v>
      </c>
      <c r="K119" s="44">
        <f>COUNTIFS('Recommendations'!H:H,"Phase4",'Recommendations'!F:F,"Must")</f>
        <v>0</v>
      </c>
      <c r="L119" s="44">
        <f>COUNTIFS('Recommendations'!H:H,"Phase4",'Recommendations'!F:F,"Should")</f>
        <v>0</v>
      </c>
      <c r="M119" s="44">
        <f>COUNTIFS('Recommendations'!H:H,"Phase4",'Recommendations'!F:F,"Could")</f>
        <v>0</v>
      </c>
      <c r="N119" s="44">
        <f>COUNTIFS('Recommendations'!H:H,"Phase4",'Recommendations'!F:F,"Won't")</f>
        <v>0</v>
      </c>
      <c r="O119" s="44">
        <f>COUNTIFS('Recommendations'!H:H,"Phase4",'Recommendations'!F:F,"Unassigned")</f>
        <v>0</v>
      </c>
    </row>
    <row r="120" spans="2:16" x14ac:dyDescent="0.35">
      <c r="B120" s="47" t="s">
        <v>173</v>
      </c>
      <c r="C120" s="113" t="s">
        <v>25</v>
      </c>
      <c r="D120" s="113"/>
      <c r="E120" s="44">
        <f>COUNTIF('Recommendations'!H:H,"Phase5")-COUNTIFS('Recommendations'!H:H,"Phase5",'Recommendations'!I:I,"Risk Accepted")-COUNTIFS('Recommendations'!H:H,"Phase5",'Recommendations'!I:I,"N/A")</f>
        <v>0</v>
      </c>
      <c r="F120" s="44">
        <f>COUNTIFS('Recommendations'!H:H,"Phase5",'Recommendations'!P:P,"Resolved")</f>
        <v>0</v>
      </c>
      <c r="G120" s="114">
        <f t="shared" si="4"/>
        <v>0</v>
      </c>
      <c r="H120" s="114"/>
      <c r="J120" s="47" t="s">
        <v>173</v>
      </c>
      <c r="K120" s="44">
        <f>COUNTIFS('Recommendations'!H:H,"Phase5",'Recommendations'!F:F,"Must")</f>
        <v>0</v>
      </c>
      <c r="L120" s="44">
        <f>COUNTIFS('Recommendations'!H:H,"Phase5",'Recommendations'!F:F,"Should")</f>
        <v>0</v>
      </c>
      <c r="M120" s="44">
        <f>COUNTIFS('Recommendations'!H:H,"Phase5",'Recommendations'!F:F,"Could")</f>
        <v>0</v>
      </c>
      <c r="N120" s="44">
        <f>COUNTIFS('Recommendations'!H:H,"Phase5",'Recommendations'!F:F,"Won't")</f>
        <v>0</v>
      </c>
      <c r="O120" s="44">
        <f>COUNTIFS('Recommendations'!H:H,"Phase5",'Recommendations'!F:F,"Unassigned")</f>
        <v>0</v>
      </c>
    </row>
    <row r="121" spans="2:16" x14ac:dyDescent="0.35">
      <c r="B121" s="47" t="s">
        <v>24</v>
      </c>
      <c r="C121" s="113" t="s">
        <v>25</v>
      </c>
      <c r="D121" s="113"/>
      <c r="E121" s="44">
        <f>COUNTIF('Recommendations'!H:H,"Pending")-COUNTIFS('Recommendations'!H:H,"Pending",'Recommendations'!I:I,"Risk Accepted")-COUNTIFS('Recommendations'!H:H,"Pending",'Recommendations'!I:I,"N/A")</f>
        <v>8</v>
      </c>
      <c r="F121" s="44">
        <f>COUNTIFS('Recommendations'!H:H,"Pending",'Recommendations'!P:P,"Resolved")</f>
        <v>0</v>
      </c>
      <c r="G121" s="114">
        <f t="shared" si="4"/>
        <v>0</v>
      </c>
      <c r="H121" s="114"/>
      <c r="J121" s="47" t="s">
        <v>24</v>
      </c>
      <c r="K121" s="44">
        <f>COUNTIFS('Recommendations'!H:H,"Pending",'Recommendations'!F:F,"Must")</f>
        <v>0</v>
      </c>
      <c r="L121" s="44">
        <f>COUNTIFS('Recommendations'!H:H,"Pending",'Recommendations'!F:F,"Should")</f>
        <v>0</v>
      </c>
      <c r="M121" s="44">
        <f>COUNTIFS('Recommendations'!H:H,"Pending",'Recommendations'!F:F,"Could")</f>
        <v>0</v>
      </c>
      <c r="N121" s="44">
        <f>COUNTIFS('Recommendations'!H:H,"Pending",'Recommendations'!F:F,"Won't")</f>
        <v>0</v>
      </c>
      <c r="O121" s="44">
        <f>COUNTIFS('Recommendations'!H:H,"Pending",'Recommendations'!F:F,"Unassigned")</f>
        <v>8</v>
      </c>
    </row>
    <row r="128" spans="2:16" ht="21" x14ac:dyDescent="0.5">
      <c r="B128" s="39" t="s">
        <v>189</v>
      </c>
      <c r="P128" s="56" t="s">
        <v>190</v>
      </c>
    </row>
    <row r="130" spans="2:24" ht="60" customHeight="1" x14ac:dyDescent="0.35">
      <c r="B130" s="115" t="s">
        <v>191</v>
      </c>
      <c r="C130" s="108"/>
      <c r="D130" s="108"/>
      <c r="E130" s="108"/>
      <c r="F130" s="108"/>
      <c r="P130" s="115" t="s">
        <v>192</v>
      </c>
      <c r="Q130" s="108"/>
      <c r="R130" s="108"/>
      <c r="S130" s="108"/>
      <c r="T130" s="108"/>
      <c r="U130" s="108"/>
      <c r="V130" s="108"/>
      <c r="W130" s="108"/>
    </row>
    <row r="132" spans="2:24" ht="30" customHeight="1" x14ac:dyDescent="0.35">
      <c r="P132" s="57" t="s">
        <v>193</v>
      </c>
      <c r="Q132" s="58">
        <f>C16</f>
        <v>0</v>
      </c>
      <c r="R132" s="59"/>
      <c r="S132" s="58">
        <f>C78</f>
        <v>0</v>
      </c>
      <c r="T132" s="59"/>
      <c r="U132" s="58">
        <f>C79</f>
        <v>0</v>
      </c>
      <c r="V132" s="59"/>
      <c r="W132" s="58">
        <f>C80</f>
        <v>0</v>
      </c>
      <c r="X132" s="59"/>
    </row>
    <row r="133" spans="2:24" ht="35" customHeight="1" x14ac:dyDescent="0.35">
      <c r="P133" s="60" t="s">
        <v>194</v>
      </c>
      <c r="Q133" s="60" t="s">
        <v>195</v>
      </c>
      <c r="R133" s="60" t="s">
        <v>196</v>
      </c>
      <c r="S133" s="60" t="s">
        <v>197</v>
      </c>
      <c r="T133" s="60" t="s">
        <v>198</v>
      </c>
      <c r="U133" s="60" t="s">
        <v>199</v>
      </c>
      <c r="V133" s="60" t="s">
        <v>200</v>
      </c>
      <c r="W133" s="60" t="s">
        <v>201</v>
      </c>
      <c r="X133" s="60" t="s">
        <v>202</v>
      </c>
    </row>
    <row r="134" spans="2:24" x14ac:dyDescent="0.35">
      <c r="O134" s="61" t="s">
        <v>203</v>
      </c>
      <c r="P134" s="62" t="s">
        <v>204</v>
      </c>
      <c r="Q134" s="63">
        <v>0</v>
      </c>
      <c r="R134" s="64">
        <f>IF(Dashboard!F16&gt;0, Q134/Dashboard!F16, "")</f>
        <v>0</v>
      </c>
      <c r="S134" s="63">
        <v>0</v>
      </c>
      <c r="T134" s="64" t="str">
        <f>IF(AND(NOT(ISBLANK(S134)),Dashboard!F78&gt;0), S134/Dashboard!F78, "")</f>
        <v/>
      </c>
      <c r="U134" s="63">
        <v>0</v>
      </c>
      <c r="V134" s="64" t="str">
        <f>IF(AND(NOT(ISBLANK(U134)),Dashboard!F79&gt;0), U134/Dashboard!F79, "")</f>
        <v/>
      </c>
      <c r="W134" s="63">
        <v>0</v>
      </c>
      <c r="X134" s="64" t="str">
        <f>IF(AND(NOT(ISBLANK(W134)),Dashboard!F80&gt;0), W134/Dashboard!F80, "")</f>
        <v/>
      </c>
    </row>
    <row r="135" spans="2:24" x14ac:dyDescent="0.35">
      <c r="P135" s="55"/>
      <c r="Q135" s="42"/>
      <c r="R135" s="45" t="str">
        <f>IF(AND(NOT(ISBLANK(Q135)),Dashboard!F16&gt;0), Q135/Dashboard!F16, "")</f>
        <v/>
      </c>
      <c r="S135" s="42"/>
      <c r="T135" s="45" t="str">
        <f>IF(AND(NOT(ISBLANK(S135)),Dashboard!F78&gt;0), S135/Dashboard!F78, "")</f>
        <v/>
      </c>
      <c r="U135" s="42"/>
      <c r="V135" s="45" t="str">
        <f>IF(AND(NOT(ISBLANK(U135)),Dashboard!F79&gt;0), U135/Dashboard!F79, "")</f>
        <v/>
      </c>
      <c r="W135" s="42"/>
      <c r="X135" s="45" t="str">
        <f>IF(AND(NOT(ISBLANK(W135)),Dashboard!F80&gt;0), W135/Dashboard!F80, "")</f>
        <v/>
      </c>
    </row>
    <row r="136" spans="2:24" x14ac:dyDescent="0.35">
      <c r="P136" s="55"/>
      <c r="Q136" s="42"/>
      <c r="R136" s="45" t="str">
        <f>IF(AND(NOT(ISBLANK(Q136)),Dashboard!F16&gt;0), Q136/Dashboard!F16, "")</f>
        <v/>
      </c>
      <c r="S136" s="42"/>
      <c r="T136" s="45" t="str">
        <f>IF(AND(NOT(ISBLANK(S136)),Dashboard!F78&gt;0), S136/Dashboard!F78, "")</f>
        <v/>
      </c>
      <c r="U136" s="42"/>
      <c r="V136" s="45" t="str">
        <f>IF(AND(NOT(ISBLANK(U136)),Dashboard!F79&gt;0), U136/Dashboard!F79, "")</f>
        <v/>
      </c>
      <c r="W136" s="42"/>
      <c r="X136" s="45" t="str">
        <f>IF(AND(NOT(ISBLANK(W136)),Dashboard!F80&gt;0), W136/Dashboard!F80, "")</f>
        <v/>
      </c>
    </row>
    <row r="137" spans="2:24" x14ac:dyDescent="0.35">
      <c r="P137" s="55"/>
      <c r="Q137" s="42"/>
      <c r="R137" s="45" t="str">
        <f>IF(AND(NOT(ISBLANK(Q137)),Dashboard!F16&gt;0), Q137/Dashboard!F16, "")</f>
        <v/>
      </c>
      <c r="S137" s="42"/>
      <c r="T137" s="45" t="str">
        <f>IF(AND(NOT(ISBLANK(S137)),Dashboard!F78&gt;0), S137/Dashboard!F78, "")</f>
        <v/>
      </c>
      <c r="U137" s="42"/>
      <c r="V137" s="45" t="str">
        <f>IF(AND(NOT(ISBLANK(U137)),Dashboard!F79&gt;0), U137/Dashboard!F79, "")</f>
        <v/>
      </c>
      <c r="W137" s="42"/>
      <c r="X137" s="45" t="str">
        <f>IF(AND(NOT(ISBLANK(W137)),Dashboard!F80&gt;0), W137/Dashboard!F80, "")</f>
        <v/>
      </c>
    </row>
    <row r="138" spans="2:24" x14ac:dyDescent="0.35">
      <c r="P138" s="55"/>
      <c r="Q138" s="42"/>
      <c r="R138" s="45" t="str">
        <f>IF(AND(NOT(ISBLANK(Q138)),Dashboard!F16&gt;0), Q138/Dashboard!F16, "")</f>
        <v/>
      </c>
      <c r="S138" s="42"/>
      <c r="T138" s="45" t="str">
        <f>IF(AND(NOT(ISBLANK(S138)),Dashboard!F78&gt;0), S138/Dashboard!F78, "")</f>
        <v/>
      </c>
      <c r="U138" s="42"/>
      <c r="V138" s="45" t="str">
        <f>IF(AND(NOT(ISBLANK(U138)),Dashboard!F79&gt;0), U138/Dashboard!F79, "")</f>
        <v/>
      </c>
      <c r="W138" s="42"/>
      <c r="X138" s="45" t="str">
        <f>IF(AND(NOT(ISBLANK(W138)),Dashboard!F80&gt;0), W138/Dashboard!F80, "")</f>
        <v/>
      </c>
    </row>
    <row r="139" spans="2:24" x14ac:dyDescent="0.35">
      <c r="P139" s="55"/>
      <c r="Q139" s="42"/>
      <c r="R139" s="45" t="str">
        <f>IF(AND(NOT(ISBLANK(Q139)),Dashboard!F16&gt;0), Q139/Dashboard!F16, "")</f>
        <v/>
      </c>
      <c r="S139" s="42"/>
      <c r="T139" s="45" t="str">
        <f>IF(AND(NOT(ISBLANK(S139)),Dashboard!F78&gt;0), S139/Dashboard!F78, "")</f>
        <v/>
      </c>
      <c r="U139" s="42"/>
      <c r="V139" s="45" t="str">
        <f>IF(AND(NOT(ISBLANK(U139)),Dashboard!F79&gt;0), U139/Dashboard!F79, "")</f>
        <v/>
      </c>
      <c r="W139" s="42"/>
      <c r="X139" s="45" t="str">
        <f>IF(AND(NOT(ISBLANK(W139)),Dashboard!F80&gt;0), W139/Dashboard!F80, "")</f>
        <v/>
      </c>
    </row>
    <row r="140" spans="2:24" x14ac:dyDescent="0.35">
      <c r="P140" s="55"/>
      <c r="Q140" s="42"/>
      <c r="R140" s="45" t="str">
        <f>IF(AND(NOT(ISBLANK(Q140)),Dashboard!F16&gt;0), Q140/Dashboard!F16, "")</f>
        <v/>
      </c>
      <c r="S140" s="42"/>
      <c r="T140" s="45" t="str">
        <f>IF(AND(NOT(ISBLANK(S140)),Dashboard!F78&gt;0), S140/Dashboard!F78, "")</f>
        <v/>
      </c>
      <c r="U140" s="42"/>
      <c r="V140" s="45" t="str">
        <f>IF(AND(NOT(ISBLANK(U140)),Dashboard!F79&gt;0), U140/Dashboard!F79, "")</f>
        <v/>
      </c>
      <c r="W140" s="42"/>
      <c r="X140" s="45" t="str">
        <f>IF(AND(NOT(ISBLANK(W140)),Dashboard!F80&gt;0), W140/Dashboard!F80, "")</f>
        <v/>
      </c>
    </row>
    <row r="141" spans="2:24" x14ac:dyDescent="0.35">
      <c r="P141" s="55"/>
      <c r="Q141" s="42"/>
      <c r="R141" s="45" t="str">
        <f>IF(AND(NOT(ISBLANK(Q141)),Dashboard!F16&gt;0), Q141/Dashboard!F16, "")</f>
        <v/>
      </c>
      <c r="S141" s="42"/>
      <c r="T141" s="45" t="str">
        <f>IF(AND(NOT(ISBLANK(S141)),Dashboard!F78&gt;0), S141/Dashboard!F78, "")</f>
        <v/>
      </c>
      <c r="U141" s="42"/>
      <c r="V141" s="45" t="str">
        <f>IF(AND(NOT(ISBLANK(U141)),Dashboard!F79&gt;0), U141/Dashboard!F79, "")</f>
        <v/>
      </c>
      <c r="W141" s="42"/>
      <c r="X141" s="45" t="str">
        <f>IF(AND(NOT(ISBLANK(W141)),Dashboard!F80&gt;0), W141/Dashboard!F80, "")</f>
        <v/>
      </c>
    </row>
    <row r="142" spans="2:24" x14ac:dyDescent="0.35">
      <c r="P142" s="55"/>
      <c r="Q142" s="42"/>
      <c r="R142" s="45" t="str">
        <f>IF(AND(NOT(ISBLANK(Q142)),Dashboard!F16&gt;0), Q142/Dashboard!F16, "")</f>
        <v/>
      </c>
      <c r="S142" s="42"/>
      <c r="T142" s="45" t="str">
        <f>IF(AND(NOT(ISBLANK(S142)),Dashboard!F78&gt;0), S142/Dashboard!F78, "")</f>
        <v/>
      </c>
      <c r="U142" s="42"/>
      <c r="V142" s="45" t="str">
        <f>IF(AND(NOT(ISBLANK(U142)),Dashboard!F79&gt;0), U142/Dashboard!F79, "")</f>
        <v/>
      </c>
      <c r="W142" s="42"/>
      <c r="X142" s="45" t="str">
        <f>IF(AND(NOT(ISBLANK(W142)),Dashboard!F80&gt;0), W142/Dashboard!F80, "")</f>
        <v/>
      </c>
    </row>
    <row r="143" spans="2:24" x14ac:dyDescent="0.35">
      <c r="P143" s="55"/>
      <c r="Q143" s="42"/>
      <c r="R143" s="45" t="str">
        <f>IF(AND(NOT(ISBLANK(Q143)),Dashboard!F16&gt;0), Q143/Dashboard!F16, "")</f>
        <v/>
      </c>
      <c r="S143" s="42"/>
      <c r="T143" s="45" t="str">
        <f>IF(AND(NOT(ISBLANK(S143)),Dashboard!F78&gt;0), S143/Dashboard!F78, "")</f>
        <v/>
      </c>
      <c r="U143" s="42"/>
      <c r="V143" s="45" t="str">
        <f>IF(AND(NOT(ISBLANK(U143)),Dashboard!F79&gt;0), U143/Dashboard!F79, "")</f>
        <v/>
      </c>
      <c r="W143" s="42"/>
      <c r="X143" s="45" t="str">
        <f>IF(AND(NOT(ISBLANK(W143)),Dashboard!F80&gt;0), W143/Dashboard!F80, "")</f>
        <v/>
      </c>
    </row>
    <row r="144" spans="2:24" x14ac:dyDescent="0.35">
      <c r="P144" s="55"/>
      <c r="Q144" s="42"/>
      <c r="R144" s="45" t="str">
        <f>IF(AND(NOT(ISBLANK(Q144)),Dashboard!F16&gt;0), Q144/Dashboard!F16, "")</f>
        <v/>
      </c>
      <c r="S144" s="42"/>
      <c r="T144" s="45" t="str">
        <f>IF(AND(NOT(ISBLANK(S144)),Dashboard!F78&gt;0), S144/Dashboard!F78, "")</f>
        <v/>
      </c>
      <c r="U144" s="42"/>
      <c r="V144" s="45" t="str">
        <f>IF(AND(NOT(ISBLANK(U144)),Dashboard!F79&gt;0), U144/Dashboard!F79, "")</f>
        <v/>
      </c>
      <c r="W144" s="42"/>
      <c r="X144" s="45" t="str">
        <f>IF(AND(NOT(ISBLANK(W144)),Dashboard!F80&gt;0), W144/Dashboard!F80, "")</f>
        <v/>
      </c>
    </row>
    <row r="145" spans="16:24" x14ac:dyDescent="0.35">
      <c r="P145" s="55"/>
      <c r="Q145" s="42"/>
      <c r="R145" s="45" t="str">
        <f>IF(AND(NOT(ISBLANK(Q145)),Dashboard!F16&gt;0), Q145/Dashboard!F16, "")</f>
        <v/>
      </c>
      <c r="S145" s="42"/>
      <c r="T145" s="45" t="str">
        <f>IF(AND(NOT(ISBLANK(S145)),Dashboard!F78&gt;0), S145/Dashboard!F78, "")</f>
        <v/>
      </c>
      <c r="U145" s="42"/>
      <c r="V145" s="45" t="str">
        <f>IF(AND(NOT(ISBLANK(U145)),Dashboard!F79&gt;0), U145/Dashboard!F79, "")</f>
        <v/>
      </c>
      <c r="W145" s="42"/>
      <c r="X145" s="45" t="str">
        <f>IF(AND(NOT(ISBLANK(W145)),Dashboard!F80&gt;0), W145/Dashboard!F80, "")</f>
        <v/>
      </c>
    </row>
    <row r="146" spans="16:24" x14ac:dyDescent="0.35">
      <c r="P146" s="55"/>
      <c r="Q146" s="42"/>
      <c r="R146" s="45" t="str">
        <f>IF(AND(NOT(ISBLANK(Q146)),Dashboard!F16&gt;0), Q146/Dashboard!F16, "")</f>
        <v/>
      </c>
      <c r="S146" s="42"/>
      <c r="T146" s="45" t="str">
        <f>IF(AND(NOT(ISBLANK(S146)),Dashboard!F78&gt;0), S146/Dashboard!F78, "")</f>
        <v/>
      </c>
      <c r="U146" s="42"/>
      <c r="V146" s="45" t="str">
        <f>IF(AND(NOT(ISBLANK(U146)),Dashboard!F79&gt;0), U146/Dashboard!F79, "")</f>
        <v/>
      </c>
      <c r="W146" s="42"/>
      <c r="X146" s="45" t="str">
        <f>IF(AND(NOT(ISBLANK(W146)),Dashboard!F80&gt;0), W146/Dashboard!F80, "")</f>
        <v/>
      </c>
    </row>
    <row r="147" spans="16:24" x14ac:dyDescent="0.35">
      <c r="P147" s="55"/>
      <c r="Q147" s="42"/>
      <c r="R147" s="45" t="str">
        <f>IF(AND(NOT(ISBLANK(Q147)),Dashboard!F16&gt;0), Q147/Dashboard!F16, "")</f>
        <v/>
      </c>
      <c r="S147" s="42"/>
      <c r="T147" s="45" t="str">
        <f>IF(AND(NOT(ISBLANK(S147)),Dashboard!F78&gt;0), S147/Dashboard!F78, "")</f>
        <v/>
      </c>
      <c r="U147" s="42"/>
      <c r="V147" s="45" t="str">
        <f>IF(AND(NOT(ISBLANK(U147)),Dashboard!F79&gt;0), U147/Dashboard!F79, "")</f>
        <v/>
      </c>
      <c r="W147" s="42"/>
      <c r="X147" s="45" t="str">
        <f>IF(AND(NOT(ISBLANK(W147)),Dashboard!F80&gt;0), W147/Dashboard!F80, "")</f>
        <v/>
      </c>
    </row>
    <row r="148" spans="16:24" x14ac:dyDescent="0.35">
      <c r="P148" s="55"/>
      <c r="Q148" s="42"/>
      <c r="R148" s="45" t="str">
        <f>IF(AND(NOT(ISBLANK(Q148)),Dashboard!F16&gt;0), Q148/Dashboard!F16, "")</f>
        <v/>
      </c>
      <c r="S148" s="42"/>
      <c r="T148" s="45" t="str">
        <f>IF(AND(NOT(ISBLANK(S148)),Dashboard!F78&gt;0), S148/Dashboard!F78, "")</f>
        <v/>
      </c>
      <c r="U148" s="42"/>
      <c r="V148" s="45" t="str">
        <f>IF(AND(NOT(ISBLANK(U148)),Dashboard!F79&gt;0), U148/Dashboard!F79, "")</f>
        <v/>
      </c>
      <c r="W148" s="42"/>
      <c r="X148" s="45" t="str">
        <f>IF(AND(NOT(ISBLANK(W148)),Dashboard!F80&gt;0), W148/Dashboard!F80, "")</f>
        <v/>
      </c>
    </row>
    <row r="149" spans="16:24" x14ac:dyDescent="0.35">
      <c r="P149" s="55"/>
      <c r="Q149" s="42"/>
      <c r="R149" s="45" t="str">
        <f>IF(AND(NOT(ISBLANK(Q149)),Dashboard!F16&gt;0), Q149/Dashboard!F16, "")</f>
        <v/>
      </c>
      <c r="S149" s="42"/>
      <c r="T149" s="45" t="str">
        <f>IF(AND(NOT(ISBLANK(S149)),Dashboard!F78&gt;0), S149/Dashboard!F78, "")</f>
        <v/>
      </c>
      <c r="U149" s="42"/>
      <c r="V149" s="45" t="str">
        <f>IF(AND(NOT(ISBLANK(U149)),Dashboard!F79&gt;0), U149/Dashboard!F79, "")</f>
        <v/>
      </c>
      <c r="W149" s="42"/>
      <c r="X149" s="45" t="str">
        <f>IF(AND(NOT(ISBLANK(W149)),Dashboard!F80&gt;0), W149/Dashboard!F80, "")</f>
        <v/>
      </c>
    </row>
    <row r="150" spans="16:24" x14ac:dyDescent="0.35">
      <c r="P150" s="55"/>
      <c r="Q150" s="42"/>
      <c r="R150" s="45" t="str">
        <f>IF(AND(NOT(ISBLANK(Q150)),Dashboard!F16&gt;0), Q150/Dashboard!F16, "")</f>
        <v/>
      </c>
      <c r="S150" s="42"/>
      <c r="T150" s="45" t="str">
        <f>IF(AND(NOT(ISBLANK(S150)),Dashboard!F78&gt;0), S150/Dashboard!F78, "")</f>
        <v/>
      </c>
      <c r="U150" s="42"/>
      <c r="V150" s="45" t="str">
        <f>IF(AND(NOT(ISBLANK(U150)),Dashboard!F79&gt;0), U150/Dashboard!F79, "")</f>
        <v/>
      </c>
      <c r="W150" s="42"/>
      <c r="X150" s="45" t="str">
        <f>IF(AND(NOT(ISBLANK(W150)),Dashboard!F80&gt;0), W150/Dashboard!F80, "")</f>
        <v/>
      </c>
    </row>
    <row r="151" spans="16:24" x14ac:dyDescent="0.35">
      <c r="P151" s="55"/>
      <c r="Q151" s="42"/>
      <c r="R151" s="45" t="str">
        <f>IF(AND(NOT(ISBLANK(Q151)),Dashboard!F16&gt;0), Q151/Dashboard!F16, "")</f>
        <v/>
      </c>
      <c r="S151" s="42"/>
      <c r="T151" s="45" t="str">
        <f>IF(AND(NOT(ISBLANK(S151)),Dashboard!F78&gt;0), S151/Dashboard!F78, "")</f>
        <v/>
      </c>
      <c r="U151" s="42"/>
      <c r="V151" s="45" t="str">
        <f>IF(AND(NOT(ISBLANK(U151)),Dashboard!F79&gt;0), U151/Dashboard!F79, "")</f>
        <v/>
      </c>
      <c r="W151" s="42"/>
      <c r="X151" s="45" t="str">
        <f>IF(AND(NOT(ISBLANK(W151)),Dashboard!F80&gt;0), W151/Dashboard!F80, "")</f>
        <v/>
      </c>
    </row>
    <row r="152" spans="16:24" x14ac:dyDescent="0.35">
      <c r="P152" s="55"/>
      <c r="Q152" s="42"/>
      <c r="R152" s="45" t="str">
        <f>IF(AND(NOT(ISBLANK(Q152)),Dashboard!F16&gt;0), Q152/Dashboard!F16, "")</f>
        <v/>
      </c>
      <c r="S152" s="42"/>
      <c r="T152" s="45" t="str">
        <f>IF(AND(NOT(ISBLANK(S152)),Dashboard!F78&gt;0), S152/Dashboard!F78, "")</f>
        <v/>
      </c>
      <c r="U152" s="42"/>
      <c r="V152" s="45" t="str">
        <f>IF(AND(NOT(ISBLANK(U152)),Dashboard!F79&gt;0), U152/Dashboard!F79, "")</f>
        <v/>
      </c>
      <c r="W152" s="42"/>
      <c r="X152" s="45" t="str">
        <f>IF(AND(NOT(ISBLANK(W152)),Dashboard!F80&gt;0), W152/Dashboard!F80, "")</f>
        <v/>
      </c>
    </row>
    <row r="153" spans="16:24" x14ac:dyDescent="0.35">
      <c r="P153" s="55"/>
      <c r="Q153" s="42"/>
      <c r="R153" s="45" t="str">
        <f>IF(AND(NOT(ISBLANK(Q153)),Dashboard!F16&gt;0), Q153/Dashboard!F16, "")</f>
        <v/>
      </c>
      <c r="S153" s="42"/>
      <c r="T153" s="45" t="str">
        <f>IF(AND(NOT(ISBLANK(S153)),Dashboard!F78&gt;0), S153/Dashboard!F78, "")</f>
        <v/>
      </c>
      <c r="U153" s="42"/>
      <c r="V153" s="45" t="str">
        <f>IF(AND(NOT(ISBLANK(U153)),Dashboard!F79&gt;0), U153/Dashboard!F79, "")</f>
        <v/>
      </c>
      <c r="W153" s="42"/>
      <c r="X153" s="45" t="str">
        <f>IF(AND(NOT(ISBLANK(W153)),Dashboard!F80&gt;0), W153/Dashboard!F80, "")</f>
        <v/>
      </c>
    </row>
    <row r="154" spans="16:24" x14ac:dyDescent="0.35">
      <c r="P154" s="55"/>
      <c r="Q154" s="42"/>
      <c r="R154" s="45" t="str">
        <f>IF(AND(NOT(ISBLANK(Q154)),Dashboard!F16&gt;0), Q154/Dashboard!F16, "")</f>
        <v/>
      </c>
      <c r="S154" s="42"/>
      <c r="T154" s="45" t="str">
        <f>IF(AND(NOT(ISBLANK(S154)),Dashboard!F78&gt;0), S154/Dashboard!F78, "")</f>
        <v/>
      </c>
      <c r="U154" s="42"/>
      <c r="V154" s="45" t="str">
        <f>IF(AND(NOT(ISBLANK(U154)),Dashboard!F79&gt;0), U154/Dashboard!F79, "")</f>
        <v/>
      </c>
      <c r="W154" s="42"/>
      <c r="X154" s="45" t="str">
        <f>IF(AND(NOT(ISBLANK(W154)),Dashboard!F80&gt;0), W154/Dashboard!F80, "")</f>
        <v/>
      </c>
    </row>
    <row r="155" spans="16:24" x14ac:dyDescent="0.35">
      <c r="P155" s="55"/>
      <c r="Q155" s="42"/>
      <c r="R155" s="45" t="str">
        <f>IF(AND(NOT(ISBLANK(Q155)),Dashboard!F16&gt;0), Q155/Dashboard!F16, "")</f>
        <v/>
      </c>
      <c r="S155" s="42"/>
      <c r="T155" s="45" t="str">
        <f>IF(AND(NOT(ISBLANK(S155)),Dashboard!F78&gt;0), S155/Dashboard!F78, "")</f>
        <v/>
      </c>
      <c r="U155" s="42"/>
      <c r="V155" s="45" t="str">
        <f>IF(AND(NOT(ISBLANK(U155)),Dashboard!F79&gt;0), U155/Dashboard!F79, "")</f>
        <v/>
      </c>
      <c r="W155" s="42"/>
      <c r="X155" s="45" t="str">
        <f>IF(AND(NOT(ISBLANK(W155)),Dashboard!F80&gt;0), W155/Dashboard!F80, "")</f>
        <v/>
      </c>
    </row>
    <row r="156" spans="16:24" x14ac:dyDescent="0.35">
      <c r="P156" s="55"/>
      <c r="Q156" s="42"/>
      <c r="R156" s="45" t="str">
        <f>IF(AND(NOT(ISBLANK(Q156)),Dashboard!F16&gt;0), Q156/Dashboard!F16, "")</f>
        <v/>
      </c>
      <c r="S156" s="42"/>
      <c r="T156" s="45" t="str">
        <f>IF(AND(NOT(ISBLANK(S156)),Dashboard!F78&gt;0), S156/Dashboard!F78, "")</f>
        <v/>
      </c>
      <c r="U156" s="42"/>
      <c r="V156" s="45" t="str">
        <f>IF(AND(NOT(ISBLANK(U156)),Dashboard!F79&gt;0), U156/Dashboard!F79, "")</f>
        <v/>
      </c>
      <c r="W156" s="42"/>
      <c r="X156" s="45" t="str">
        <f>IF(AND(NOT(ISBLANK(W156)),Dashboard!F80&gt;0), W156/Dashboard!F80, "")</f>
        <v/>
      </c>
    </row>
    <row r="157" spans="16:24" x14ac:dyDescent="0.35">
      <c r="P157" s="55"/>
      <c r="Q157" s="42"/>
      <c r="R157" s="45" t="str">
        <f>IF(AND(NOT(ISBLANK(Q157)),Dashboard!F16&gt;0), Q157/Dashboard!F16, "")</f>
        <v/>
      </c>
      <c r="S157" s="42"/>
      <c r="T157" s="45" t="str">
        <f>IF(AND(NOT(ISBLANK(S157)),Dashboard!F78&gt;0), S157/Dashboard!F78, "")</f>
        <v/>
      </c>
      <c r="U157" s="42"/>
      <c r="V157" s="45" t="str">
        <f>IF(AND(NOT(ISBLANK(U157)),Dashboard!F79&gt;0), U157/Dashboard!F79, "")</f>
        <v/>
      </c>
      <c r="W157" s="42"/>
      <c r="X157" s="45" t="str">
        <f>IF(AND(NOT(ISBLANK(W157)),Dashboard!F80&gt;0), W157/Dashboard!F80, "")</f>
        <v/>
      </c>
    </row>
    <row r="158" spans="16:24" x14ac:dyDescent="0.35">
      <c r="P158" s="55"/>
      <c r="Q158" s="42"/>
      <c r="R158" s="45" t="str">
        <f>IF(AND(NOT(ISBLANK(Q158)),Dashboard!F16&gt;0), Q158/Dashboard!F16, "")</f>
        <v/>
      </c>
      <c r="S158" s="42"/>
      <c r="T158" s="45" t="str">
        <f>IF(AND(NOT(ISBLANK(S158)),Dashboard!F78&gt;0), S158/Dashboard!F78, "")</f>
        <v/>
      </c>
      <c r="U158" s="42"/>
      <c r="V158" s="45" t="str">
        <f>IF(AND(NOT(ISBLANK(U158)),Dashboard!F79&gt;0), U158/Dashboard!F79, "")</f>
        <v/>
      </c>
      <c r="W158" s="42"/>
      <c r="X158" s="45" t="str">
        <f>IF(AND(NOT(ISBLANK(W158)),Dashboard!F80&gt;0), W158/Dashboard!F80, "")</f>
        <v/>
      </c>
    </row>
    <row r="159" spans="16:24" x14ac:dyDescent="0.35">
      <c r="P159" s="55"/>
      <c r="Q159" s="42"/>
      <c r="R159" s="45" t="str">
        <f>IF(AND(NOT(ISBLANK(Q159)),Dashboard!F16&gt;0), Q159/Dashboard!F16, "")</f>
        <v/>
      </c>
      <c r="S159" s="42"/>
      <c r="T159" s="45" t="str">
        <f>IF(AND(NOT(ISBLANK(S159)),Dashboard!F78&gt;0), S159/Dashboard!F78, "")</f>
        <v/>
      </c>
      <c r="U159" s="42"/>
      <c r="V159" s="45" t="str">
        <f>IF(AND(NOT(ISBLANK(U159)),Dashboard!F79&gt;0), U159/Dashboard!F79, "")</f>
        <v/>
      </c>
      <c r="W159" s="42"/>
      <c r="X159" s="45" t="str">
        <f>IF(AND(NOT(ISBLANK(W159)),Dashboard!F80&gt;0), W159/Dashboard!F80, "")</f>
        <v/>
      </c>
    </row>
    <row r="160" spans="16:24" x14ac:dyDescent="0.35">
      <c r="P160" s="55"/>
      <c r="Q160" s="42"/>
      <c r="R160" s="45" t="str">
        <f>IF(AND(NOT(ISBLANK(Q160)),Dashboard!F16&gt;0), Q160/Dashboard!F16, "")</f>
        <v/>
      </c>
      <c r="S160" s="42"/>
      <c r="T160" s="45" t="str">
        <f>IF(AND(NOT(ISBLANK(S160)),Dashboard!F78&gt;0), S160/Dashboard!F78, "")</f>
        <v/>
      </c>
      <c r="U160" s="42"/>
      <c r="V160" s="45" t="str">
        <f>IF(AND(NOT(ISBLANK(U160)),Dashboard!F79&gt;0), U160/Dashboard!F79, "")</f>
        <v/>
      </c>
      <c r="W160" s="42"/>
      <c r="X160" s="45" t="str">
        <f>IF(AND(NOT(ISBLANK(W160)),Dashboard!F80&gt;0), W160/Dashboard!F80, "")</f>
        <v/>
      </c>
    </row>
    <row r="161" spans="2:24" x14ac:dyDescent="0.35">
      <c r="P161" s="55"/>
      <c r="Q161" s="42"/>
      <c r="R161" s="45" t="str">
        <f>IF(AND(NOT(ISBLANK(Q161)),Dashboard!F16&gt;0), Q161/Dashboard!F16, "")</f>
        <v/>
      </c>
      <c r="S161" s="42"/>
      <c r="T161" s="45" t="str">
        <f>IF(AND(NOT(ISBLANK(S161)),Dashboard!F78&gt;0), S161/Dashboard!F78, "")</f>
        <v/>
      </c>
      <c r="U161" s="42"/>
      <c r="V161" s="45" t="str">
        <f>IF(AND(NOT(ISBLANK(U161)),Dashboard!F79&gt;0), U161/Dashboard!F79, "")</f>
        <v/>
      </c>
      <c r="W161" s="42"/>
      <c r="X161" s="45" t="str">
        <f>IF(AND(NOT(ISBLANK(W161)),Dashboard!F80&gt;0), W161/Dashboard!F80, "")</f>
        <v/>
      </c>
    </row>
    <row r="162" spans="2:24" x14ac:dyDescent="0.35">
      <c r="P162" s="55"/>
      <c r="Q162" s="42"/>
      <c r="R162" s="45" t="str">
        <f>IF(AND(NOT(ISBLANK(Q162)),Dashboard!F16&gt;0), Q162/Dashboard!F16, "")</f>
        <v/>
      </c>
      <c r="S162" s="42"/>
      <c r="T162" s="45" t="str">
        <f>IF(AND(NOT(ISBLANK(S162)),Dashboard!F78&gt;0), S162/Dashboard!F78, "")</f>
        <v/>
      </c>
      <c r="U162" s="42"/>
      <c r="V162" s="45" t="str">
        <f>IF(AND(NOT(ISBLANK(U162)),Dashboard!F79&gt;0), U162/Dashboard!F79, "")</f>
        <v/>
      </c>
      <c r="W162" s="42"/>
      <c r="X162" s="45" t="str">
        <f>IF(AND(NOT(ISBLANK(W162)),Dashboard!F80&gt;0), W162/Dashboard!F80, "")</f>
        <v/>
      </c>
    </row>
    <row r="163" spans="2:24" x14ac:dyDescent="0.35">
      <c r="P163" s="55"/>
      <c r="Q163" s="42"/>
      <c r="R163" s="45" t="str">
        <f>IF(AND(NOT(ISBLANK(Q163)),Dashboard!F16&gt;0), Q163/Dashboard!F16, "")</f>
        <v/>
      </c>
      <c r="S163" s="42"/>
      <c r="T163" s="45" t="str">
        <f>IF(AND(NOT(ISBLANK(S163)),Dashboard!F78&gt;0), S163/Dashboard!F78, "")</f>
        <v/>
      </c>
      <c r="U163" s="42"/>
      <c r="V163" s="45" t="str">
        <f>IF(AND(NOT(ISBLANK(U163)),Dashboard!F79&gt;0), U163/Dashboard!F79, "")</f>
        <v/>
      </c>
      <c r="W163" s="42"/>
      <c r="X163" s="45" t="str">
        <f>IF(AND(NOT(ISBLANK(W163)),Dashboard!F80&gt;0), W163/Dashboard!F80, "")</f>
        <v/>
      </c>
    </row>
    <row r="164" spans="2:24" x14ac:dyDescent="0.35">
      <c r="P164" s="55"/>
      <c r="Q164" s="42"/>
      <c r="R164" s="45" t="str">
        <f>IF(AND(NOT(ISBLANK(Q164)),Dashboard!F16&gt;0), Q164/Dashboard!F16, "")</f>
        <v/>
      </c>
      <c r="S164" s="42"/>
      <c r="T164" s="45" t="str">
        <f>IF(AND(NOT(ISBLANK(S164)),Dashboard!F78&gt;0), S164/Dashboard!F78, "")</f>
        <v/>
      </c>
      <c r="U164" s="42"/>
      <c r="V164" s="45" t="str">
        <f>IF(AND(NOT(ISBLANK(U164)),Dashboard!F79&gt;0), U164/Dashboard!F79, "")</f>
        <v/>
      </c>
      <c r="W164" s="42"/>
      <c r="X164" s="45" t="str">
        <f>IF(AND(NOT(ISBLANK(W164)),Dashboard!F80&gt;0), W164/Dashboard!F80, "")</f>
        <v/>
      </c>
    </row>
    <row r="169" spans="2:24" ht="21" x14ac:dyDescent="0.5">
      <c r="B169" s="39" t="s">
        <v>205</v>
      </c>
      <c r="P169" s="56" t="s">
        <v>206</v>
      </c>
    </row>
    <row r="171" spans="2:24" ht="45" customHeight="1" x14ac:dyDescent="0.35">
      <c r="B171" s="115" t="s">
        <v>207</v>
      </c>
      <c r="C171" s="108"/>
      <c r="D171" s="108"/>
      <c r="E171" s="108"/>
      <c r="F171" s="108"/>
      <c r="P171" s="115" t="s">
        <v>208</v>
      </c>
      <c r="Q171" s="108"/>
      <c r="R171" s="108"/>
      <c r="S171" s="108"/>
      <c r="T171" s="108"/>
      <c r="U171" s="108"/>
    </row>
    <row r="172" spans="2:24" ht="35" customHeight="1" x14ac:dyDescent="0.35">
      <c r="P172" s="112" t="s">
        <v>209</v>
      </c>
      <c r="Q172" s="112"/>
      <c r="R172" s="112" t="s">
        <v>210</v>
      </c>
      <c r="S172" s="112"/>
      <c r="T172" s="112"/>
    </row>
    <row r="173" spans="2:24" ht="30" customHeight="1" x14ac:dyDescent="0.35">
      <c r="P173" s="116">
        <v>0</v>
      </c>
      <c r="Q173" s="117"/>
      <c r="R173" s="118" t="s">
        <v>211</v>
      </c>
      <c r="S173" s="119"/>
      <c r="T173" s="119"/>
    </row>
    <row r="176" spans="2:24" ht="25" customHeight="1" x14ac:dyDescent="0.35">
      <c r="P176" s="65" t="s">
        <v>194</v>
      </c>
      <c r="Q176" s="65" t="s">
        <v>212</v>
      </c>
      <c r="R176" s="65" t="s">
        <v>213</v>
      </c>
      <c r="S176" s="120" t="s">
        <v>9</v>
      </c>
      <c r="T176" s="120"/>
      <c r="U176" s="120"/>
      <c r="V176" s="108"/>
    </row>
    <row r="177" spans="16:22" ht="20" customHeight="1" x14ac:dyDescent="0.35">
      <c r="P177" s="67"/>
      <c r="Q177" s="68"/>
      <c r="R177" s="69" t="str">
        <f>IF(AND(NOT(ISBLANK(Q177)), Dashboard!$P173&gt;0), Q177/Dashboard!$P173, "")</f>
        <v/>
      </c>
      <c r="S177" s="121"/>
      <c r="T177" s="122"/>
      <c r="U177" s="122"/>
      <c r="V177" s="122"/>
    </row>
    <row r="178" spans="16:22" ht="20" customHeight="1" x14ac:dyDescent="0.35">
      <c r="P178" s="67"/>
      <c r="Q178" s="68"/>
      <c r="R178" s="69" t="str">
        <f>IF(AND(NOT(ISBLANK(Q178)), Dashboard!$P173&gt;0), Q178/Dashboard!$P173, "")</f>
        <v/>
      </c>
      <c r="S178" s="121"/>
      <c r="T178" s="122"/>
      <c r="U178" s="122"/>
      <c r="V178" s="122"/>
    </row>
    <row r="179" spans="16:22" ht="20" customHeight="1" x14ac:dyDescent="0.35">
      <c r="P179" s="67"/>
      <c r="Q179" s="68"/>
      <c r="R179" s="69" t="str">
        <f>IF(AND(NOT(ISBLANK(Q179)), Dashboard!$P173&gt;0), Q179/Dashboard!$P173, "")</f>
        <v/>
      </c>
      <c r="S179" s="121"/>
      <c r="T179" s="122"/>
      <c r="U179" s="122"/>
      <c r="V179" s="122"/>
    </row>
    <row r="180" spans="16:22" ht="20" customHeight="1" x14ac:dyDescent="0.35">
      <c r="P180" s="67"/>
      <c r="Q180" s="68"/>
      <c r="R180" s="69" t="str">
        <f>IF(AND(NOT(ISBLANK(Q180)), Dashboard!$P173&gt;0), Q180/Dashboard!$P173, "")</f>
        <v/>
      </c>
      <c r="S180" s="121"/>
      <c r="T180" s="122"/>
      <c r="U180" s="122"/>
      <c r="V180" s="122"/>
    </row>
    <row r="181" spans="16:22" ht="20" customHeight="1" x14ac:dyDescent="0.35">
      <c r="P181" s="67"/>
      <c r="Q181" s="68"/>
      <c r="R181" s="69" t="str">
        <f>IF(AND(NOT(ISBLANK(Q181)), Dashboard!$P173&gt;0), Q181/Dashboard!$P173, "")</f>
        <v/>
      </c>
      <c r="S181" s="121"/>
      <c r="T181" s="122"/>
      <c r="U181" s="122"/>
      <c r="V181" s="122"/>
    </row>
    <row r="182" spans="16:22" ht="20" customHeight="1" x14ac:dyDescent="0.35">
      <c r="P182" s="67"/>
      <c r="Q182" s="68"/>
      <c r="R182" s="69" t="str">
        <f>IF(AND(NOT(ISBLANK(Q182)), Dashboard!$P173&gt;0), Q182/Dashboard!$P173, "")</f>
        <v/>
      </c>
      <c r="S182" s="121"/>
      <c r="T182" s="122"/>
      <c r="U182" s="122"/>
      <c r="V182" s="122"/>
    </row>
    <row r="183" spans="16:22" ht="20" customHeight="1" x14ac:dyDescent="0.35">
      <c r="P183" s="67"/>
      <c r="Q183" s="68"/>
      <c r="R183" s="69" t="str">
        <f>IF(AND(NOT(ISBLANK(Q183)), Dashboard!$P173&gt;0), Q183/Dashboard!$P173, "")</f>
        <v/>
      </c>
      <c r="S183" s="121"/>
      <c r="T183" s="122"/>
      <c r="U183" s="122"/>
      <c r="V183" s="122"/>
    </row>
    <row r="184" spans="16:22" ht="20" customHeight="1" x14ac:dyDescent="0.35">
      <c r="P184" s="67"/>
      <c r="Q184" s="68"/>
      <c r="R184" s="69" t="str">
        <f>IF(AND(NOT(ISBLANK(Q184)), Dashboard!$P173&gt;0), Q184/Dashboard!$P173, "")</f>
        <v/>
      </c>
      <c r="S184" s="121"/>
      <c r="T184" s="122"/>
      <c r="U184" s="122"/>
      <c r="V184" s="122"/>
    </row>
    <row r="185" spans="16:22" ht="20" customHeight="1" x14ac:dyDescent="0.35">
      <c r="P185" s="67"/>
      <c r="Q185" s="68"/>
      <c r="R185" s="69" t="str">
        <f>IF(AND(NOT(ISBLANK(Q185)), Dashboard!$P173&gt;0), Q185/Dashboard!$P173, "")</f>
        <v/>
      </c>
      <c r="S185" s="121"/>
      <c r="T185" s="122"/>
      <c r="U185" s="122"/>
      <c r="V185" s="122"/>
    </row>
    <row r="186" spans="16:22" ht="20" customHeight="1" x14ac:dyDescent="0.35">
      <c r="P186" s="67"/>
      <c r="Q186" s="68"/>
      <c r="R186" s="69" t="str">
        <f>IF(AND(NOT(ISBLANK(Q186)), Dashboard!$P173&gt;0), Q186/Dashboard!$P173, "")</f>
        <v/>
      </c>
      <c r="S186" s="121"/>
      <c r="T186" s="122"/>
      <c r="U186" s="122"/>
      <c r="V186" s="122"/>
    </row>
    <row r="187" spans="16:22" ht="20" customHeight="1" x14ac:dyDescent="0.35">
      <c r="P187" s="67"/>
      <c r="Q187" s="68"/>
      <c r="R187" s="69" t="str">
        <f>IF(AND(NOT(ISBLANK(Q187)), Dashboard!$P173&gt;0), Q187/Dashboard!$P173, "")</f>
        <v/>
      </c>
      <c r="S187" s="121"/>
      <c r="T187" s="122"/>
      <c r="U187" s="122"/>
      <c r="V187" s="122"/>
    </row>
    <row r="188" spans="16:22" ht="20" customHeight="1" x14ac:dyDescent="0.35">
      <c r="P188" s="67"/>
      <c r="Q188" s="68"/>
      <c r="R188" s="69" t="str">
        <f>IF(AND(NOT(ISBLANK(Q188)), Dashboard!$P173&gt;0), Q188/Dashboard!$P173, "")</f>
        <v/>
      </c>
      <c r="S188" s="121"/>
      <c r="T188" s="122"/>
      <c r="U188" s="122"/>
      <c r="V188" s="122"/>
    </row>
    <row r="189" spans="16:22" ht="20" customHeight="1" x14ac:dyDescent="0.35">
      <c r="P189" s="67"/>
      <c r="Q189" s="68"/>
      <c r="R189" s="69" t="str">
        <f>IF(AND(NOT(ISBLANK(Q189)), Dashboard!$P173&gt;0), Q189/Dashboard!$P173, "")</f>
        <v/>
      </c>
      <c r="S189" s="121"/>
      <c r="T189" s="122"/>
      <c r="U189" s="122"/>
      <c r="V189" s="122"/>
    </row>
    <row r="190" spans="16:22" ht="20" customHeight="1" x14ac:dyDescent="0.35">
      <c r="P190" s="67"/>
      <c r="Q190" s="68"/>
      <c r="R190" s="69" t="str">
        <f>IF(AND(NOT(ISBLANK(Q190)), Dashboard!$P173&gt;0), Q190/Dashboard!$P173, "")</f>
        <v/>
      </c>
      <c r="S190" s="121"/>
      <c r="T190" s="122"/>
      <c r="U190" s="122"/>
      <c r="V190" s="122"/>
    </row>
    <row r="191" spans="16:22" ht="20" customHeight="1" x14ac:dyDescent="0.35">
      <c r="P191" s="67"/>
      <c r="Q191" s="68"/>
      <c r="R191" s="69" t="str">
        <f>IF(AND(NOT(ISBLANK(Q191)), Dashboard!$P173&gt;0), Q191/Dashboard!$P173, "")</f>
        <v/>
      </c>
      <c r="S191" s="121"/>
      <c r="T191" s="122"/>
      <c r="U191" s="122"/>
      <c r="V191" s="122"/>
    </row>
    <row r="192" spans="16:22" ht="20" customHeight="1" x14ac:dyDescent="0.35">
      <c r="P192" s="67"/>
      <c r="Q192" s="68"/>
      <c r="R192" s="69" t="str">
        <f>IF(AND(NOT(ISBLANK(Q192)), Dashboard!$P173&gt;0), Q192/Dashboard!$P173, "")</f>
        <v/>
      </c>
      <c r="S192" s="121"/>
      <c r="T192" s="122"/>
      <c r="U192" s="122"/>
      <c r="V192" s="122"/>
    </row>
    <row r="193" spans="2:22" ht="20" customHeight="1" x14ac:dyDescent="0.35">
      <c r="P193" s="67"/>
      <c r="Q193" s="68"/>
      <c r="R193" s="69" t="str">
        <f>IF(AND(NOT(ISBLANK(Q193)), Dashboard!$P173&gt;0), Q193/Dashboard!$P173, "")</f>
        <v/>
      </c>
      <c r="S193" s="121"/>
      <c r="T193" s="122"/>
      <c r="U193" s="122"/>
      <c r="V193" s="122"/>
    </row>
    <row r="194" spans="2:22" ht="20" customHeight="1" x14ac:dyDescent="0.35">
      <c r="P194" s="67"/>
      <c r="Q194" s="68"/>
      <c r="R194" s="69" t="str">
        <f>IF(AND(NOT(ISBLANK(Q194)), Dashboard!$P173&gt;0), Q194/Dashboard!$P173, "")</f>
        <v/>
      </c>
      <c r="S194" s="121"/>
      <c r="T194" s="122"/>
      <c r="U194" s="122"/>
      <c r="V194" s="122"/>
    </row>
    <row r="195" spans="2:22" ht="20" customHeight="1" x14ac:dyDescent="0.35">
      <c r="P195" s="67"/>
      <c r="Q195" s="68"/>
      <c r="R195" s="69" t="str">
        <f>IF(AND(NOT(ISBLANK(Q195)), Dashboard!$P173&gt;0), Q195/Dashboard!$P173, "")</f>
        <v/>
      </c>
      <c r="S195" s="121"/>
      <c r="T195" s="122"/>
      <c r="U195" s="122"/>
      <c r="V195" s="122"/>
    </row>
    <row r="196" spans="2:22" ht="20" customHeight="1" x14ac:dyDescent="0.35">
      <c r="P196" s="67"/>
      <c r="Q196" s="68"/>
      <c r="R196" s="69" t="str">
        <f>IF(AND(NOT(ISBLANK(Q196)), Dashboard!$P173&gt;0), Q196/Dashboard!$P173, "")</f>
        <v/>
      </c>
      <c r="S196" s="121"/>
      <c r="T196" s="122"/>
      <c r="U196" s="122"/>
      <c r="V196" s="122"/>
    </row>
    <row r="200" spans="2:22" ht="32" customHeight="1" x14ac:dyDescent="0.35">
      <c r="B200" s="106" t="s">
        <v>81</v>
      </c>
      <c r="C200" s="106"/>
      <c r="D200" s="106"/>
      <c r="E200" s="106"/>
      <c r="F200" s="106"/>
      <c r="G200" s="106"/>
      <c r="H200" s="106"/>
      <c r="I200" s="106"/>
    </row>
  </sheetData>
  <mergeCells count="55">
    <mergeCell ref="B200:I200"/>
    <mergeCell ref="S192:V192"/>
    <mergeCell ref="S193:V193"/>
    <mergeCell ref="S194:V194"/>
    <mergeCell ref="S195:V195"/>
    <mergeCell ref="S196:V196"/>
    <mergeCell ref="S187:V187"/>
    <mergeCell ref="S188:V188"/>
    <mergeCell ref="S189:V189"/>
    <mergeCell ref="S190:V190"/>
    <mergeCell ref="S191:V191"/>
    <mergeCell ref="S182:V182"/>
    <mergeCell ref="S183:V183"/>
    <mergeCell ref="S184:V184"/>
    <mergeCell ref="S185:V185"/>
    <mergeCell ref="S186:V186"/>
    <mergeCell ref="S177:V177"/>
    <mergeCell ref="S178:V178"/>
    <mergeCell ref="S179:V179"/>
    <mergeCell ref="S180:V180"/>
    <mergeCell ref="S181:V181"/>
    <mergeCell ref="P172:Q172"/>
    <mergeCell ref="R172:T172"/>
    <mergeCell ref="P173:Q173"/>
    <mergeCell ref="R173:T173"/>
    <mergeCell ref="S176:V176"/>
    <mergeCell ref="C121:D121"/>
    <mergeCell ref="G121:H121"/>
    <mergeCell ref="B130:F130"/>
    <mergeCell ref="P130:W130"/>
    <mergeCell ref="B171:F171"/>
    <mergeCell ref="P171:U171"/>
    <mergeCell ref="C118:D118"/>
    <mergeCell ref="G118:H118"/>
    <mergeCell ref="C119:D119"/>
    <mergeCell ref="G119:H119"/>
    <mergeCell ref="C120:D120"/>
    <mergeCell ref="G120:H120"/>
    <mergeCell ref="C115:D115"/>
    <mergeCell ref="G115:H115"/>
    <mergeCell ref="C116:D116"/>
    <mergeCell ref="G116:H116"/>
    <mergeCell ref="C117:D117"/>
    <mergeCell ref="G117:H117"/>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6:H121">
    <cfRule type="expression" dxfId="35" priority="4">
      <formula>$G116&gt;=0.8</formula>
    </cfRule>
    <cfRule type="expression" dxfId="34" priority="5">
      <formula>AND($G116&gt;=0.5,$G116&lt;0.8)</formula>
    </cfRule>
    <cfRule type="expression" dxfId="33" priority="6">
      <formula>$G116&lt;0.5</formula>
    </cfRule>
  </conditionalFormatting>
  <conditionalFormatting sqref="K116:K121">
    <cfRule type="cellIs" dxfId="32" priority="7" operator="greaterThan">
      <formula>0</formula>
    </cfRule>
  </conditionalFormatting>
  <conditionalFormatting sqref="L116:L121">
    <cfRule type="cellIs" dxfId="31" priority="8" operator="greaterThan">
      <formula>0</formula>
    </cfRule>
  </conditionalFormatting>
  <conditionalFormatting sqref="M116:M121">
    <cfRule type="cellIs" dxfId="30" priority="9" operator="greaterThan">
      <formula>0</formula>
    </cfRule>
  </conditionalFormatting>
  <conditionalFormatting sqref="N116:N121">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5" xr:uid="{00000000-0002-0000-0100-000000000000}">
      <formula1>0</formula1>
      <formula2>C16</formula2>
    </dataValidation>
    <dataValidation type="whole" allowBlank="1" showErrorMessage="1" errorTitle="Invalid count" error="Value must be between 0 and the current implemented total." sqref="S135" xr:uid="{00000000-0002-0000-0100-000001000000}">
      <formula1>0</formula1>
      <formula2>C78</formula2>
    </dataValidation>
    <dataValidation type="whole" allowBlank="1" showErrorMessage="1" errorTitle="Invalid count" error="Value must be between 0 and the current implemented total." sqref="U135" xr:uid="{00000000-0002-0000-0100-000002000000}">
      <formula1>0</formula1>
      <formula2>C79</formula2>
    </dataValidation>
    <dataValidation type="whole" allowBlank="1" showErrorMessage="1" errorTitle="Invalid count" error="Value must be between 0 and the current implemented total." sqref="W135" xr:uid="{00000000-0002-0000-0100-000003000000}">
      <formula1>0</formula1>
      <formula2>C80</formula2>
    </dataValidation>
    <dataValidation type="whole" allowBlank="1" showErrorMessage="1" errorTitle="Invalid overall count" error="Overall count must be between 0 and the current implemented total." sqref="Q136" xr:uid="{00000000-0002-0000-0100-000004000000}">
      <formula1>0</formula1>
      <formula2>C16</formula2>
    </dataValidation>
    <dataValidation type="whole" allowBlank="1" showErrorMessage="1" errorTitle="Invalid count" error="Value must be between 0 and the current implemented total." sqref="S136" xr:uid="{00000000-0002-0000-0100-000005000000}">
      <formula1>0</formula1>
      <formula2>C78</formula2>
    </dataValidation>
    <dataValidation type="whole" allowBlank="1" showErrorMessage="1" errorTitle="Invalid count" error="Value must be between 0 and the current implemented total." sqref="U136" xr:uid="{00000000-0002-0000-0100-000006000000}">
      <formula1>0</formula1>
      <formula2>C79</formula2>
    </dataValidation>
    <dataValidation type="whole" allowBlank="1" showErrorMessage="1" errorTitle="Invalid count" error="Value must be between 0 and the current implemented total." sqref="W136" xr:uid="{00000000-0002-0000-0100-000007000000}">
      <formula1>0</formula1>
      <formula2>C80</formula2>
    </dataValidation>
    <dataValidation type="whole" allowBlank="1" showErrorMessage="1" errorTitle="Invalid overall count" error="Overall count must be between 0 and the current implemented total." sqref="Q137" xr:uid="{00000000-0002-0000-0100-000008000000}">
      <formula1>0</formula1>
      <formula2>C16</formula2>
    </dataValidation>
    <dataValidation type="whole" allowBlank="1" showErrorMessage="1" errorTitle="Invalid count" error="Value must be between 0 and the current implemented total." sqref="S137" xr:uid="{00000000-0002-0000-0100-000009000000}">
      <formula1>0</formula1>
      <formula2>C78</formula2>
    </dataValidation>
    <dataValidation type="whole" allowBlank="1" showErrorMessage="1" errorTitle="Invalid count" error="Value must be between 0 and the current implemented total." sqref="U137" xr:uid="{00000000-0002-0000-0100-00000A000000}">
      <formula1>0</formula1>
      <formula2>C79</formula2>
    </dataValidation>
    <dataValidation type="whole" allowBlank="1" showErrorMessage="1" errorTitle="Invalid count" error="Value must be between 0 and the current implemented total." sqref="W137" xr:uid="{00000000-0002-0000-0100-00000B000000}">
      <formula1>0</formula1>
      <formula2>C80</formula2>
    </dataValidation>
    <dataValidation type="whole" allowBlank="1" showErrorMessage="1" errorTitle="Invalid overall count" error="Overall count must be between 0 and the current implemented total." sqref="Q138" xr:uid="{00000000-0002-0000-0100-00000C000000}">
      <formula1>0</formula1>
      <formula2>C16</formula2>
    </dataValidation>
    <dataValidation type="whole" allowBlank="1" showErrorMessage="1" errorTitle="Invalid count" error="Value must be between 0 and the current implemented total." sqref="S138" xr:uid="{00000000-0002-0000-0100-00000D000000}">
      <formula1>0</formula1>
      <formula2>C78</formula2>
    </dataValidation>
    <dataValidation type="whole" allowBlank="1" showErrorMessage="1" errorTitle="Invalid count" error="Value must be between 0 and the current implemented total." sqref="U138" xr:uid="{00000000-0002-0000-0100-00000E000000}">
      <formula1>0</formula1>
      <formula2>C79</formula2>
    </dataValidation>
    <dataValidation type="whole" allowBlank="1" showErrorMessage="1" errorTitle="Invalid count" error="Value must be between 0 and the current implemented total." sqref="W138" xr:uid="{00000000-0002-0000-0100-00000F000000}">
      <formula1>0</formula1>
      <formula2>C80</formula2>
    </dataValidation>
    <dataValidation type="whole" allowBlank="1" showErrorMessage="1" errorTitle="Invalid overall count" error="Overall count must be between 0 and the current implemented total." sqref="Q139" xr:uid="{00000000-0002-0000-0100-000010000000}">
      <formula1>0</formula1>
      <formula2>C16</formula2>
    </dataValidation>
    <dataValidation type="whole" allowBlank="1" showErrorMessage="1" errorTitle="Invalid count" error="Value must be between 0 and the current implemented total." sqref="S139" xr:uid="{00000000-0002-0000-0100-000011000000}">
      <formula1>0</formula1>
      <formula2>C78</formula2>
    </dataValidation>
    <dataValidation type="whole" allowBlank="1" showErrorMessage="1" errorTitle="Invalid count" error="Value must be between 0 and the current implemented total." sqref="U139" xr:uid="{00000000-0002-0000-0100-000012000000}">
      <formula1>0</formula1>
      <formula2>C79</formula2>
    </dataValidation>
    <dataValidation type="whole" allowBlank="1" showErrorMessage="1" errorTitle="Invalid count" error="Value must be between 0 and the current implemented total." sqref="W139" xr:uid="{00000000-0002-0000-0100-000013000000}">
      <formula1>0</formula1>
      <formula2>C80</formula2>
    </dataValidation>
    <dataValidation type="whole" allowBlank="1" showErrorMessage="1" errorTitle="Invalid overall count" error="Overall count must be between 0 and the current implemented total." sqref="Q140" xr:uid="{00000000-0002-0000-0100-000014000000}">
      <formula1>0</formula1>
      <formula2>C16</formula2>
    </dataValidation>
    <dataValidation type="whole" allowBlank="1" showErrorMessage="1" errorTitle="Invalid count" error="Value must be between 0 and the current implemented total." sqref="S140" xr:uid="{00000000-0002-0000-0100-000015000000}">
      <formula1>0</formula1>
      <formula2>C78</formula2>
    </dataValidation>
    <dataValidation type="whole" allowBlank="1" showErrorMessage="1" errorTitle="Invalid count" error="Value must be between 0 and the current implemented total." sqref="U140" xr:uid="{00000000-0002-0000-0100-000016000000}">
      <formula1>0</formula1>
      <formula2>C79</formula2>
    </dataValidation>
    <dataValidation type="whole" allowBlank="1" showErrorMessage="1" errorTitle="Invalid count" error="Value must be between 0 and the current implemented total." sqref="W140" xr:uid="{00000000-0002-0000-0100-000017000000}">
      <formula1>0</formula1>
      <formula2>C80</formula2>
    </dataValidation>
    <dataValidation type="whole" allowBlank="1" showErrorMessage="1" errorTitle="Invalid overall count" error="Overall count must be between 0 and the current implemented total." sqref="Q141" xr:uid="{00000000-0002-0000-0100-000018000000}">
      <formula1>0</formula1>
      <formula2>C16</formula2>
    </dataValidation>
    <dataValidation type="whole" allowBlank="1" showErrorMessage="1" errorTitle="Invalid count" error="Value must be between 0 and the current implemented total." sqref="S141" xr:uid="{00000000-0002-0000-0100-000019000000}">
      <formula1>0</formula1>
      <formula2>C78</formula2>
    </dataValidation>
    <dataValidation type="whole" allowBlank="1" showErrorMessage="1" errorTitle="Invalid count" error="Value must be between 0 and the current implemented total." sqref="U141" xr:uid="{00000000-0002-0000-0100-00001A000000}">
      <formula1>0</formula1>
      <formula2>C79</formula2>
    </dataValidation>
    <dataValidation type="whole" allowBlank="1" showErrorMessage="1" errorTitle="Invalid count" error="Value must be between 0 and the current implemented total." sqref="W141" xr:uid="{00000000-0002-0000-0100-00001B000000}">
      <formula1>0</formula1>
      <formula2>C80</formula2>
    </dataValidation>
    <dataValidation type="whole" allowBlank="1" showErrorMessage="1" errorTitle="Invalid overall count" error="Overall count must be between 0 and the current implemented total." sqref="Q142" xr:uid="{00000000-0002-0000-0100-00001C000000}">
      <formula1>0</formula1>
      <formula2>C16</formula2>
    </dataValidation>
    <dataValidation type="whole" allowBlank="1" showErrorMessage="1" errorTitle="Invalid count" error="Value must be between 0 and the current implemented total." sqref="S142" xr:uid="{00000000-0002-0000-0100-00001D000000}">
      <formula1>0</formula1>
      <formula2>C78</formula2>
    </dataValidation>
    <dataValidation type="whole" allowBlank="1" showErrorMessage="1" errorTitle="Invalid count" error="Value must be between 0 and the current implemented total." sqref="U142" xr:uid="{00000000-0002-0000-0100-00001E000000}">
      <formula1>0</formula1>
      <formula2>C79</formula2>
    </dataValidation>
    <dataValidation type="whole" allowBlank="1" showErrorMessage="1" errorTitle="Invalid count" error="Value must be between 0 and the current implemented total." sqref="W142" xr:uid="{00000000-0002-0000-0100-00001F000000}">
      <formula1>0</formula1>
      <formula2>C80</formula2>
    </dataValidation>
    <dataValidation type="whole" allowBlank="1" showErrorMessage="1" errorTitle="Invalid overall count" error="Overall count must be between 0 and the current implemented total." sqref="Q143" xr:uid="{00000000-0002-0000-0100-000020000000}">
      <formula1>0</formula1>
      <formula2>C16</formula2>
    </dataValidation>
    <dataValidation type="whole" allowBlank="1" showErrorMessage="1" errorTitle="Invalid count" error="Value must be between 0 and the current implemented total." sqref="S143" xr:uid="{00000000-0002-0000-0100-000021000000}">
      <formula1>0</formula1>
      <formula2>C78</formula2>
    </dataValidation>
    <dataValidation type="whole" allowBlank="1" showErrorMessage="1" errorTitle="Invalid count" error="Value must be between 0 and the current implemented total." sqref="U143" xr:uid="{00000000-0002-0000-0100-000022000000}">
      <formula1>0</formula1>
      <formula2>C79</formula2>
    </dataValidation>
    <dataValidation type="whole" allowBlank="1" showErrorMessage="1" errorTitle="Invalid count" error="Value must be between 0 and the current implemented total." sqref="W143" xr:uid="{00000000-0002-0000-0100-000023000000}">
      <formula1>0</formula1>
      <formula2>C80</formula2>
    </dataValidation>
    <dataValidation type="whole" allowBlank="1" showErrorMessage="1" errorTitle="Invalid overall count" error="Overall count must be between 0 and the current implemented total." sqref="Q144" xr:uid="{00000000-0002-0000-0100-000024000000}">
      <formula1>0</formula1>
      <formula2>C16</formula2>
    </dataValidation>
    <dataValidation type="whole" allowBlank="1" showErrorMessage="1" errorTitle="Invalid count" error="Value must be between 0 and the current implemented total." sqref="S144" xr:uid="{00000000-0002-0000-0100-000025000000}">
      <formula1>0</formula1>
      <formula2>C78</formula2>
    </dataValidation>
    <dataValidation type="whole" allowBlank="1" showErrorMessage="1" errorTitle="Invalid count" error="Value must be between 0 and the current implemented total." sqref="U144" xr:uid="{00000000-0002-0000-0100-000026000000}">
      <formula1>0</formula1>
      <formula2>C79</formula2>
    </dataValidation>
    <dataValidation type="whole" allowBlank="1" showErrorMessage="1" errorTitle="Invalid count" error="Value must be between 0 and the current implemented total." sqref="W144" xr:uid="{00000000-0002-0000-0100-000027000000}">
      <formula1>0</formula1>
      <formula2>C80</formula2>
    </dataValidation>
    <dataValidation type="whole" allowBlank="1" showErrorMessage="1" errorTitle="Invalid overall count" error="Overall count must be between 0 and the current implemented total." sqref="Q145" xr:uid="{00000000-0002-0000-0100-000028000000}">
      <formula1>0</formula1>
      <formula2>C16</formula2>
    </dataValidation>
    <dataValidation type="whole" allowBlank="1" showErrorMessage="1" errorTitle="Invalid count" error="Value must be between 0 and the current implemented total." sqref="S145" xr:uid="{00000000-0002-0000-0100-000029000000}">
      <formula1>0</formula1>
      <formula2>C78</formula2>
    </dataValidation>
    <dataValidation type="whole" allowBlank="1" showErrorMessage="1" errorTitle="Invalid count" error="Value must be between 0 and the current implemented total." sqref="U145" xr:uid="{00000000-0002-0000-0100-00002A000000}">
      <formula1>0</formula1>
      <formula2>C79</formula2>
    </dataValidation>
    <dataValidation type="whole" allowBlank="1" showErrorMessage="1" errorTitle="Invalid count" error="Value must be between 0 and the current implemented total." sqref="W145" xr:uid="{00000000-0002-0000-0100-00002B000000}">
      <formula1>0</formula1>
      <formula2>C80</formula2>
    </dataValidation>
    <dataValidation type="whole" allowBlank="1" showErrorMessage="1" errorTitle="Invalid overall count" error="Overall count must be between 0 and the current implemented total." sqref="Q146" xr:uid="{00000000-0002-0000-0100-00002C000000}">
      <formula1>0</formula1>
      <formula2>C16</formula2>
    </dataValidation>
    <dataValidation type="whole" allowBlank="1" showErrorMessage="1" errorTitle="Invalid count" error="Value must be between 0 and the current implemented total." sqref="S146" xr:uid="{00000000-0002-0000-0100-00002D000000}">
      <formula1>0</formula1>
      <formula2>C78</formula2>
    </dataValidation>
    <dataValidation type="whole" allowBlank="1" showErrorMessage="1" errorTitle="Invalid count" error="Value must be between 0 and the current implemented total." sqref="U146" xr:uid="{00000000-0002-0000-0100-00002E000000}">
      <formula1>0</formula1>
      <formula2>C79</formula2>
    </dataValidation>
    <dataValidation type="whole" allowBlank="1" showErrorMessage="1" errorTitle="Invalid count" error="Value must be between 0 and the current implemented total." sqref="W146" xr:uid="{00000000-0002-0000-0100-00002F000000}">
      <formula1>0</formula1>
      <formula2>C80</formula2>
    </dataValidation>
    <dataValidation type="whole" allowBlank="1" showErrorMessage="1" errorTitle="Invalid overall count" error="Overall count must be between 0 and the current implemented total." sqref="Q147" xr:uid="{00000000-0002-0000-0100-000030000000}">
      <formula1>0</formula1>
      <formula2>C16</formula2>
    </dataValidation>
    <dataValidation type="whole" allowBlank="1" showErrorMessage="1" errorTitle="Invalid count" error="Value must be between 0 and the current implemented total." sqref="S147" xr:uid="{00000000-0002-0000-0100-000031000000}">
      <formula1>0</formula1>
      <formula2>C78</formula2>
    </dataValidation>
    <dataValidation type="whole" allowBlank="1" showErrorMessage="1" errorTitle="Invalid count" error="Value must be between 0 and the current implemented total." sqref="U147" xr:uid="{00000000-0002-0000-0100-000032000000}">
      <formula1>0</formula1>
      <formula2>C79</formula2>
    </dataValidation>
    <dataValidation type="whole" allowBlank="1" showErrorMessage="1" errorTitle="Invalid count" error="Value must be between 0 and the current implemented total." sqref="W147" xr:uid="{00000000-0002-0000-0100-000033000000}">
      <formula1>0</formula1>
      <formula2>C80</formula2>
    </dataValidation>
    <dataValidation type="whole" allowBlank="1" showErrorMessage="1" errorTitle="Invalid overall count" error="Overall count must be between 0 and the current implemented total." sqref="Q148" xr:uid="{00000000-0002-0000-0100-000034000000}">
      <formula1>0</formula1>
      <formula2>C16</formula2>
    </dataValidation>
    <dataValidation type="whole" allowBlank="1" showErrorMessage="1" errorTitle="Invalid count" error="Value must be between 0 and the current implemented total." sqref="S148" xr:uid="{00000000-0002-0000-0100-000035000000}">
      <formula1>0</formula1>
      <formula2>C78</formula2>
    </dataValidation>
    <dataValidation type="whole" allowBlank="1" showErrorMessage="1" errorTitle="Invalid count" error="Value must be between 0 and the current implemented total." sqref="U148" xr:uid="{00000000-0002-0000-0100-000036000000}">
      <formula1>0</formula1>
      <formula2>C79</formula2>
    </dataValidation>
    <dataValidation type="whole" allowBlank="1" showErrorMessage="1" errorTitle="Invalid count" error="Value must be between 0 and the current implemented total." sqref="W148" xr:uid="{00000000-0002-0000-0100-000037000000}">
      <formula1>0</formula1>
      <formula2>C80</formula2>
    </dataValidation>
    <dataValidation type="whole" allowBlank="1" showErrorMessage="1" errorTitle="Invalid overall count" error="Overall count must be between 0 and the current implemented total." sqref="Q149" xr:uid="{00000000-0002-0000-0100-000038000000}">
      <formula1>0</formula1>
      <formula2>C16</formula2>
    </dataValidation>
    <dataValidation type="whole" allowBlank="1" showErrorMessage="1" errorTitle="Invalid count" error="Value must be between 0 and the current implemented total." sqref="S149" xr:uid="{00000000-0002-0000-0100-000039000000}">
      <formula1>0</formula1>
      <formula2>C78</formula2>
    </dataValidation>
    <dataValidation type="whole" allowBlank="1" showErrorMessage="1" errorTitle="Invalid count" error="Value must be between 0 and the current implemented total." sqref="U149" xr:uid="{00000000-0002-0000-0100-00003A000000}">
      <formula1>0</formula1>
      <formula2>C79</formula2>
    </dataValidation>
    <dataValidation type="whole" allowBlank="1" showErrorMessage="1" errorTitle="Invalid count" error="Value must be between 0 and the current implemented total." sqref="W149" xr:uid="{00000000-0002-0000-0100-00003B000000}">
      <formula1>0</formula1>
      <formula2>C80</formula2>
    </dataValidation>
    <dataValidation type="whole" allowBlank="1" showErrorMessage="1" errorTitle="Invalid overall count" error="Overall count must be between 0 and the current implemented total." sqref="Q150" xr:uid="{00000000-0002-0000-0100-00003C000000}">
      <formula1>0</formula1>
      <formula2>C16</formula2>
    </dataValidation>
    <dataValidation type="whole" allowBlank="1" showErrorMessage="1" errorTitle="Invalid count" error="Value must be between 0 and the current implemented total." sqref="S150" xr:uid="{00000000-0002-0000-0100-00003D000000}">
      <formula1>0</formula1>
      <formula2>C78</formula2>
    </dataValidation>
    <dataValidation type="whole" allowBlank="1" showErrorMessage="1" errorTitle="Invalid count" error="Value must be between 0 and the current implemented total." sqref="U150" xr:uid="{00000000-0002-0000-0100-00003E000000}">
      <formula1>0</formula1>
      <formula2>C79</formula2>
    </dataValidation>
    <dataValidation type="whole" allowBlank="1" showErrorMessage="1" errorTitle="Invalid count" error="Value must be between 0 and the current implemented total." sqref="W150" xr:uid="{00000000-0002-0000-0100-00003F000000}">
      <formula1>0</formula1>
      <formula2>C80</formula2>
    </dataValidation>
    <dataValidation type="whole" allowBlank="1" showErrorMessage="1" errorTitle="Invalid overall count" error="Overall count must be between 0 and the current implemented total." sqref="Q151" xr:uid="{00000000-0002-0000-0100-000040000000}">
      <formula1>0</formula1>
      <formula2>C16</formula2>
    </dataValidation>
    <dataValidation type="whole" allowBlank="1" showErrorMessage="1" errorTitle="Invalid count" error="Value must be between 0 and the current implemented total." sqref="S151" xr:uid="{00000000-0002-0000-0100-000041000000}">
      <formula1>0</formula1>
      <formula2>C78</formula2>
    </dataValidation>
    <dataValidation type="whole" allowBlank="1" showErrorMessage="1" errorTitle="Invalid count" error="Value must be between 0 and the current implemented total." sqref="U151" xr:uid="{00000000-0002-0000-0100-000042000000}">
      <formula1>0</formula1>
      <formula2>C79</formula2>
    </dataValidation>
    <dataValidation type="whole" allowBlank="1" showErrorMessage="1" errorTitle="Invalid count" error="Value must be between 0 and the current implemented total." sqref="W151" xr:uid="{00000000-0002-0000-0100-000043000000}">
      <formula1>0</formula1>
      <formula2>C80</formula2>
    </dataValidation>
    <dataValidation type="whole" allowBlank="1" showErrorMessage="1" errorTitle="Invalid overall count" error="Overall count must be between 0 and the current implemented total." sqref="Q152" xr:uid="{00000000-0002-0000-0100-000044000000}">
      <formula1>0</formula1>
      <formula2>C16</formula2>
    </dataValidation>
    <dataValidation type="whole" allowBlank="1" showErrorMessage="1" errorTitle="Invalid count" error="Value must be between 0 and the current implemented total." sqref="S152" xr:uid="{00000000-0002-0000-0100-000045000000}">
      <formula1>0</formula1>
      <formula2>C78</formula2>
    </dataValidation>
    <dataValidation type="whole" allowBlank="1" showErrorMessage="1" errorTitle="Invalid count" error="Value must be between 0 and the current implemented total." sqref="U152" xr:uid="{00000000-0002-0000-0100-000046000000}">
      <formula1>0</formula1>
      <formula2>C79</formula2>
    </dataValidation>
    <dataValidation type="whole" allowBlank="1" showErrorMessage="1" errorTitle="Invalid count" error="Value must be between 0 and the current implemented total." sqref="W152" xr:uid="{00000000-0002-0000-0100-000047000000}">
      <formula1>0</formula1>
      <formula2>C80</formula2>
    </dataValidation>
    <dataValidation type="whole" allowBlank="1" showErrorMessage="1" errorTitle="Invalid overall count" error="Overall count must be between 0 and the current implemented total." sqref="Q153" xr:uid="{00000000-0002-0000-0100-000048000000}">
      <formula1>0</formula1>
      <formula2>C16</formula2>
    </dataValidation>
    <dataValidation type="whole" allowBlank="1" showErrorMessage="1" errorTitle="Invalid count" error="Value must be between 0 and the current implemented total." sqref="S153" xr:uid="{00000000-0002-0000-0100-000049000000}">
      <formula1>0</formula1>
      <formula2>C78</formula2>
    </dataValidation>
    <dataValidation type="whole" allowBlank="1" showErrorMessage="1" errorTitle="Invalid count" error="Value must be between 0 and the current implemented total." sqref="U153" xr:uid="{00000000-0002-0000-0100-00004A000000}">
      <formula1>0</formula1>
      <formula2>C79</formula2>
    </dataValidation>
    <dataValidation type="whole" allowBlank="1" showErrorMessage="1" errorTitle="Invalid count" error="Value must be between 0 and the current implemented total." sqref="W153" xr:uid="{00000000-0002-0000-0100-00004B000000}">
      <formula1>0</formula1>
      <formula2>C80</formula2>
    </dataValidation>
    <dataValidation type="whole" allowBlank="1" showErrorMessage="1" errorTitle="Invalid overall count" error="Overall count must be between 0 and the current implemented total." sqref="Q154" xr:uid="{00000000-0002-0000-0100-00004C000000}">
      <formula1>0</formula1>
      <formula2>C16</formula2>
    </dataValidation>
    <dataValidation type="whole" allowBlank="1" showErrorMessage="1" errorTitle="Invalid count" error="Value must be between 0 and the current implemented total." sqref="S154" xr:uid="{00000000-0002-0000-0100-00004D000000}">
      <formula1>0</formula1>
      <formula2>C78</formula2>
    </dataValidation>
    <dataValidation type="whole" allowBlank="1" showErrorMessage="1" errorTitle="Invalid count" error="Value must be between 0 and the current implemented total." sqref="U154" xr:uid="{00000000-0002-0000-0100-00004E000000}">
      <formula1>0</formula1>
      <formula2>C79</formula2>
    </dataValidation>
    <dataValidation type="whole" allowBlank="1" showErrorMessage="1" errorTitle="Invalid count" error="Value must be between 0 and the current implemented total." sqref="W154" xr:uid="{00000000-0002-0000-0100-00004F000000}">
      <formula1>0</formula1>
      <formula2>C80</formula2>
    </dataValidation>
    <dataValidation type="whole" allowBlank="1" showErrorMessage="1" errorTitle="Invalid overall count" error="Overall count must be between 0 and the current implemented total." sqref="Q155" xr:uid="{00000000-0002-0000-0100-000050000000}">
      <formula1>0</formula1>
      <formula2>C16</formula2>
    </dataValidation>
    <dataValidation type="whole" allowBlank="1" showErrorMessage="1" errorTitle="Invalid count" error="Value must be between 0 and the current implemented total." sqref="S155" xr:uid="{00000000-0002-0000-0100-000051000000}">
      <formula1>0</formula1>
      <formula2>C78</formula2>
    </dataValidation>
    <dataValidation type="whole" allowBlank="1" showErrorMessage="1" errorTitle="Invalid count" error="Value must be between 0 and the current implemented total." sqref="U155" xr:uid="{00000000-0002-0000-0100-000052000000}">
      <formula1>0</formula1>
      <formula2>C79</formula2>
    </dataValidation>
    <dataValidation type="whole" allowBlank="1" showErrorMessage="1" errorTitle="Invalid count" error="Value must be between 0 and the current implemented total." sqref="W155" xr:uid="{00000000-0002-0000-0100-000053000000}">
      <formula1>0</formula1>
      <formula2>C80</formula2>
    </dataValidation>
    <dataValidation type="whole" allowBlank="1" showErrorMessage="1" errorTitle="Invalid overall count" error="Overall count must be between 0 and the current implemented total." sqref="Q156" xr:uid="{00000000-0002-0000-0100-000054000000}">
      <formula1>0</formula1>
      <formula2>C16</formula2>
    </dataValidation>
    <dataValidation type="whole" allowBlank="1" showErrorMessage="1" errorTitle="Invalid count" error="Value must be between 0 and the current implemented total." sqref="S156" xr:uid="{00000000-0002-0000-0100-000055000000}">
      <formula1>0</formula1>
      <formula2>C78</formula2>
    </dataValidation>
    <dataValidation type="whole" allowBlank="1" showErrorMessage="1" errorTitle="Invalid count" error="Value must be between 0 and the current implemented total." sqref="U156" xr:uid="{00000000-0002-0000-0100-000056000000}">
      <formula1>0</formula1>
      <formula2>C79</formula2>
    </dataValidation>
    <dataValidation type="whole" allowBlank="1" showErrorMessage="1" errorTitle="Invalid count" error="Value must be between 0 and the current implemented total." sqref="W156" xr:uid="{00000000-0002-0000-0100-000057000000}">
      <formula1>0</formula1>
      <formula2>C80</formula2>
    </dataValidation>
    <dataValidation type="whole" allowBlank="1" showErrorMessage="1" errorTitle="Invalid overall count" error="Overall count must be between 0 and the current implemented total." sqref="Q157" xr:uid="{00000000-0002-0000-0100-000058000000}">
      <formula1>0</formula1>
      <formula2>C16</formula2>
    </dataValidation>
    <dataValidation type="whole" allowBlank="1" showErrorMessage="1" errorTitle="Invalid count" error="Value must be between 0 and the current implemented total." sqref="S157" xr:uid="{00000000-0002-0000-0100-000059000000}">
      <formula1>0</formula1>
      <formula2>C78</formula2>
    </dataValidation>
    <dataValidation type="whole" allowBlank="1" showErrorMessage="1" errorTitle="Invalid count" error="Value must be between 0 and the current implemented total." sqref="U157" xr:uid="{00000000-0002-0000-0100-00005A000000}">
      <formula1>0</formula1>
      <formula2>C79</formula2>
    </dataValidation>
    <dataValidation type="whole" allowBlank="1" showErrorMessage="1" errorTitle="Invalid count" error="Value must be between 0 and the current implemented total." sqref="W157" xr:uid="{00000000-0002-0000-0100-00005B000000}">
      <formula1>0</formula1>
      <formula2>C80</formula2>
    </dataValidation>
    <dataValidation type="whole" allowBlank="1" showErrorMessage="1" errorTitle="Invalid overall count" error="Overall count must be between 0 and the current implemented total." sqref="Q158" xr:uid="{00000000-0002-0000-0100-00005C000000}">
      <formula1>0</formula1>
      <formula2>C16</formula2>
    </dataValidation>
    <dataValidation type="whole" allowBlank="1" showErrorMessage="1" errorTitle="Invalid count" error="Value must be between 0 and the current implemented total." sqref="S158" xr:uid="{00000000-0002-0000-0100-00005D000000}">
      <formula1>0</formula1>
      <formula2>C78</formula2>
    </dataValidation>
    <dataValidation type="whole" allowBlank="1" showErrorMessage="1" errorTitle="Invalid count" error="Value must be between 0 and the current implemented total." sqref="U158" xr:uid="{00000000-0002-0000-0100-00005E000000}">
      <formula1>0</formula1>
      <formula2>C79</formula2>
    </dataValidation>
    <dataValidation type="whole" allowBlank="1" showErrorMessage="1" errorTitle="Invalid count" error="Value must be between 0 and the current implemented total." sqref="W158" xr:uid="{00000000-0002-0000-0100-00005F000000}">
      <formula1>0</formula1>
      <formula2>C80</formula2>
    </dataValidation>
    <dataValidation type="whole" allowBlank="1" showErrorMessage="1" errorTitle="Invalid overall count" error="Overall count must be between 0 and the current implemented total." sqref="Q159" xr:uid="{00000000-0002-0000-0100-000060000000}">
      <formula1>0</formula1>
      <formula2>C16</formula2>
    </dataValidation>
    <dataValidation type="whole" allowBlank="1" showErrorMessage="1" errorTitle="Invalid count" error="Value must be between 0 and the current implemented total." sqref="S159" xr:uid="{00000000-0002-0000-0100-000061000000}">
      <formula1>0</formula1>
      <formula2>C78</formula2>
    </dataValidation>
    <dataValidation type="whole" allowBlank="1" showErrorMessage="1" errorTitle="Invalid count" error="Value must be between 0 and the current implemented total." sqref="U159" xr:uid="{00000000-0002-0000-0100-000062000000}">
      <formula1>0</formula1>
      <formula2>C79</formula2>
    </dataValidation>
    <dataValidation type="whole" allowBlank="1" showErrorMessage="1" errorTitle="Invalid count" error="Value must be between 0 and the current implemented total." sqref="W159" xr:uid="{00000000-0002-0000-0100-000063000000}">
      <formula1>0</formula1>
      <formula2>C80</formula2>
    </dataValidation>
    <dataValidation type="whole" allowBlank="1" showErrorMessage="1" errorTitle="Invalid overall count" error="Overall count must be between 0 and the current implemented total." sqref="Q160" xr:uid="{00000000-0002-0000-0100-000064000000}">
      <formula1>0</formula1>
      <formula2>C16</formula2>
    </dataValidation>
    <dataValidation type="whole" allowBlank="1" showErrorMessage="1" errorTitle="Invalid count" error="Value must be between 0 and the current implemented total." sqref="S160" xr:uid="{00000000-0002-0000-0100-000065000000}">
      <formula1>0</formula1>
      <formula2>C78</formula2>
    </dataValidation>
    <dataValidation type="whole" allowBlank="1" showErrorMessage="1" errorTitle="Invalid count" error="Value must be between 0 and the current implemented total." sqref="U160" xr:uid="{00000000-0002-0000-0100-000066000000}">
      <formula1>0</formula1>
      <formula2>C79</formula2>
    </dataValidation>
    <dataValidation type="whole" allowBlank="1" showErrorMessage="1" errorTitle="Invalid count" error="Value must be between 0 and the current implemented total." sqref="W160" xr:uid="{00000000-0002-0000-0100-000067000000}">
      <formula1>0</formula1>
      <formula2>C80</formula2>
    </dataValidation>
    <dataValidation type="whole" allowBlank="1" showErrorMessage="1" errorTitle="Invalid overall count" error="Overall count must be between 0 and the current implemented total." sqref="Q161" xr:uid="{00000000-0002-0000-0100-000068000000}">
      <formula1>0</formula1>
      <formula2>C16</formula2>
    </dataValidation>
    <dataValidation type="whole" allowBlank="1" showErrorMessage="1" errorTitle="Invalid count" error="Value must be between 0 and the current implemented total." sqref="S161" xr:uid="{00000000-0002-0000-0100-000069000000}">
      <formula1>0</formula1>
      <formula2>C78</formula2>
    </dataValidation>
    <dataValidation type="whole" allowBlank="1" showErrorMessage="1" errorTitle="Invalid count" error="Value must be between 0 and the current implemented total." sqref="U161" xr:uid="{00000000-0002-0000-0100-00006A000000}">
      <formula1>0</formula1>
      <formula2>C79</formula2>
    </dataValidation>
    <dataValidation type="whole" allowBlank="1" showErrorMessage="1" errorTitle="Invalid count" error="Value must be between 0 and the current implemented total." sqref="W161" xr:uid="{00000000-0002-0000-0100-00006B000000}">
      <formula1>0</formula1>
      <formula2>C80</formula2>
    </dataValidation>
    <dataValidation type="whole" allowBlank="1" showErrorMessage="1" errorTitle="Invalid overall count" error="Overall count must be between 0 and the current implemented total." sqref="Q162" xr:uid="{00000000-0002-0000-0100-00006C000000}">
      <formula1>0</formula1>
      <formula2>C16</formula2>
    </dataValidation>
    <dataValidation type="whole" allowBlank="1" showErrorMessage="1" errorTitle="Invalid count" error="Value must be between 0 and the current implemented total." sqref="S162" xr:uid="{00000000-0002-0000-0100-00006D000000}">
      <formula1>0</formula1>
      <formula2>C78</formula2>
    </dataValidation>
    <dataValidation type="whole" allowBlank="1" showErrorMessage="1" errorTitle="Invalid count" error="Value must be between 0 and the current implemented total." sqref="U162" xr:uid="{00000000-0002-0000-0100-00006E000000}">
      <formula1>0</formula1>
      <formula2>C79</formula2>
    </dataValidation>
    <dataValidation type="whole" allowBlank="1" showErrorMessage="1" errorTitle="Invalid count" error="Value must be between 0 and the current implemented total." sqref="W162" xr:uid="{00000000-0002-0000-0100-00006F000000}">
      <formula1>0</formula1>
      <formula2>C80</formula2>
    </dataValidation>
    <dataValidation type="whole" allowBlank="1" showErrorMessage="1" errorTitle="Invalid overall count" error="Overall count must be between 0 and the current implemented total." sqref="Q163" xr:uid="{00000000-0002-0000-0100-000070000000}">
      <formula1>0</formula1>
      <formula2>C16</formula2>
    </dataValidation>
    <dataValidation type="whole" allowBlank="1" showErrorMessage="1" errorTitle="Invalid count" error="Value must be between 0 and the current implemented total." sqref="S163" xr:uid="{00000000-0002-0000-0100-000071000000}">
      <formula1>0</formula1>
      <formula2>C78</formula2>
    </dataValidation>
    <dataValidation type="whole" allowBlank="1" showErrorMessage="1" errorTitle="Invalid count" error="Value must be between 0 and the current implemented total." sqref="U163" xr:uid="{00000000-0002-0000-0100-000072000000}">
      <formula1>0</formula1>
      <formula2>C79</formula2>
    </dataValidation>
    <dataValidation type="whole" allowBlank="1" showErrorMessage="1" errorTitle="Invalid count" error="Value must be between 0 and the current implemented total." sqref="W163" xr:uid="{00000000-0002-0000-0100-000073000000}">
      <formula1>0</formula1>
      <formula2>C80</formula2>
    </dataValidation>
    <dataValidation type="whole" allowBlank="1" showErrorMessage="1" errorTitle="Invalid overall count" error="Overall count must be between 0 and the current implemented total." sqref="Q164" xr:uid="{00000000-0002-0000-0100-000074000000}">
      <formula1>0</formula1>
      <formula2>C16</formula2>
    </dataValidation>
    <dataValidation type="whole" allowBlank="1" showErrorMessage="1" errorTitle="Invalid count" error="Value must be between 0 and the current implemented total." sqref="S164" xr:uid="{00000000-0002-0000-0100-000075000000}">
      <formula1>0</formula1>
      <formula2>C78</formula2>
    </dataValidation>
    <dataValidation type="whole" allowBlank="1" showErrorMessage="1" errorTitle="Invalid count" error="Value must be between 0 and the current implemented total." sqref="U164" xr:uid="{00000000-0002-0000-0100-000076000000}">
      <formula1>0</formula1>
      <formula2>C79</formula2>
    </dataValidation>
    <dataValidation type="whole" allowBlank="1" showErrorMessage="1" errorTitle="Invalid count" error="Value must be between 0 and the current implemented total." sqref="W164" xr:uid="{00000000-0002-0000-0100-000077000000}">
      <formula1>0</formula1>
      <formula2>C80</formula2>
    </dataValidation>
    <dataValidation type="whole" allowBlank="1" showErrorMessage="1" errorTitle="Invalid Asset Count" error="Value must be between 0 and the Total Asset Numbers above." sqref="Q177" xr:uid="{00000000-0002-0000-0100-000078000000}">
      <formula1>0</formula1>
      <formula2>$P173</formula2>
    </dataValidation>
    <dataValidation type="whole" allowBlank="1" showErrorMessage="1" errorTitle="Invalid Asset Count" error="Value must be between 0 and the Total Asset Numbers above." sqref="Q178" xr:uid="{00000000-0002-0000-0100-000079000000}">
      <formula1>0</formula1>
      <formula2>$P173</formula2>
    </dataValidation>
    <dataValidation type="whole" allowBlank="1" showErrorMessage="1" errorTitle="Invalid Asset Count" error="Value must be between 0 and the Total Asset Numbers above." sqref="Q179" xr:uid="{00000000-0002-0000-0100-00007A000000}">
      <formula1>0</formula1>
      <formula2>$P173</formula2>
    </dataValidation>
    <dataValidation type="whole" allowBlank="1" showErrorMessage="1" errorTitle="Invalid Asset Count" error="Value must be between 0 and the Total Asset Numbers above." sqref="Q180" xr:uid="{00000000-0002-0000-0100-00007B000000}">
      <formula1>0</formula1>
      <formula2>$P173</formula2>
    </dataValidation>
    <dataValidation type="whole" allowBlank="1" showErrorMessage="1" errorTitle="Invalid Asset Count" error="Value must be between 0 and the Total Asset Numbers above." sqref="Q181" xr:uid="{00000000-0002-0000-0100-00007C000000}">
      <formula1>0</formula1>
      <formula2>$P173</formula2>
    </dataValidation>
    <dataValidation type="whole" allowBlank="1" showErrorMessage="1" errorTitle="Invalid Asset Count" error="Value must be between 0 and the Total Asset Numbers above." sqref="Q182" xr:uid="{00000000-0002-0000-0100-00007D000000}">
      <formula1>0</formula1>
      <formula2>$P173</formula2>
    </dataValidation>
    <dataValidation type="whole" allowBlank="1" showErrorMessage="1" errorTitle="Invalid Asset Count" error="Value must be between 0 and the Total Asset Numbers above." sqref="Q183" xr:uid="{00000000-0002-0000-0100-00007E000000}">
      <formula1>0</formula1>
      <formula2>$P173</formula2>
    </dataValidation>
    <dataValidation type="whole" allowBlank="1" showErrorMessage="1" errorTitle="Invalid Asset Count" error="Value must be between 0 and the Total Asset Numbers above." sqref="Q184" xr:uid="{00000000-0002-0000-0100-00007F000000}">
      <formula1>0</formula1>
      <formula2>$P173</formula2>
    </dataValidation>
    <dataValidation type="whole" allowBlank="1" showErrorMessage="1" errorTitle="Invalid Asset Count" error="Value must be between 0 and the Total Asset Numbers above." sqref="Q185" xr:uid="{00000000-0002-0000-0100-000080000000}">
      <formula1>0</formula1>
      <formula2>$P173</formula2>
    </dataValidation>
    <dataValidation type="whole" allowBlank="1" showErrorMessage="1" errorTitle="Invalid Asset Count" error="Value must be between 0 and the Total Asset Numbers above." sqref="Q186" xr:uid="{00000000-0002-0000-0100-000081000000}">
      <formula1>0</formula1>
      <formula2>$P173</formula2>
    </dataValidation>
    <dataValidation type="whole" allowBlank="1" showErrorMessage="1" errorTitle="Invalid Asset Count" error="Value must be between 0 and the Total Asset Numbers above." sqref="Q187" xr:uid="{00000000-0002-0000-0100-000082000000}">
      <formula1>0</formula1>
      <formula2>$P173</formula2>
    </dataValidation>
    <dataValidation type="whole" allowBlank="1" showErrorMessage="1" errorTitle="Invalid Asset Count" error="Value must be between 0 and the Total Asset Numbers above." sqref="Q188" xr:uid="{00000000-0002-0000-0100-000083000000}">
      <formula1>0</formula1>
      <formula2>$P173</formula2>
    </dataValidation>
    <dataValidation type="whole" allowBlank="1" showErrorMessage="1" errorTitle="Invalid Asset Count" error="Value must be between 0 and the Total Asset Numbers above." sqref="Q189" xr:uid="{00000000-0002-0000-0100-000084000000}">
      <formula1>0</formula1>
      <formula2>$P173</formula2>
    </dataValidation>
    <dataValidation type="whole" allowBlank="1" showErrorMessage="1" errorTitle="Invalid Asset Count" error="Value must be between 0 and the Total Asset Numbers above." sqref="Q190" xr:uid="{00000000-0002-0000-0100-000085000000}">
      <formula1>0</formula1>
      <formula2>$P173</formula2>
    </dataValidation>
    <dataValidation type="whole" allowBlank="1" showErrorMessage="1" errorTitle="Invalid Asset Count" error="Value must be between 0 and the Total Asset Numbers above." sqref="Q191" xr:uid="{00000000-0002-0000-0100-000086000000}">
      <formula1>0</formula1>
      <formula2>$P173</formula2>
    </dataValidation>
    <dataValidation type="whole" allowBlank="1" showErrorMessage="1" errorTitle="Invalid Asset Count" error="Value must be between 0 and the Total Asset Numbers above." sqref="Q192" xr:uid="{00000000-0002-0000-0100-000087000000}">
      <formula1>0</formula1>
      <formula2>$P173</formula2>
    </dataValidation>
    <dataValidation type="whole" allowBlank="1" showErrorMessage="1" errorTitle="Invalid Asset Count" error="Value must be between 0 and the Total Asset Numbers above." sqref="Q193" xr:uid="{00000000-0002-0000-0100-000088000000}">
      <formula1>0</formula1>
      <formula2>$P173</formula2>
    </dataValidation>
    <dataValidation type="whole" allowBlank="1" showErrorMessage="1" errorTitle="Invalid Asset Count" error="Value must be between 0 and the Total Asset Numbers above." sqref="Q194" xr:uid="{00000000-0002-0000-0100-000089000000}">
      <formula1>0</formula1>
      <formula2>$P173</formula2>
    </dataValidation>
    <dataValidation type="whole" allowBlank="1" showErrorMessage="1" errorTitle="Invalid Asset Count" error="Value must be between 0 and the Total Asset Numbers above." sqref="Q195" xr:uid="{00000000-0002-0000-0100-00008A000000}">
      <formula1>0</formula1>
      <formula2>$P173</formula2>
    </dataValidation>
    <dataValidation type="whole" allowBlank="1" showErrorMessage="1" errorTitle="Invalid Asset Count" error="Value must be between 0 and the Total Asset Numbers above." sqref="Q196" xr:uid="{00000000-0002-0000-0100-00008B000000}">
      <formula1>0</formula1>
      <formula2>$P173</formula2>
    </dataValidation>
  </dataValidations>
  <hyperlinks>
    <hyperlink ref="B200"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9" si="0">IF(OR(I2="Implemented",I2="Compensated"),"Resolved",IF(OR(I2="Risk Accepted",I2="N/A"),"Excluded",IF(I2="Testing","Testing","Outstanding")))</f>
        <v>Outstanding</v>
      </c>
      <c r="Q2" s="13" t="s">
        <v>25</v>
      </c>
    </row>
    <row r="3" spans="1:17" ht="60" customHeight="1" x14ac:dyDescent="0.35">
      <c r="A3" s="11" t="s">
        <v>31</v>
      </c>
      <c r="B3" s="2" t="s">
        <v>32</v>
      </c>
      <c r="C3" s="1" t="s">
        <v>33</v>
      </c>
      <c r="D3" s="3" t="s">
        <v>20</v>
      </c>
      <c r="E3" s="3" t="s">
        <v>21</v>
      </c>
      <c r="F3" s="4" t="s">
        <v>22</v>
      </c>
      <c r="G3" s="4" t="s">
        <v>23</v>
      </c>
      <c r="H3" s="4" t="s">
        <v>24</v>
      </c>
      <c r="I3" s="4" t="s">
        <v>25</v>
      </c>
      <c r="J3" s="5" t="s">
        <v>25</v>
      </c>
      <c r="K3" s="5" t="s">
        <v>34</v>
      </c>
      <c r="L3" s="5" t="s">
        <v>35</v>
      </c>
      <c r="M3" s="5" t="s">
        <v>36</v>
      </c>
      <c r="N3" s="5" t="s">
        <v>37</v>
      </c>
      <c r="O3" s="5" t="s">
        <v>38</v>
      </c>
      <c r="P3" s="4" t="str">
        <f t="shared" si="0"/>
        <v>Outstanding</v>
      </c>
      <c r="Q3" s="13" t="s">
        <v>25</v>
      </c>
    </row>
    <row r="4" spans="1:17" ht="60" customHeight="1" x14ac:dyDescent="0.35">
      <c r="A4" s="11" t="s">
        <v>31</v>
      </c>
      <c r="B4" s="2" t="s">
        <v>39</v>
      </c>
      <c r="C4" s="1" t="s">
        <v>40</v>
      </c>
      <c r="D4" s="3" t="s">
        <v>20</v>
      </c>
      <c r="E4" s="3" t="s">
        <v>21</v>
      </c>
      <c r="F4" s="4" t="s">
        <v>22</v>
      </c>
      <c r="G4" s="4" t="s">
        <v>23</v>
      </c>
      <c r="H4" s="4" t="s">
        <v>24</v>
      </c>
      <c r="I4" s="4" t="s">
        <v>25</v>
      </c>
      <c r="J4" s="5" t="s">
        <v>25</v>
      </c>
      <c r="K4" s="5" t="s">
        <v>41</v>
      </c>
      <c r="L4" s="5" t="s">
        <v>42</v>
      </c>
      <c r="M4" s="5" t="s">
        <v>43</v>
      </c>
      <c r="N4" s="5" t="s">
        <v>44</v>
      </c>
      <c r="O4" s="5" t="s">
        <v>45</v>
      </c>
      <c r="P4" s="4" t="str">
        <f t="shared" si="0"/>
        <v>Outstanding</v>
      </c>
      <c r="Q4" s="13" t="s">
        <v>25</v>
      </c>
    </row>
    <row r="5" spans="1:17" ht="60" customHeight="1" x14ac:dyDescent="0.35">
      <c r="A5" s="11" t="s">
        <v>46</v>
      </c>
      <c r="B5" s="2" t="s">
        <v>47</v>
      </c>
      <c r="C5" s="1" t="s">
        <v>48</v>
      </c>
      <c r="D5" s="3" t="s">
        <v>20</v>
      </c>
      <c r="E5" s="3" t="s">
        <v>21</v>
      </c>
      <c r="F5" s="4" t="s">
        <v>22</v>
      </c>
      <c r="G5" s="4" t="s">
        <v>23</v>
      </c>
      <c r="H5" s="4" t="s">
        <v>24</v>
      </c>
      <c r="I5" s="4" t="s">
        <v>25</v>
      </c>
      <c r="J5" s="5" t="s">
        <v>25</v>
      </c>
      <c r="K5" s="5" t="s">
        <v>49</v>
      </c>
      <c r="L5" s="5" t="s">
        <v>50</v>
      </c>
      <c r="M5" s="5" t="s">
        <v>36</v>
      </c>
      <c r="N5" s="5" t="s">
        <v>51</v>
      </c>
      <c r="O5" s="5" t="s">
        <v>52</v>
      </c>
      <c r="P5" s="4" t="str">
        <f t="shared" si="0"/>
        <v>Outstanding</v>
      </c>
      <c r="Q5" s="13" t="s">
        <v>25</v>
      </c>
    </row>
    <row r="6" spans="1:17" ht="60" customHeight="1" x14ac:dyDescent="0.35">
      <c r="A6" s="11" t="s">
        <v>53</v>
      </c>
      <c r="B6" s="2" t="s">
        <v>54</v>
      </c>
      <c r="C6" s="1" t="s">
        <v>55</v>
      </c>
      <c r="D6" s="3" t="s">
        <v>20</v>
      </c>
      <c r="E6" s="3" t="s">
        <v>21</v>
      </c>
      <c r="F6" s="4" t="s">
        <v>22</v>
      </c>
      <c r="G6" s="4" t="s">
        <v>23</v>
      </c>
      <c r="H6" s="4" t="s">
        <v>24</v>
      </c>
      <c r="I6" s="4" t="s">
        <v>25</v>
      </c>
      <c r="J6" s="5" t="s">
        <v>25</v>
      </c>
      <c r="K6" s="5" t="s">
        <v>56</v>
      </c>
      <c r="L6" s="5" t="s">
        <v>57</v>
      </c>
      <c r="M6" s="5" t="s">
        <v>58</v>
      </c>
      <c r="N6" s="5" t="s">
        <v>59</v>
      </c>
      <c r="O6" s="5" t="s">
        <v>60</v>
      </c>
      <c r="P6" s="4" t="str">
        <f t="shared" si="0"/>
        <v>Outstanding</v>
      </c>
      <c r="Q6" s="13" t="s">
        <v>25</v>
      </c>
    </row>
    <row r="7" spans="1:17" ht="60" customHeight="1" x14ac:dyDescent="0.35">
      <c r="A7" s="11" t="s">
        <v>53</v>
      </c>
      <c r="B7" s="2" t="s">
        <v>61</v>
      </c>
      <c r="C7" s="1" t="s">
        <v>62</v>
      </c>
      <c r="D7" s="3" t="s">
        <v>20</v>
      </c>
      <c r="E7" s="3" t="s">
        <v>21</v>
      </c>
      <c r="F7" s="4" t="s">
        <v>22</v>
      </c>
      <c r="G7" s="4" t="s">
        <v>23</v>
      </c>
      <c r="H7" s="4" t="s">
        <v>24</v>
      </c>
      <c r="I7" s="4" t="s">
        <v>25</v>
      </c>
      <c r="J7" s="5" t="s">
        <v>25</v>
      </c>
      <c r="K7" s="5" t="s">
        <v>63</v>
      </c>
      <c r="L7" s="5" t="s">
        <v>64</v>
      </c>
      <c r="M7" s="5" t="s">
        <v>65</v>
      </c>
      <c r="N7" s="5" t="s">
        <v>66</v>
      </c>
      <c r="O7" s="5" t="s">
        <v>67</v>
      </c>
      <c r="P7" s="4" t="str">
        <f t="shared" si="0"/>
        <v>Outstanding</v>
      </c>
      <c r="Q7" s="13" t="s">
        <v>25</v>
      </c>
    </row>
    <row r="8" spans="1:17" ht="60" customHeight="1" x14ac:dyDescent="0.35">
      <c r="A8" s="11" t="s">
        <v>46</v>
      </c>
      <c r="B8" s="2" t="s">
        <v>68</v>
      </c>
      <c r="C8" s="1" t="s">
        <v>69</v>
      </c>
      <c r="D8" s="3" t="s">
        <v>20</v>
      </c>
      <c r="E8" s="3" t="s">
        <v>21</v>
      </c>
      <c r="F8" s="4" t="s">
        <v>22</v>
      </c>
      <c r="G8" s="4" t="s">
        <v>23</v>
      </c>
      <c r="H8" s="4" t="s">
        <v>24</v>
      </c>
      <c r="I8" s="4" t="s">
        <v>25</v>
      </c>
      <c r="J8" s="5" t="s">
        <v>25</v>
      </c>
      <c r="K8" s="5" t="s">
        <v>70</v>
      </c>
      <c r="L8" s="5" t="s">
        <v>71</v>
      </c>
      <c r="M8" s="5" t="s">
        <v>36</v>
      </c>
      <c r="N8" s="5" t="s">
        <v>72</v>
      </c>
      <c r="O8" s="5" t="s">
        <v>73</v>
      </c>
      <c r="P8" s="4" t="str">
        <f t="shared" si="0"/>
        <v>Outstanding</v>
      </c>
      <c r="Q8" s="13" t="s">
        <v>25</v>
      </c>
    </row>
    <row r="9" spans="1:17" ht="60" customHeight="1" x14ac:dyDescent="0.35">
      <c r="A9" s="12" t="s">
        <v>74</v>
      </c>
      <c r="B9" s="6" t="s">
        <v>75</v>
      </c>
      <c r="C9" s="7" t="s">
        <v>76</v>
      </c>
      <c r="D9" s="8" t="s">
        <v>20</v>
      </c>
      <c r="E9" s="8" t="s">
        <v>21</v>
      </c>
      <c r="F9" s="9" t="s">
        <v>22</v>
      </c>
      <c r="G9" s="9" t="s">
        <v>23</v>
      </c>
      <c r="H9" s="9" t="s">
        <v>24</v>
      </c>
      <c r="I9" s="9" t="s">
        <v>25</v>
      </c>
      <c r="J9" s="10" t="s">
        <v>25</v>
      </c>
      <c r="K9" s="10" t="s">
        <v>77</v>
      </c>
      <c r="L9" s="10" t="s">
        <v>78</v>
      </c>
      <c r="M9" s="10" t="s">
        <v>36</v>
      </c>
      <c r="N9" s="10" t="s">
        <v>79</v>
      </c>
      <c r="O9" s="10" t="s">
        <v>80</v>
      </c>
      <c r="P9" s="9" t="str">
        <f t="shared" si="0"/>
        <v>Outstanding</v>
      </c>
      <c r="Q9" s="14" t="s">
        <v>25</v>
      </c>
    </row>
    <row r="13" spans="1:17" ht="32" customHeight="1" x14ac:dyDescent="0.35">
      <c r="A13" s="106" t="s">
        <v>81</v>
      </c>
      <c r="B13" s="106"/>
      <c r="C13" s="106"/>
      <c r="D13" s="106"/>
    </row>
  </sheetData>
  <mergeCells count="1">
    <mergeCell ref="A13:D13"/>
  </mergeCells>
  <conditionalFormatting sqref="F2:F9">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9">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9">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9" xr:uid="{00000000-0002-0000-0200-000000000000}">
      <formula1>"Must,Should,Could,Won't,Unassigned"</formula1>
    </dataValidation>
    <dataValidation type="list" showErrorMessage="1" errorTitle="Invalid Value" error="Please select a value from the list: Low, Medium, High, Unassessed." sqref="G2:G9" xr:uid="{00000000-0002-0000-0200-000001000000}">
      <formula1>"Low,Medium,High,Unassessed"</formula1>
    </dataValidation>
    <dataValidation type="list" showErrorMessage="1" errorTitle="Invalid Value" error="Please select a value from the list: Phase1, Phase2, Phase3, Phase4, Phase5, Pending." sqref="H2:H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9" xr:uid="{00000000-0002-0000-0200-000003000000}">
      <formula1>"Implemented,Testing,Failed,Compensated,Risk Accepted,N/A"</formula1>
    </dataValidation>
  </dataValidations>
  <hyperlinks>
    <hyperlink ref="A1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214</v>
      </c>
      <c r="C2" s="123" t="s">
        <v>214</v>
      </c>
      <c r="D2" s="123" t="s">
        <v>214</v>
      </c>
      <c r="E2" s="123" t="s">
        <v>214</v>
      </c>
      <c r="F2" s="123" t="s">
        <v>214</v>
      </c>
      <c r="G2" s="123" t="s">
        <v>214</v>
      </c>
      <c r="H2" s="127" t="s">
        <v>215</v>
      </c>
      <c r="I2" s="127" t="s">
        <v>215</v>
      </c>
      <c r="J2" s="127" t="s">
        <v>215</v>
      </c>
      <c r="K2" s="127" t="s">
        <v>215</v>
      </c>
      <c r="L2" s="127" t="s">
        <v>215</v>
      </c>
      <c r="M2" s="126" t="s">
        <v>216</v>
      </c>
      <c r="N2" s="126" t="s">
        <v>216</v>
      </c>
      <c r="O2" s="128" t="s">
        <v>217</v>
      </c>
      <c r="P2" s="128" t="s">
        <v>217</v>
      </c>
      <c r="Q2" s="124" t="s">
        <v>15</v>
      </c>
      <c r="R2" s="124" t="s">
        <v>15</v>
      </c>
      <c r="S2" s="124" t="s">
        <v>15</v>
      </c>
      <c r="T2" s="125" t="s">
        <v>218</v>
      </c>
    </row>
    <row r="3" spans="2:20" ht="35" customHeight="1" x14ac:dyDescent="0.35">
      <c r="B3" s="70" t="s">
        <v>219</v>
      </c>
      <c r="C3" s="70" t="s">
        <v>220</v>
      </c>
      <c r="D3" s="70" t="s">
        <v>221</v>
      </c>
      <c r="E3" s="70" t="s">
        <v>222</v>
      </c>
      <c r="F3" s="70" t="s">
        <v>223</v>
      </c>
      <c r="G3" s="70" t="s">
        <v>11</v>
      </c>
      <c r="H3" s="71" t="s">
        <v>224</v>
      </c>
      <c r="I3" s="71" t="s">
        <v>225</v>
      </c>
      <c r="J3" s="71" t="s">
        <v>226</v>
      </c>
      <c r="K3" s="71" t="s">
        <v>227</v>
      </c>
      <c r="L3" s="71" t="s">
        <v>158</v>
      </c>
      <c r="M3" s="72" t="s">
        <v>228</v>
      </c>
      <c r="N3" s="72" t="s">
        <v>229</v>
      </c>
      <c r="O3" s="73" t="s">
        <v>230</v>
      </c>
      <c r="P3" s="73" t="s">
        <v>231</v>
      </c>
      <c r="Q3" s="74" t="s">
        <v>15</v>
      </c>
      <c r="R3" s="74" t="s">
        <v>232</v>
      </c>
      <c r="S3" s="74" t="s">
        <v>233</v>
      </c>
      <c r="T3" s="75" t="s">
        <v>234</v>
      </c>
    </row>
    <row r="4" spans="2:20" ht="60" customHeight="1" x14ac:dyDescent="0.35">
      <c r="B4" s="76" t="s">
        <v>235</v>
      </c>
      <c r="C4" s="76" t="s">
        <v>236</v>
      </c>
      <c r="D4" s="76" t="s">
        <v>237</v>
      </c>
      <c r="E4" s="76" t="s">
        <v>238</v>
      </c>
      <c r="F4" s="76" t="s">
        <v>239</v>
      </c>
      <c r="G4" s="76" t="s">
        <v>240</v>
      </c>
      <c r="H4" s="76" t="s">
        <v>241</v>
      </c>
      <c r="I4" s="76" t="s">
        <v>242</v>
      </c>
      <c r="J4" s="76" t="s">
        <v>243</v>
      </c>
      <c r="K4" s="76" t="s">
        <v>244</v>
      </c>
      <c r="L4" s="76" t="s">
        <v>245</v>
      </c>
      <c r="M4" s="76" t="s">
        <v>246</v>
      </c>
      <c r="N4" s="76" t="s">
        <v>247</v>
      </c>
      <c r="O4" s="76" t="s">
        <v>248</v>
      </c>
      <c r="P4" s="76" t="s">
        <v>249</v>
      </c>
      <c r="Q4" s="76" t="s">
        <v>250</v>
      </c>
      <c r="R4" s="76" t="s">
        <v>251</v>
      </c>
      <c r="S4" s="76" t="s">
        <v>252</v>
      </c>
      <c r="T4" s="76" t="s">
        <v>253</v>
      </c>
    </row>
    <row r="5" spans="2:20" ht="60" customHeight="1" x14ac:dyDescent="0.35">
      <c r="B5" s="38" t="s">
        <v>254</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255</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256</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257</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258</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259</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260</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261</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262</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263</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264</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265</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266</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267</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268</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269</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270</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271</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272</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273</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274</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275</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276</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277</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278</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279</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280</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281</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282</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283</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284</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285</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286</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287</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288</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289</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290</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291</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292</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293</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294</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295</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296</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297</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298</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299</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300</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301</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302</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303</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81</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304</v>
      </c>
      <c r="B1" s="104" t="s">
        <v>1</v>
      </c>
      <c r="C1" s="104" t="s">
        <v>305</v>
      </c>
      <c r="D1" s="104" t="s">
        <v>11</v>
      </c>
      <c r="E1" s="104" t="s">
        <v>306</v>
      </c>
      <c r="F1" s="104" t="s">
        <v>307</v>
      </c>
      <c r="G1" s="104" t="s">
        <v>308</v>
      </c>
      <c r="H1" s="104" t="s">
        <v>309</v>
      </c>
      <c r="I1" s="104" t="s">
        <v>310</v>
      </c>
      <c r="J1" s="104" t="s">
        <v>311</v>
      </c>
      <c r="K1" s="104" t="s">
        <v>312</v>
      </c>
      <c r="L1" s="104" t="s">
        <v>313</v>
      </c>
      <c r="M1" s="104" t="s">
        <v>314</v>
      </c>
      <c r="N1" s="104" t="s">
        <v>315</v>
      </c>
      <c r="O1" s="104" t="s">
        <v>316</v>
      </c>
      <c r="P1" s="104" t="s">
        <v>317</v>
      </c>
      <c r="Q1" s="104" t="s">
        <v>318</v>
      </c>
      <c r="R1" s="104" t="s">
        <v>319</v>
      </c>
      <c r="S1" s="104" t="s">
        <v>320</v>
      </c>
      <c r="T1" s="104" t="s">
        <v>321</v>
      </c>
      <c r="U1" s="104" t="s">
        <v>322</v>
      </c>
      <c r="V1" s="104" t="s">
        <v>323</v>
      </c>
      <c r="W1" s="104" t="s">
        <v>324</v>
      </c>
      <c r="X1" s="104" t="s">
        <v>325</v>
      </c>
      <c r="Y1" s="104" t="s">
        <v>326</v>
      </c>
      <c r="Z1" s="104" t="s">
        <v>327</v>
      </c>
      <c r="AA1" s="104" t="s">
        <v>328</v>
      </c>
      <c r="AB1" s="104" t="s">
        <v>329</v>
      </c>
      <c r="AC1" s="104" t="s">
        <v>330</v>
      </c>
      <c r="AD1" s="104" t="s">
        <v>331</v>
      </c>
      <c r="AE1" s="104" t="s">
        <v>332</v>
      </c>
      <c r="AF1" s="104" t="s">
        <v>333</v>
      </c>
      <c r="AG1" s="104" t="s">
        <v>334</v>
      </c>
      <c r="AH1" s="104" t="s">
        <v>335</v>
      </c>
      <c r="AI1" s="104" t="s">
        <v>336</v>
      </c>
      <c r="AJ1" s="104" t="s">
        <v>337</v>
      </c>
      <c r="AK1" s="104" t="s">
        <v>338</v>
      </c>
      <c r="AL1" s="104" t="s">
        <v>339</v>
      </c>
      <c r="AM1" s="104" t="s">
        <v>340</v>
      </c>
      <c r="AN1" s="104" t="s">
        <v>341</v>
      </c>
      <c r="AO1" s="104" t="s">
        <v>342</v>
      </c>
      <c r="AP1" s="104" t="s">
        <v>343</v>
      </c>
      <c r="AQ1" s="104" t="s">
        <v>344</v>
      </c>
      <c r="AR1" s="104" t="s">
        <v>345</v>
      </c>
      <c r="AS1" s="104" t="s">
        <v>346</v>
      </c>
      <c r="AT1" s="104" t="s">
        <v>347</v>
      </c>
      <c r="AU1" s="104" t="s">
        <v>348</v>
      </c>
      <c r="AV1" s="104" t="s">
        <v>349</v>
      </c>
      <c r="AW1" s="105" t="s">
        <v>350</v>
      </c>
    </row>
    <row r="2" spans="1:49" ht="60" customHeight="1" outlineLevel="1" x14ac:dyDescent="0.35">
      <c r="A2" s="97" t="s">
        <v>351</v>
      </c>
      <c r="B2" s="80">
        <v>1</v>
      </c>
      <c r="C2" s="82" t="s">
        <v>25</v>
      </c>
      <c r="D2" s="84" t="s">
        <v>352</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351</v>
      </c>
      <c r="B3" s="81" t="s">
        <v>353</v>
      </c>
      <c r="C3" s="83" t="s">
        <v>354</v>
      </c>
      <c r="D3" s="85" t="s">
        <v>355</v>
      </c>
      <c r="E3" s="85" t="s">
        <v>356</v>
      </c>
      <c r="F3" s="86" t="s">
        <v>357</v>
      </c>
      <c r="G3" s="86" t="s">
        <v>358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351</v>
      </c>
      <c r="B4" s="81" t="s">
        <v>359</v>
      </c>
      <c r="C4" s="83" t="s">
        <v>360</v>
      </c>
      <c r="D4" s="85" t="s">
        <v>361</v>
      </c>
      <c r="E4" s="85" t="s">
        <v>362</v>
      </c>
      <c r="F4" s="86" t="s">
        <v>357</v>
      </c>
      <c r="G4" s="86" t="s">
        <v>363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351</v>
      </c>
      <c r="B5" s="81" t="s">
        <v>364</v>
      </c>
      <c r="C5" s="83" t="s">
        <v>365</v>
      </c>
      <c r="D5" s="85" t="s">
        <v>366</v>
      </c>
      <c r="E5" s="85" t="s">
        <v>367</v>
      </c>
      <c r="F5" s="86" t="s">
        <v>357</v>
      </c>
      <c r="G5" s="86" t="s">
        <v>368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351</v>
      </c>
      <c r="B6" s="81" t="s">
        <v>369</v>
      </c>
      <c r="C6" s="83" t="s">
        <v>370</v>
      </c>
      <c r="D6" s="85" t="s">
        <v>371</v>
      </c>
      <c r="E6" s="85" t="s">
        <v>372</v>
      </c>
      <c r="F6" s="86" t="s">
        <v>357</v>
      </c>
      <c r="G6" s="86" t="s">
        <v>358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351</v>
      </c>
      <c r="B7" s="81" t="s">
        <v>373</v>
      </c>
      <c r="C7" s="83" t="s">
        <v>374</v>
      </c>
      <c r="D7" s="85" t="s">
        <v>375</v>
      </c>
      <c r="E7" s="85" t="s">
        <v>376</v>
      </c>
      <c r="F7" s="86" t="s">
        <v>357</v>
      </c>
      <c r="G7" s="86" t="s">
        <v>368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377</v>
      </c>
      <c r="B8" s="80">
        <v>2</v>
      </c>
      <c r="C8" s="82" t="s">
        <v>25</v>
      </c>
      <c r="D8" s="84" t="s">
        <v>378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377</v>
      </c>
      <c r="B9" s="81" t="s">
        <v>379</v>
      </c>
      <c r="C9" s="83" t="s">
        <v>380</v>
      </c>
      <c r="D9" s="85" t="s">
        <v>381</v>
      </c>
      <c r="E9" s="85" t="s">
        <v>382</v>
      </c>
      <c r="F9" s="86" t="s">
        <v>383</v>
      </c>
      <c r="G9" s="86" t="s">
        <v>358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377</v>
      </c>
      <c r="B10" s="81" t="s">
        <v>384</v>
      </c>
      <c r="C10" s="83" t="s">
        <v>385</v>
      </c>
      <c r="D10" s="85" t="s">
        <v>386</v>
      </c>
      <c r="E10" s="85" t="s">
        <v>387</v>
      </c>
      <c r="F10" s="86" t="s">
        <v>383</v>
      </c>
      <c r="G10" s="86" t="s">
        <v>358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377</v>
      </c>
      <c r="B11" s="81" t="s">
        <v>388</v>
      </c>
      <c r="C11" s="83" t="s">
        <v>389</v>
      </c>
      <c r="D11" s="85" t="s">
        <v>390</v>
      </c>
      <c r="E11" s="85" t="s">
        <v>391</v>
      </c>
      <c r="F11" s="86" t="s">
        <v>383</v>
      </c>
      <c r="G11" s="86" t="s">
        <v>363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377</v>
      </c>
      <c r="B12" s="81" t="s">
        <v>392</v>
      </c>
      <c r="C12" s="83" t="s">
        <v>393</v>
      </c>
      <c r="D12" s="85" t="s">
        <v>394</v>
      </c>
      <c r="E12" s="85" t="s">
        <v>395</v>
      </c>
      <c r="F12" s="86" t="s">
        <v>383</v>
      </c>
      <c r="G12" s="86" t="s">
        <v>368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377</v>
      </c>
      <c r="B13" s="81" t="s">
        <v>396</v>
      </c>
      <c r="C13" s="83" t="s">
        <v>397</v>
      </c>
      <c r="D13" s="85" t="s">
        <v>398</v>
      </c>
      <c r="E13" s="85" t="s">
        <v>399</v>
      </c>
      <c r="F13" s="86" t="s">
        <v>383</v>
      </c>
      <c r="G13" s="86" t="s">
        <v>400</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377</v>
      </c>
      <c r="B14" s="81" t="s">
        <v>401</v>
      </c>
      <c r="C14" s="83" t="s">
        <v>402</v>
      </c>
      <c r="D14" s="85" t="s">
        <v>403</v>
      </c>
      <c r="E14" s="85" t="s">
        <v>404</v>
      </c>
      <c r="F14" s="86" t="s">
        <v>383</v>
      </c>
      <c r="G14" s="86" t="s">
        <v>400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377</v>
      </c>
      <c r="B15" s="81" t="s">
        <v>405</v>
      </c>
      <c r="C15" s="83" t="s">
        <v>406</v>
      </c>
      <c r="D15" s="85" t="s">
        <v>407</v>
      </c>
      <c r="E15" s="85" t="s">
        <v>408</v>
      </c>
      <c r="F15" s="86" t="s">
        <v>383</v>
      </c>
      <c r="G15" s="86" t="s">
        <v>400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409</v>
      </c>
      <c r="B16" s="80">
        <v>3</v>
      </c>
      <c r="C16" s="82" t="s">
        <v>25</v>
      </c>
      <c r="D16" s="84" t="s">
        <v>410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409</v>
      </c>
      <c r="B17" s="81" t="s">
        <v>411</v>
      </c>
      <c r="C17" s="83" t="s">
        <v>412</v>
      </c>
      <c r="D17" s="85" t="s">
        <v>413</v>
      </c>
      <c r="E17" s="85" t="s">
        <v>414</v>
      </c>
      <c r="F17" s="86" t="s">
        <v>415</v>
      </c>
      <c r="G17" s="86" t="s">
        <v>416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409</v>
      </c>
      <c r="B18" s="81" t="s">
        <v>417</v>
      </c>
      <c r="C18" s="83" t="s">
        <v>418</v>
      </c>
      <c r="D18" s="85" t="s">
        <v>419</v>
      </c>
      <c r="E18" s="85" t="s">
        <v>420</v>
      </c>
      <c r="F18" s="86" t="s">
        <v>415</v>
      </c>
      <c r="G18" s="86" t="s">
        <v>358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409</v>
      </c>
      <c r="B19" s="81" t="s">
        <v>421</v>
      </c>
      <c r="C19" s="83" t="s">
        <v>422</v>
      </c>
      <c r="D19" s="85" t="s">
        <v>423</v>
      </c>
      <c r="E19" s="85" t="s">
        <v>424</v>
      </c>
      <c r="F19" s="86" t="s">
        <v>415</v>
      </c>
      <c r="G19" s="86" t="s">
        <v>400</v>
      </c>
      <c r="H19" s="86">
        <v>1</v>
      </c>
      <c r="I19" s="88">
        <f>IF(COUNTIF(J19:AW19,"&lt;&gt;")=0,"",SUMPRODUCT(((Recommendations[ImplStatus]="Implemented")+(Recommendations[ImplStatus]="Compensated"))*ISNUMBER(MATCH(Recommendations[Id],J19:AW19,0)))/COUNTIF(J19:AW19,"&lt;&gt;"))</f>
        <v>0</v>
      </c>
      <c r="J19" s="90" t="s">
        <v>32</v>
      </c>
      <c r="K19" s="90" t="s">
        <v>39</v>
      </c>
      <c r="L19" s="90" t="s">
        <v>47</v>
      </c>
      <c r="M19" s="90" t="s">
        <v>54</v>
      </c>
      <c r="N19" s="90" t="s">
        <v>61</v>
      </c>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409</v>
      </c>
      <c r="B20" s="81" t="s">
        <v>425</v>
      </c>
      <c r="C20" s="83" t="s">
        <v>426</v>
      </c>
      <c r="D20" s="85" t="s">
        <v>427</v>
      </c>
      <c r="E20" s="85" t="s">
        <v>428</v>
      </c>
      <c r="F20" s="86" t="s">
        <v>415</v>
      </c>
      <c r="G20" s="86" t="s">
        <v>400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409</v>
      </c>
      <c r="B21" s="81" t="s">
        <v>429</v>
      </c>
      <c r="C21" s="83" t="s">
        <v>430</v>
      </c>
      <c r="D21" s="85" t="s">
        <v>431</v>
      </c>
      <c r="E21" s="85" t="s">
        <v>432</v>
      </c>
      <c r="F21" s="86" t="s">
        <v>415</v>
      </c>
      <c r="G21" s="86" t="s">
        <v>400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409</v>
      </c>
      <c r="B22" s="81" t="s">
        <v>433</v>
      </c>
      <c r="C22" s="83" t="s">
        <v>434</v>
      </c>
      <c r="D22" s="85" t="s">
        <v>435</v>
      </c>
      <c r="E22" s="85" t="s">
        <v>436</v>
      </c>
      <c r="F22" s="86" t="s">
        <v>415</v>
      </c>
      <c r="G22" s="86" t="s">
        <v>400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409</v>
      </c>
      <c r="B23" s="81" t="s">
        <v>437</v>
      </c>
      <c r="C23" s="83" t="s">
        <v>438</v>
      </c>
      <c r="D23" s="85" t="s">
        <v>439</v>
      </c>
      <c r="E23" s="85" t="s">
        <v>440</v>
      </c>
      <c r="F23" s="86" t="s">
        <v>415</v>
      </c>
      <c r="G23" s="86" t="s">
        <v>358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409</v>
      </c>
      <c r="B24" s="81" t="s">
        <v>441</v>
      </c>
      <c r="C24" s="83" t="s">
        <v>442</v>
      </c>
      <c r="D24" s="85" t="s">
        <v>443</v>
      </c>
      <c r="E24" s="85" t="s">
        <v>444</v>
      </c>
      <c r="F24" s="86" t="s">
        <v>415</v>
      </c>
      <c r="G24" s="86" t="s">
        <v>358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409</v>
      </c>
      <c r="B25" s="81" t="s">
        <v>445</v>
      </c>
      <c r="C25" s="83" t="s">
        <v>446</v>
      </c>
      <c r="D25" s="85" t="s">
        <v>447</v>
      </c>
      <c r="E25" s="85" t="s">
        <v>448</v>
      </c>
      <c r="F25" s="86" t="s">
        <v>415</v>
      </c>
      <c r="G25" s="86" t="s">
        <v>400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409</v>
      </c>
      <c r="B26" s="81" t="s">
        <v>449</v>
      </c>
      <c r="C26" s="83" t="s">
        <v>450</v>
      </c>
      <c r="D26" s="85" t="s">
        <v>451</v>
      </c>
      <c r="E26" s="85" t="s">
        <v>452</v>
      </c>
      <c r="F26" s="86" t="s">
        <v>415</v>
      </c>
      <c r="G26" s="86" t="s">
        <v>400</v>
      </c>
      <c r="H26" s="86">
        <v>2</v>
      </c>
      <c r="I26" s="88">
        <f>IF(COUNTIF(J26:AW26,"&lt;&gt;")=0,"",SUMPRODUCT(((Recommendations[ImplStatus]="Implemented")+(Recommendations[ImplStatus]="Compensated"))*ISNUMBER(MATCH(Recommendations[Id],J26:AW26,0)))/COUNTIF(J26:AW26,"&lt;&gt;"))</f>
        <v>0</v>
      </c>
      <c r="J26" s="90" t="s">
        <v>68</v>
      </c>
      <c r="K26" s="90" t="s">
        <v>75</v>
      </c>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409</v>
      </c>
      <c r="B27" s="81" t="s">
        <v>453</v>
      </c>
      <c r="C27" s="83" t="s">
        <v>454</v>
      </c>
      <c r="D27" s="85" t="s">
        <v>455</v>
      </c>
      <c r="E27" s="85" t="s">
        <v>456</v>
      </c>
      <c r="F27" s="86" t="s">
        <v>415</v>
      </c>
      <c r="G27" s="86" t="s">
        <v>400</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409</v>
      </c>
      <c r="B28" s="81" t="s">
        <v>457</v>
      </c>
      <c r="C28" s="83" t="s">
        <v>458</v>
      </c>
      <c r="D28" s="85" t="s">
        <v>459</v>
      </c>
      <c r="E28" s="85" t="s">
        <v>460</v>
      </c>
      <c r="F28" s="86" t="s">
        <v>415</v>
      </c>
      <c r="G28" s="86" t="s">
        <v>400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409</v>
      </c>
      <c r="B29" s="81" t="s">
        <v>461</v>
      </c>
      <c r="C29" s="83" t="s">
        <v>462</v>
      </c>
      <c r="D29" s="85" t="s">
        <v>463</v>
      </c>
      <c r="E29" s="85" t="s">
        <v>464</v>
      </c>
      <c r="F29" s="86" t="s">
        <v>415</v>
      </c>
      <c r="G29" s="86" t="s">
        <v>400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409</v>
      </c>
      <c r="B30" s="81" t="s">
        <v>465</v>
      </c>
      <c r="C30" s="83" t="s">
        <v>466</v>
      </c>
      <c r="D30" s="85" t="s">
        <v>467</v>
      </c>
      <c r="E30" s="85" t="s">
        <v>468</v>
      </c>
      <c r="F30" s="86" t="s">
        <v>415</v>
      </c>
      <c r="G30" s="86" t="s">
        <v>368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469</v>
      </c>
      <c r="B31" s="80">
        <v>4</v>
      </c>
      <c r="C31" s="82" t="s">
        <v>25</v>
      </c>
      <c r="D31" s="84" t="s">
        <v>470</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469</v>
      </c>
      <c r="B32" s="81" t="s">
        <v>471</v>
      </c>
      <c r="C32" s="83" t="s">
        <v>472</v>
      </c>
      <c r="D32" s="85" t="s">
        <v>473</v>
      </c>
      <c r="E32" s="85" t="s">
        <v>474</v>
      </c>
      <c r="F32" s="86" t="s">
        <v>475</v>
      </c>
      <c r="G32" s="86" t="s">
        <v>416</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469</v>
      </c>
      <c r="B33" s="81" t="s">
        <v>476</v>
      </c>
      <c r="C33" s="83" t="s">
        <v>477</v>
      </c>
      <c r="D33" s="85" t="s">
        <v>478</v>
      </c>
      <c r="E33" s="85" t="s">
        <v>479</v>
      </c>
      <c r="F33" s="86" t="s">
        <v>475</v>
      </c>
      <c r="G33" s="86" t="s">
        <v>416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469</v>
      </c>
      <c r="B34" s="81" t="s">
        <v>480</v>
      </c>
      <c r="C34" s="83" t="s">
        <v>481</v>
      </c>
      <c r="D34" s="85" t="s">
        <v>482</v>
      </c>
      <c r="E34" s="85" t="s">
        <v>483</v>
      </c>
      <c r="F34" s="86" t="s">
        <v>357</v>
      </c>
      <c r="G34" s="86" t="s">
        <v>400</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469</v>
      </c>
      <c r="B35" s="81" t="s">
        <v>484</v>
      </c>
      <c r="C35" s="83" t="s">
        <v>485</v>
      </c>
      <c r="D35" s="85" t="s">
        <v>486</v>
      </c>
      <c r="E35" s="85" t="s">
        <v>487</v>
      </c>
      <c r="F35" s="86" t="s">
        <v>357</v>
      </c>
      <c r="G35" s="86" t="s">
        <v>400</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469</v>
      </c>
      <c r="B36" s="81" t="s">
        <v>488</v>
      </c>
      <c r="C36" s="83" t="s">
        <v>489</v>
      </c>
      <c r="D36" s="85" t="s">
        <v>490</v>
      </c>
      <c r="E36" s="85" t="s">
        <v>491</v>
      </c>
      <c r="F36" s="86" t="s">
        <v>357</v>
      </c>
      <c r="G36" s="86" t="s">
        <v>400</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469</v>
      </c>
      <c r="B37" s="81" t="s">
        <v>492</v>
      </c>
      <c r="C37" s="83" t="s">
        <v>493</v>
      </c>
      <c r="D37" s="85" t="s">
        <v>494</v>
      </c>
      <c r="E37" s="85" t="s">
        <v>495</v>
      </c>
      <c r="F37" s="86" t="s">
        <v>357</v>
      </c>
      <c r="G37" s="86" t="s">
        <v>400</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469</v>
      </c>
      <c r="B38" s="81" t="s">
        <v>496</v>
      </c>
      <c r="C38" s="83" t="s">
        <v>497</v>
      </c>
      <c r="D38" s="85" t="s">
        <v>498</v>
      </c>
      <c r="E38" s="85" t="s">
        <v>499</v>
      </c>
      <c r="F38" s="86" t="s">
        <v>500</v>
      </c>
      <c r="G38" s="86" t="s">
        <v>400</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469</v>
      </c>
      <c r="B39" s="81" t="s">
        <v>501</v>
      </c>
      <c r="C39" s="83" t="s">
        <v>502</v>
      </c>
      <c r="D39" s="85" t="s">
        <v>503</v>
      </c>
      <c r="E39" s="85" t="s">
        <v>504</v>
      </c>
      <c r="F39" s="86" t="s">
        <v>357</v>
      </c>
      <c r="G39" s="86" t="s">
        <v>400</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469</v>
      </c>
      <c r="B40" s="81" t="s">
        <v>505</v>
      </c>
      <c r="C40" s="83" t="s">
        <v>506</v>
      </c>
      <c r="D40" s="85" t="s">
        <v>507</v>
      </c>
      <c r="E40" s="85" t="s">
        <v>508</v>
      </c>
      <c r="F40" s="86" t="s">
        <v>357</v>
      </c>
      <c r="G40" s="86" t="s">
        <v>400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469</v>
      </c>
      <c r="B41" s="81" t="s">
        <v>509</v>
      </c>
      <c r="C41" s="83" t="s">
        <v>510</v>
      </c>
      <c r="D41" s="85" t="s">
        <v>511</v>
      </c>
      <c r="E41" s="85" t="s">
        <v>512</v>
      </c>
      <c r="F41" s="86" t="s">
        <v>357</v>
      </c>
      <c r="G41" s="86" t="s">
        <v>400</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469</v>
      </c>
      <c r="B42" s="81" t="s">
        <v>513</v>
      </c>
      <c r="C42" s="83" t="s">
        <v>514</v>
      </c>
      <c r="D42" s="85" t="s">
        <v>515</v>
      </c>
      <c r="E42" s="85" t="s">
        <v>516</v>
      </c>
      <c r="F42" s="86" t="s">
        <v>415</v>
      </c>
      <c r="G42" s="86" t="s">
        <v>400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469</v>
      </c>
      <c r="B43" s="81" t="s">
        <v>517</v>
      </c>
      <c r="C43" s="83" t="s">
        <v>518</v>
      </c>
      <c r="D43" s="85" t="s">
        <v>519</v>
      </c>
      <c r="E43" s="85" t="s">
        <v>520</v>
      </c>
      <c r="F43" s="86" t="s">
        <v>415</v>
      </c>
      <c r="G43" s="86" t="s">
        <v>400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521</v>
      </c>
      <c r="B44" s="80">
        <v>5</v>
      </c>
      <c r="C44" s="82" t="s">
        <v>25</v>
      </c>
      <c r="D44" s="84" t="s">
        <v>522</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521</v>
      </c>
      <c r="B45" s="81" t="s">
        <v>523</v>
      </c>
      <c r="C45" s="83" t="s">
        <v>524</v>
      </c>
      <c r="D45" s="85" t="s">
        <v>525</v>
      </c>
      <c r="E45" s="85" t="s">
        <v>526</v>
      </c>
      <c r="F45" s="86" t="s">
        <v>500</v>
      </c>
      <c r="G45" s="86" t="s">
        <v>358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521</v>
      </c>
      <c r="B46" s="81" t="s">
        <v>527</v>
      </c>
      <c r="C46" s="83" t="s">
        <v>528</v>
      </c>
      <c r="D46" s="85" t="s">
        <v>529</v>
      </c>
      <c r="E46" s="85" t="s">
        <v>530</v>
      </c>
      <c r="F46" s="86" t="s">
        <v>500</v>
      </c>
      <c r="G46" s="86" t="s">
        <v>400</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521</v>
      </c>
      <c r="B47" s="81" t="s">
        <v>531</v>
      </c>
      <c r="C47" s="83" t="s">
        <v>532</v>
      </c>
      <c r="D47" s="85" t="s">
        <v>533</v>
      </c>
      <c r="E47" s="85" t="s">
        <v>534</v>
      </c>
      <c r="F47" s="86" t="s">
        <v>500</v>
      </c>
      <c r="G47" s="86" t="s">
        <v>400</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521</v>
      </c>
      <c r="B48" s="81" t="s">
        <v>535</v>
      </c>
      <c r="C48" s="83" t="s">
        <v>536</v>
      </c>
      <c r="D48" s="85" t="s">
        <v>537</v>
      </c>
      <c r="E48" s="85" t="s">
        <v>538</v>
      </c>
      <c r="F48" s="86" t="s">
        <v>500</v>
      </c>
      <c r="G48" s="86" t="s">
        <v>400</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521</v>
      </c>
      <c r="B49" s="81" t="s">
        <v>539</v>
      </c>
      <c r="C49" s="83" t="s">
        <v>540</v>
      </c>
      <c r="D49" s="85" t="s">
        <v>541</v>
      </c>
      <c r="E49" s="85" t="s">
        <v>542</v>
      </c>
      <c r="F49" s="86" t="s">
        <v>500</v>
      </c>
      <c r="G49" s="86" t="s">
        <v>358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521</v>
      </c>
      <c r="B50" s="81" t="s">
        <v>543</v>
      </c>
      <c r="C50" s="83" t="s">
        <v>544</v>
      </c>
      <c r="D50" s="85" t="s">
        <v>545</v>
      </c>
      <c r="E50" s="85" t="s">
        <v>546</v>
      </c>
      <c r="F50" s="86" t="s">
        <v>500</v>
      </c>
      <c r="G50" s="86" t="s">
        <v>416</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547</v>
      </c>
      <c r="B51" s="80">
        <v>6</v>
      </c>
      <c r="C51" s="82" t="s">
        <v>25</v>
      </c>
      <c r="D51" s="84" t="s">
        <v>548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547</v>
      </c>
      <c r="B52" s="81" t="s">
        <v>549</v>
      </c>
      <c r="C52" s="83" t="s">
        <v>550</v>
      </c>
      <c r="D52" s="85" t="s">
        <v>551</v>
      </c>
      <c r="E52" s="85" t="s">
        <v>552</v>
      </c>
      <c r="F52" s="86" t="s">
        <v>475</v>
      </c>
      <c r="G52" s="86" t="s">
        <v>416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547</v>
      </c>
      <c r="B53" s="81" t="s">
        <v>553</v>
      </c>
      <c r="C53" s="83" t="s">
        <v>554</v>
      </c>
      <c r="D53" s="85" t="s">
        <v>555</v>
      </c>
      <c r="E53" s="85" t="s">
        <v>556</v>
      </c>
      <c r="F53" s="86" t="s">
        <v>475</v>
      </c>
      <c r="G53" s="86" t="s">
        <v>416</v>
      </c>
      <c r="H53" s="86">
        <v>1</v>
      </c>
      <c r="I53" s="88">
        <f>IF(COUNTIF(J53:AW53,"&lt;&gt;")=0,"",SUMPRODUCT(((Recommendations[ImplStatus]="Implemented")+(Recommendations[ImplStatus]="Compensated"))*ISNUMBER(MATCH(Recommendations[Id],J53:AW53,0)))/COUNTIF(J53:AW53,"&lt;&gt;"))</f>
        <v>0</v>
      </c>
      <c r="J53" s="90" t="s">
        <v>18</v>
      </c>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547</v>
      </c>
      <c r="B54" s="81" t="s">
        <v>557</v>
      </c>
      <c r="C54" s="83" t="s">
        <v>558</v>
      </c>
      <c r="D54" s="85" t="s">
        <v>559</v>
      </c>
      <c r="E54" s="85" t="s">
        <v>560</v>
      </c>
      <c r="F54" s="86" t="s">
        <v>500</v>
      </c>
      <c r="G54" s="86" t="s">
        <v>400</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547</v>
      </c>
      <c r="B55" s="81" t="s">
        <v>561</v>
      </c>
      <c r="C55" s="83" t="s">
        <v>562</v>
      </c>
      <c r="D55" s="85" t="s">
        <v>563</v>
      </c>
      <c r="E55" s="85" t="s">
        <v>564</v>
      </c>
      <c r="F55" s="86" t="s">
        <v>500</v>
      </c>
      <c r="G55" s="86" t="s">
        <v>400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547</v>
      </c>
      <c r="B56" s="81" t="s">
        <v>565</v>
      </c>
      <c r="C56" s="83" t="s">
        <v>566</v>
      </c>
      <c r="D56" s="85" t="s">
        <v>567</v>
      </c>
      <c r="E56" s="85" t="s">
        <v>568</v>
      </c>
      <c r="F56" s="86" t="s">
        <v>500</v>
      </c>
      <c r="G56" s="86" t="s">
        <v>400</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547</v>
      </c>
      <c r="B57" s="81" t="s">
        <v>569</v>
      </c>
      <c r="C57" s="83" t="s">
        <v>570</v>
      </c>
      <c r="D57" s="85" t="s">
        <v>571</v>
      </c>
      <c r="E57" s="85" t="s">
        <v>572</v>
      </c>
      <c r="F57" s="86" t="s">
        <v>383</v>
      </c>
      <c r="G57" s="86" t="s">
        <v>358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547</v>
      </c>
      <c r="B58" s="81" t="s">
        <v>573</v>
      </c>
      <c r="C58" s="83" t="s">
        <v>574</v>
      </c>
      <c r="D58" s="85" t="s">
        <v>575</v>
      </c>
      <c r="E58" s="85" t="s">
        <v>576</v>
      </c>
      <c r="F58" s="86" t="s">
        <v>500</v>
      </c>
      <c r="G58" s="86" t="s">
        <v>400</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547</v>
      </c>
      <c r="B59" s="81" t="s">
        <v>577</v>
      </c>
      <c r="C59" s="83" t="s">
        <v>578</v>
      </c>
      <c r="D59" s="85" t="s">
        <v>579</v>
      </c>
      <c r="E59" s="85" t="s">
        <v>580</v>
      </c>
      <c r="F59" s="86" t="s">
        <v>500</v>
      </c>
      <c r="G59" s="86" t="s">
        <v>416</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581</v>
      </c>
      <c r="B60" s="80">
        <v>7</v>
      </c>
      <c r="C60" s="82" t="s">
        <v>25</v>
      </c>
      <c r="D60" s="84" t="s">
        <v>582</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581</v>
      </c>
      <c r="B61" s="81" t="s">
        <v>583</v>
      </c>
      <c r="C61" s="83" t="s">
        <v>584</v>
      </c>
      <c r="D61" s="85" t="s">
        <v>585</v>
      </c>
      <c r="E61" s="85" t="s">
        <v>586</v>
      </c>
      <c r="F61" s="86" t="s">
        <v>475</v>
      </c>
      <c r="G61" s="86" t="s">
        <v>416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581</v>
      </c>
      <c r="B62" s="81" t="s">
        <v>587</v>
      </c>
      <c r="C62" s="83" t="s">
        <v>588</v>
      </c>
      <c r="D62" s="85" t="s">
        <v>589</v>
      </c>
      <c r="E62" s="85" t="s">
        <v>590</v>
      </c>
      <c r="F62" s="86" t="s">
        <v>475</v>
      </c>
      <c r="G62" s="86" t="s">
        <v>416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581</v>
      </c>
      <c r="B63" s="81" t="s">
        <v>591</v>
      </c>
      <c r="C63" s="83" t="s">
        <v>592</v>
      </c>
      <c r="D63" s="85" t="s">
        <v>593</v>
      </c>
      <c r="E63" s="85" t="s">
        <v>594</v>
      </c>
      <c r="F63" s="86" t="s">
        <v>383</v>
      </c>
      <c r="G63" s="86" t="s">
        <v>400</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581</v>
      </c>
      <c r="B64" s="81" t="s">
        <v>595</v>
      </c>
      <c r="C64" s="83" t="s">
        <v>596</v>
      </c>
      <c r="D64" s="85" t="s">
        <v>597</v>
      </c>
      <c r="E64" s="85" t="s">
        <v>598</v>
      </c>
      <c r="F64" s="86" t="s">
        <v>383</v>
      </c>
      <c r="G64" s="86" t="s">
        <v>400</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581</v>
      </c>
      <c r="B65" s="81" t="s">
        <v>599</v>
      </c>
      <c r="C65" s="83" t="s">
        <v>600</v>
      </c>
      <c r="D65" s="85" t="s">
        <v>601</v>
      </c>
      <c r="E65" s="85" t="s">
        <v>602</v>
      </c>
      <c r="F65" s="86" t="s">
        <v>383</v>
      </c>
      <c r="G65" s="86" t="s">
        <v>358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581</v>
      </c>
      <c r="B66" s="81" t="s">
        <v>603</v>
      </c>
      <c r="C66" s="83" t="s">
        <v>604</v>
      </c>
      <c r="D66" s="85" t="s">
        <v>605</v>
      </c>
      <c r="E66" s="85" t="s">
        <v>606</v>
      </c>
      <c r="F66" s="86" t="s">
        <v>383</v>
      </c>
      <c r="G66" s="86" t="s">
        <v>358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581</v>
      </c>
      <c r="B67" s="81" t="s">
        <v>607</v>
      </c>
      <c r="C67" s="83" t="s">
        <v>608</v>
      </c>
      <c r="D67" s="85" t="s">
        <v>609</v>
      </c>
      <c r="E67" s="85" t="s">
        <v>610</v>
      </c>
      <c r="F67" s="86" t="s">
        <v>383</v>
      </c>
      <c r="G67" s="86" t="s">
        <v>363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611</v>
      </c>
      <c r="B68" s="80">
        <v>8</v>
      </c>
      <c r="C68" s="82" t="s">
        <v>25</v>
      </c>
      <c r="D68" s="84" t="s">
        <v>612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611</v>
      </c>
      <c r="B69" s="81" t="s">
        <v>613</v>
      </c>
      <c r="C69" s="83" t="s">
        <v>614</v>
      </c>
      <c r="D69" s="85" t="s">
        <v>615</v>
      </c>
      <c r="E69" s="85" t="s">
        <v>616</v>
      </c>
      <c r="F69" s="86" t="s">
        <v>475</v>
      </c>
      <c r="G69" s="86" t="s">
        <v>416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611</v>
      </c>
      <c r="B70" s="81" t="s">
        <v>617</v>
      </c>
      <c r="C70" s="83" t="s">
        <v>618</v>
      </c>
      <c r="D70" s="85" t="s">
        <v>619</v>
      </c>
      <c r="E70" s="85" t="s">
        <v>620</v>
      </c>
      <c r="F70" s="86" t="s">
        <v>415</v>
      </c>
      <c r="G70" s="86" t="s">
        <v>368</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611</v>
      </c>
      <c r="B71" s="81" t="s">
        <v>621</v>
      </c>
      <c r="C71" s="83" t="s">
        <v>622</v>
      </c>
      <c r="D71" s="85" t="s">
        <v>623</v>
      </c>
      <c r="E71" s="85" t="s">
        <v>624</v>
      </c>
      <c r="F71" s="86" t="s">
        <v>415</v>
      </c>
      <c r="G71" s="86" t="s">
        <v>400</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611</v>
      </c>
      <c r="B72" s="81" t="s">
        <v>625</v>
      </c>
      <c r="C72" s="83" t="s">
        <v>626</v>
      </c>
      <c r="D72" s="85" t="s">
        <v>627</v>
      </c>
      <c r="E72" s="85" t="s">
        <v>628</v>
      </c>
      <c r="F72" s="86" t="s">
        <v>629</v>
      </c>
      <c r="G72" s="86" t="s">
        <v>400</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611</v>
      </c>
      <c r="B73" s="81" t="s">
        <v>630</v>
      </c>
      <c r="C73" s="83" t="s">
        <v>631</v>
      </c>
      <c r="D73" s="85" t="s">
        <v>632</v>
      </c>
      <c r="E73" s="85" t="s">
        <v>633</v>
      </c>
      <c r="F73" s="86" t="s">
        <v>415</v>
      </c>
      <c r="G73" s="86" t="s">
        <v>368</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611</v>
      </c>
      <c r="B74" s="81" t="s">
        <v>634</v>
      </c>
      <c r="C74" s="83" t="s">
        <v>635</v>
      </c>
      <c r="D74" s="85" t="s">
        <v>636</v>
      </c>
      <c r="E74" s="85" t="s">
        <v>637</v>
      </c>
      <c r="F74" s="86" t="s">
        <v>415</v>
      </c>
      <c r="G74" s="86" t="s">
        <v>368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611</v>
      </c>
      <c r="B75" s="81" t="s">
        <v>638</v>
      </c>
      <c r="C75" s="83" t="s">
        <v>639</v>
      </c>
      <c r="D75" s="85" t="s">
        <v>640</v>
      </c>
      <c r="E75" s="85" t="s">
        <v>641</v>
      </c>
      <c r="F75" s="86" t="s">
        <v>415</v>
      </c>
      <c r="G75" s="86" t="s">
        <v>368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611</v>
      </c>
      <c r="B76" s="81" t="s">
        <v>642</v>
      </c>
      <c r="C76" s="83" t="s">
        <v>643</v>
      </c>
      <c r="D76" s="85" t="s">
        <v>644</v>
      </c>
      <c r="E76" s="85" t="s">
        <v>645</v>
      </c>
      <c r="F76" s="86" t="s">
        <v>415</v>
      </c>
      <c r="G76" s="86" t="s">
        <v>368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611</v>
      </c>
      <c r="B77" s="81" t="s">
        <v>646</v>
      </c>
      <c r="C77" s="83" t="s">
        <v>647</v>
      </c>
      <c r="D77" s="85" t="s">
        <v>648</v>
      </c>
      <c r="E77" s="85" t="s">
        <v>649</v>
      </c>
      <c r="F77" s="86" t="s">
        <v>415</v>
      </c>
      <c r="G77" s="86" t="s">
        <v>368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611</v>
      </c>
      <c r="B78" s="81" t="s">
        <v>650</v>
      </c>
      <c r="C78" s="83" t="s">
        <v>651</v>
      </c>
      <c r="D78" s="85" t="s">
        <v>652</v>
      </c>
      <c r="E78" s="85" t="s">
        <v>653</v>
      </c>
      <c r="F78" s="86" t="s">
        <v>415</v>
      </c>
      <c r="G78" s="86" t="s">
        <v>400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611</v>
      </c>
      <c r="B79" s="81" t="s">
        <v>654</v>
      </c>
      <c r="C79" s="83" t="s">
        <v>655</v>
      </c>
      <c r="D79" s="85" t="s">
        <v>656</v>
      </c>
      <c r="E79" s="85" t="s">
        <v>657</v>
      </c>
      <c r="F79" s="86" t="s">
        <v>415</v>
      </c>
      <c r="G79" s="86" t="s">
        <v>368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611</v>
      </c>
      <c r="B80" s="81" t="s">
        <v>658</v>
      </c>
      <c r="C80" s="83" t="s">
        <v>659</v>
      </c>
      <c r="D80" s="85" t="s">
        <v>660</v>
      </c>
      <c r="E80" s="85" t="s">
        <v>661</v>
      </c>
      <c r="F80" s="86" t="s">
        <v>415</v>
      </c>
      <c r="G80" s="86" t="s">
        <v>368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662</v>
      </c>
      <c r="B81" s="80">
        <v>9</v>
      </c>
      <c r="C81" s="82" t="s">
        <v>25</v>
      </c>
      <c r="D81" s="84" t="s">
        <v>663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662</v>
      </c>
      <c r="B82" s="81" t="s">
        <v>664</v>
      </c>
      <c r="C82" s="83" t="s">
        <v>665</v>
      </c>
      <c r="D82" s="85" t="s">
        <v>666</v>
      </c>
      <c r="E82" s="85" t="s">
        <v>667</v>
      </c>
      <c r="F82" s="86" t="s">
        <v>383</v>
      </c>
      <c r="G82" s="86" t="s">
        <v>400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662</v>
      </c>
      <c r="B83" s="81" t="s">
        <v>668</v>
      </c>
      <c r="C83" s="83" t="s">
        <v>669</v>
      </c>
      <c r="D83" s="85" t="s">
        <v>670</v>
      </c>
      <c r="E83" s="85" t="s">
        <v>671</v>
      </c>
      <c r="F83" s="86" t="s">
        <v>357</v>
      </c>
      <c r="G83" s="86" t="s">
        <v>400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662</v>
      </c>
      <c r="B84" s="81" t="s">
        <v>672</v>
      </c>
      <c r="C84" s="83" t="s">
        <v>673</v>
      </c>
      <c r="D84" s="85" t="s">
        <v>674</v>
      </c>
      <c r="E84" s="85" t="s">
        <v>675</v>
      </c>
      <c r="F84" s="86" t="s">
        <v>629</v>
      </c>
      <c r="G84" s="86" t="s">
        <v>400</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662</v>
      </c>
      <c r="B85" s="81" t="s">
        <v>676</v>
      </c>
      <c r="C85" s="83" t="s">
        <v>677</v>
      </c>
      <c r="D85" s="85" t="s">
        <v>678</v>
      </c>
      <c r="E85" s="85" t="s">
        <v>679</v>
      </c>
      <c r="F85" s="86" t="s">
        <v>383</v>
      </c>
      <c r="G85" s="86" t="s">
        <v>400</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662</v>
      </c>
      <c r="B86" s="81" t="s">
        <v>680</v>
      </c>
      <c r="C86" s="83" t="s">
        <v>681</v>
      </c>
      <c r="D86" s="85" t="s">
        <v>682</v>
      </c>
      <c r="E86" s="85" t="s">
        <v>683</v>
      </c>
      <c r="F86" s="86" t="s">
        <v>629</v>
      </c>
      <c r="G86" s="86" t="s">
        <v>400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662</v>
      </c>
      <c r="B87" s="81" t="s">
        <v>684</v>
      </c>
      <c r="C87" s="83" t="s">
        <v>685</v>
      </c>
      <c r="D87" s="85" t="s">
        <v>686</v>
      </c>
      <c r="E87" s="85" t="s">
        <v>687</v>
      </c>
      <c r="F87" s="86" t="s">
        <v>629</v>
      </c>
      <c r="G87" s="86" t="s">
        <v>400</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662</v>
      </c>
      <c r="B88" s="81" t="s">
        <v>688</v>
      </c>
      <c r="C88" s="83" t="s">
        <v>689</v>
      </c>
      <c r="D88" s="85" t="s">
        <v>690</v>
      </c>
      <c r="E88" s="85" t="s">
        <v>691</v>
      </c>
      <c r="F88" s="86" t="s">
        <v>629</v>
      </c>
      <c r="G88" s="86" t="s">
        <v>400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692</v>
      </c>
      <c r="B89" s="80">
        <v>10</v>
      </c>
      <c r="C89" s="82" t="s">
        <v>25</v>
      </c>
      <c r="D89" s="84" t="s">
        <v>693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692</v>
      </c>
      <c r="B90" s="81" t="s">
        <v>694</v>
      </c>
      <c r="C90" s="83" t="s">
        <v>695</v>
      </c>
      <c r="D90" s="85" t="s">
        <v>696</v>
      </c>
      <c r="E90" s="85" t="s">
        <v>697</v>
      </c>
      <c r="F90" s="86" t="s">
        <v>357</v>
      </c>
      <c r="G90" s="86" t="s">
        <v>368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692</v>
      </c>
      <c r="B91" s="81" t="s">
        <v>698</v>
      </c>
      <c r="C91" s="83" t="s">
        <v>699</v>
      </c>
      <c r="D91" s="85" t="s">
        <v>700</v>
      </c>
      <c r="E91" s="85" t="s">
        <v>701</v>
      </c>
      <c r="F91" s="86" t="s">
        <v>357</v>
      </c>
      <c r="G91" s="86" t="s">
        <v>400</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692</v>
      </c>
      <c r="B92" s="81" t="s">
        <v>702</v>
      </c>
      <c r="C92" s="83" t="s">
        <v>703</v>
      </c>
      <c r="D92" s="85" t="s">
        <v>704</v>
      </c>
      <c r="E92" s="85" t="s">
        <v>705</v>
      </c>
      <c r="F92" s="86" t="s">
        <v>357</v>
      </c>
      <c r="G92" s="86" t="s">
        <v>400</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692</v>
      </c>
      <c r="B93" s="81" t="s">
        <v>706</v>
      </c>
      <c r="C93" s="83" t="s">
        <v>707</v>
      </c>
      <c r="D93" s="85" t="s">
        <v>708</v>
      </c>
      <c r="E93" s="85" t="s">
        <v>709</v>
      </c>
      <c r="F93" s="86" t="s">
        <v>357</v>
      </c>
      <c r="G93" s="86" t="s">
        <v>368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692</v>
      </c>
      <c r="B94" s="81" t="s">
        <v>710</v>
      </c>
      <c r="C94" s="83" t="s">
        <v>711</v>
      </c>
      <c r="D94" s="85" t="s">
        <v>712</v>
      </c>
      <c r="E94" s="85" t="s">
        <v>713</v>
      </c>
      <c r="F94" s="86" t="s">
        <v>357</v>
      </c>
      <c r="G94" s="86" t="s">
        <v>400</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692</v>
      </c>
      <c r="B95" s="81" t="s">
        <v>714</v>
      </c>
      <c r="C95" s="83" t="s">
        <v>715</v>
      </c>
      <c r="D95" s="85" t="s">
        <v>716</v>
      </c>
      <c r="E95" s="85" t="s">
        <v>717</v>
      </c>
      <c r="F95" s="86" t="s">
        <v>357</v>
      </c>
      <c r="G95" s="86" t="s">
        <v>400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692</v>
      </c>
      <c r="B96" s="81" t="s">
        <v>718</v>
      </c>
      <c r="C96" s="83" t="s">
        <v>719</v>
      </c>
      <c r="D96" s="85" t="s">
        <v>720</v>
      </c>
      <c r="E96" s="85" t="s">
        <v>721</v>
      </c>
      <c r="F96" s="86" t="s">
        <v>357</v>
      </c>
      <c r="G96" s="86" t="s">
        <v>368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722</v>
      </c>
      <c r="B97" s="80">
        <v>11</v>
      </c>
      <c r="C97" s="82" t="s">
        <v>25</v>
      </c>
      <c r="D97" s="84" t="s">
        <v>723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722</v>
      </c>
      <c r="B98" s="81" t="s">
        <v>724</v>
      </c>
      <c r="C98" s="83" t="s">
        <v>725</v>
      </c>
      <c r="D98" s="85" t="s">
        <v>726</v>
      </c>
      <c r="E98" s="85" t="s">
        <v>727</v>
      </c>
      <c r="F98" s="86" t="s">
        <v>475</v>
      </c>
      <c r="G98" s="86" t="s">
        <v>416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722</v>
      </c>
      <c r="B99" s="81" t="s">
        <v>728</v>
      </c>
      <c r="C99" s="83" t="s">
        <v>729</v>
      </c>
      <c r="D99" s="85" t="s">
        <v>730</v>
      </c>
      <c r="E99" s="85" t="s">
        <v>731</v>
      </c>
      <c r="F99" s="86" t="s">
        <v>415</v>
      </c>
      <c r="G99" s="86" t="s">
        <v>732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722</v>
      </c>
      <c r="B100" s="81" t="s">
        <v>733</v>
      </c>
      <c r="C100" s="83" t="s">
        <v>734</v>
      </c>
      <c r="D100" s="85" t="s">
        <v>735</v>
      </c>
      <c r="E100" s="85" t="s">
        <v>736</v>
      </c>
      <c r="F100" s="86" t="s">
        <v>415</v>
      </c>
      <c r="G100" s="86" t="s">
        <v>400</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722</v>
      </c>
      <c r="B101" s="81" t="s">
        <v>737</v>
      </c>
      <c r="C101" s="83" t="s">
        <v>738</v>
      </c>
      <c r="D101" s="85" t="s">
        <v>739</v>
      </c>
      <c r="E101" s="85" t="s">
        <v>740</v>
      </c>
      <c r="F101" s="86" t="s">
        <v>415</v>
      </c>
      <c r="G101" s="86" t="s">
        <v>732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722</v>
      </c>
      <c r="B102" s="81" t="s">
        <v>741</v>
      </c>
      <c r="C102" s="83" t="s">
        <v>742</v>
      </c>
      <c r="D102" s="85" t="s">
        <v>743</v>
      </c>
      <c r="E102" s="85" t="s">
        <v>744</v>
      </c>
      <c r="F102" s="86" t="s">
        <v>415</v>
      </c>
      <c r="G102" s="86" t="s">
        <v>732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745</v>
      </c>
      <c r="B103" s="80">
        <v>12</v>
      </c>
      <c r="C103" s="82" t="s">
        <v>25</v>
      </c>
      <c r="D103" s="84" t="s">
        <v>746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745</v>
      </c>
      <c r="B104" s="81" t="s">
        <v>747</v>
      </c>
      <c r="C104" s="83" t="s">
        <v>748</v>
      </c>
      <c r="D104" s="85" t="s">
        <v>749</v>
      </c>
      <c r="E104" s="85" t="s">
        <v>750</v>
      </c>
      <c r="F104" s="86" t="s">
        <v>629</v>
      </c>
      <c r="G104" s="86" t="s">
        <v>400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745</v>
      </c>
      <c r="B105" s="81" t="s">
        <v>751</v>
      </c>
      <c r="C105" s="83" t="s">
        <v>752</v>
      </c>
      <c r="D105" s="85" t="s">
        <v>753</v>
      </c>
      <c r="E105" s="85" t="s">
        <v>754</v>
      </c>
      <c r="F105" s="86" t="s">
        <v>629</v>
      </c>
      <c r="G105" s="86" t="s">
        <v>400</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745</v>
      </c>
      <c r="B106" s="81" t="s">
        <v>755</v>
      </c>
      <c r="C106" s="83" t="s">
        <v>756</v>
      </c>
      <c r="D106" s="85" t="s">
        <v>757</v>
      </c>
      <c r="E106" s="85" t="s">
        <v>758</v>
      </c>
      <c r="F106" s="86" t="s">
        <v>629</v>
      </c>
      <c r="G106" s="86" t="s">
        <v>400</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745</v>
      </c>
      <c r="B107" s="81" t="s">
        <v>759</v>
      </c>
      <c r="C107" s="83" t="s">
        <v>760</v>
      </c>
      <c r="D107" s="85" t="s">
        <v>761</v>
      </c>
      <c r="E107" s="85" t="s">
        <v>762</v>
      </c>
      <c r="F107" s="86" t="s">
        <v>475</v>
      </c>
      <c r="G107" s="86" t="s">
        <v>416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745</v>
      </c>
      <c r="B108" s="81" t="s">
        <v>763</v>
      </c>
      <c r="C108" s="83" t="s">
        <v>764</v>
      </c>
      <c r="D108" s="85" t="s">
        <v>765</v>
      </c>
      <c r="E108" s="85" t="s">
        <v>766</v>
      </c>
      <c r="F108" s="86" t="s">
        <v>629</v>
      </c>
      <c r="G108" s="86" t="s">
        <v>400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745</v>
      </c>
      <c r="B109" s="81" t="s">
        <v>767</v>
      </c>
      <c r="C109" s="83" t="s">
        <v>768</v>
      </c>
      <c r="D109" s="85" t="s">
        <v>769</v>
      </c>
      <c r="E109" s="85" t="s">
        <v>770</v>
      </c>
      <c r="F109" s="86" t="s">
        <v>629</v>
      </c>
      <c r="G109" s="86" t="s">
        <v>400</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745</v>
      </c>
      <c r="B110" s="81" t="s">
        <v>771</v>
      </c>
      <c r="C110" s="83" t="s">
        <v>772</v>
      </c>
      <c r="D110" s="85" t="s">
        <v>773</v>
      </c>
      <c r="E110" s="85" t="s">
        <v>774</v>
      </c>
      <c r="F110" s="86" t="s">
        <v>357</v>
      </c>
      <c r="G110" s="86" t="s">
        <v>400</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745</v>
      </c>
      <c r="B111" s="81" t="s">
        <v>775</v>
      </c>
      <c r="C111" s="83" t="s">
        <v>776</v>
      </c>
      <c r="D111" s="85" t="s">
        <v>777</v>
      </c>
      <c r="E111" s="85" t="s">
        <v>778</v>
      </c>
      <c r="F111" s="86" t="s">
        <v>357</v>
      </c>
      <c r="G111" s="86" t="s">
        <v>400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779</v>
      </c>
      <c r="B112" s="80">
        <v>13</v>
      </c>
      <c r="C112" s="82" t="s">
        <v>25</v>
      </c>
      <c r="D112" s="84" t="s">
        <v>780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779</v>
      </c>
      <c r="B113" s="81" t="s">
        <v>781</v>
      </c>
      <c r="C113" s="83" t="s">
        <v>782</v>
      </c>
      <c r="D113" s="85" t="s">
        <v>783</v>
      </c>
      <c r="E113" s="85" t="s">
        <v>784</v>
      </c>
      <c r="F113" s="86" t="s">
        <v>629</v>
      </c>
      <c r="G113" s="86" t="s">
        <v>368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779</v>
      </c>
      <c r="B114" s="81" t="s">
        <v>785</v>
      </c>
      <c r="C114" s="83" t="s">
        <v>786</v>
      </c>
      <c r="D114" s="85" t="s">
        <v>787</v>
      </c>
      <c r="E114" s="85" t="s">
        <v>788</v>
      </c>
      <c r="F114" s="86" t="s">
        <v>357</v>
      </c>
      <c r="G114" s="86" t="s">
        <v>368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779</v>
      </c>
      <c r="B115" s="81" t="s">
        <v>789</v>
      </c>
      <c r="C115" s="83" t="s">
        <v>790</v>
      </c>
      <c r="D115" s="85" t="s">
        <v>791</v>
      </c>
      <c r="E115" s="85" t="s">
        <v>792</v>
      </c>
      <c r="F115" s="86" t="s">
        <v>629</v>
      </c>
      <c r="G115" s="86" t="s">
        <v>368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779</v>
      </c>
      <c r="B116" s="81" t="s">
        <v>793</v>
      </c>
      <c r="C116" s="83" t="s">
        <v>794</v>
      </c>
      <c r="D116" s="85" t="s">
        <v>795</v>
      </c>
      <c r="E116" s="85" t="s">
        <v>796</v>
      </c>
      <c r="F116" s="86" t="s">
        <v>629</v>
      </c>
      <c r="G116" s="86" t="s">
        <v>400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779</v>
      </c>
      <c r="B117" s="81" t="s">
        <v>797</v>
      </c>
      <c r="C117" s="83" t="s">
        <v>798</v>
      </c>
      <c r="D117" s="85" t="s">
        <v>799</v>
      </c>
      <c r="E117" s="85" t="s">
        <v>800</v>
      </c>
      <c r="F117" s="86" t="s">
        <v>357</v>
      </c>
      <c r="G117" s="86" t="s">
        <v>400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779</v>
      </c>
      <c r="B118" s="81" t="s">
        <v>801</v>
      </c>
      <c r="C118" s="83" t="s">
        <v>802</v>
      </c>
      <c r="D118" s="85" t="s">
        <v>803</v>
      </c>
      <c r="E118" s="85" t="s">
        <v>804</v>
      </c>
      <c r="F118" s="86" t="s">
        <v>629</v>
      </c>
      <c r="G118" s="86" t="s">
        <v>368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779</v>
      </c>
      <c r="B119" s="81" t="s">
        <v>805</v>
      </c>
      <c r="C119" s="83" t="s">
        <v>806</v>
      </c>
      <c r="D119" s="85" t="s">
        <v>807</v>
      </c>
      <c r="E119" s="85" t="s">
        <v>808</v>
      </c>
      <c r="F119" s="86" t="s">
        <v>357</v>
      </c>
      <c r="G119" s="86" t="s">
        <v>400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779</v>
      </c>
      <c r="B120" s="81" t="s">
        <v>809</v>
      </c>
      <c r="C120" s="83" t="s">
        <v>810</v>
      </c>
      <c r="D120" s="85" t="s">
        <v>811</v>
      </c>
      <c r="E120" s="85" t="s">
        <v>812</v>
      </c>
      <c r="F120" s="86" t="s">
        <v>629</v>
      </c>
      <c r="G120" s="86" t="s">
        <v>400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779</v>
      </c>
      <c r="B121" s="81" t="s">
        <v>813</v>
      </c>
      <c r="C121" s="83" t="s">
        <v>814</v>
      </c>
      <c r="D121" s="85" t="s">
        <v>815</v>
      </c>
      <c r="E121" s="85" t="s">
        <v>816</v>
      </c>
      <c r="F121" s="86" t="s">
        <v>629</v>
      </c>
      <c r="G121" s="86" t="s">
        <v>400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779</v>
      </c>
      <c r="B122" s="81" t="s">
        <v>817</v>
      </c>
      <c r="C122" s="83" t="s">
        <v>818</v>
      </c>
      <c r="D122" s="85" t="s">
        <v>819</v>
      </c>
      <c r="E122" s="85" t="s">
        <v>820</v>
      </c>
      <c r="F122" s="86" t="s">
        <v>629</v>
      </c>
      <c r="G122" s="86" t="s">
        <v>400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779</v>
      </c>
      <c r="B123" s="81" t="s">
        <v>821</v>
      </c>
      <c r="C123" s="83" t="s">
        <v>822</v>
      </c>
      <c r="D123" s="85" t="s">
        <v>823</v>
      </c>
      <c r="E123" s="85" t="s">
        <v>824</v>
      </c>
      <c r="F123" s="86" t="s">
        <v>629</v>
      </c>
      <c r="G123" s="86" t="s">
        <v>368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825</v>
      </c>
      <c r="B124" s="80">
        <v>14</v>
      </c>
      <c r="C124" s="82" t="s">
        <v>25</v>
      </c>
      <c r="D124" s="84" t="s">
        <v>826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825</v>
      </c>
      <c r="B125" s="81" t="s">
        <v>827</v>
      </c>
      <c r="C125" s="83" t="s">
        <v>828</v>
      </c>
      <c r="D125" s="85" t="s">
        <v>829</v>
      </c>
      <c r="E125" s="85" t="s">
        <v>830</v>
      </c>
      <c r="F125" s="86" t="s">
        <v>475</v>
      </c>
      <c r="G125" s="86" t="s">
        <v>416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825</v>
      </c>
      <c r="B126" s="81" t="s">
        <v>831</v>
      </c>
      <c r="C126" s="83" t="s">
        <v>832</v>
      </c>
      <c r="D126" s="85" t="s">
        <v>833</v>
      </c>
      <c r="E126" s="85" t="s">
        <v>834</v>
      </c>
      <c r="F126" s="86" t="s">
        <v>500</v>
      </c>
      <c r="G126" s="86" t="s">
        <v>400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825</v>
      </c>
      <c r="B127" s="81" t="s">
        <v>835</v>
      </c>
      <c r="C127" s="83" t="s">
        <v>836</v>
      </c>
      <c r="D127" s="85" t="s">
        <v>837</v>
      </c>
      <c r="E127" s="85" t="s">
        <v>838</v>
      </c>
      <c r="F127" s="86" t="s">
        <v>500</v>
      </c>
      <c r="G127" s="86" t="s">
        <v>400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825</v>
      </c>
      <c r="B128" s="81" t="s">
        <v>839</v>
      </c>
      <c r="C128" s="83" t="s">
        <v>840</v>
      </c>
      <c r="D128" s="85" t="s">
        <v>841</v>
      </c>
      <c r="E128" s="85" t="s">
        <v>842</v>
      </c>
      <c r="F128" s="86" t="s">
        <v>500</v>
      </c>
      <c r="G128" s="86" t="s">
        <v>400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825</v>
      </c>
      <c r="B129" s="81" t="s">
        <v>843</v>
      </c>
      <c r="C129" s="83" t="s">
        <v>844</v>
      </c>
      <c r="D129" s="85" t="s">
        <v>845</v>
      </c>
      <c r="E129" s="85" t="s">
        <v>846</v>
      </c>
      <c r="F129" s="86" t="s">
        <v>500</v>
      </c>
      <c r="G129" s="86" t="s">
        <v>400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825</v>
      </c>
      <c r="B130" s="81" t="s">
        <v>847</v>
      </c>
      <c r="C130" s="83" t="s">
        <v>848</v>
      </c>
      <c r="D130" s="85" t="s">
        <v>849</v>
      </c>
      <c r="E130" s="85" t="s">
        <v>850</v>
      </c>
      <c r="F130" s="86" t="s">
        <v>500</v>
      </c>
      <c r="G130" s="86" t="s">
        <v>400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825</v>
      </c>
      <c r="B131" s="81" t="s">
        <v>851</v>
      </c>
      <c r="C131" s="83" t="s">
        <v>852</v>
      </c>
      <c r="D131" s="85" t="s">
        <v>853</v>
      </c>
      <c r="E131" s="85" t="s">
        <v>854</v>
      </c>
      <c r="F131" s="86" t="s">
        <v>500</v>
      </c>
      <c r="G131" s="86" t="s">
        <v>400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825</v>
      </c>
      <c r="B132" s="81" t="s">
        <v>855</v>
      </c>
      <c r="C132" s="83" t="s">
        <v>856</v>
      </c>
      <c r="D132" s="85" t="s">
        <v>857</v>
      </c>
      <c r="E132" s="85" t="s">
        <v>858</v>
      </c>
      <c r="F132" s="86" t="s">
        <v>500</v>
      </c>
      <c r="G132" s="86" t="s">
        <v>400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825</v>
      </c>
      <c r="B133" s="81" t="s">
        <v>859</v>
      </c>
      <c r="C133" s="83" t="s">
        <v>860</v>
      </c>
      <c r="D133" s="85" t="s">
        <v>861</v>
      </c>
      <c r="E133" s="85" t="s">
        <v>862</v>
      </c>
      <c r="F133" s="86" t="s">
        <v>500</v>
      </c>
      <c r="G133" s="86" t="s">
        <v>400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863</v>
      </c>
      <c r="B134" s="80">
        <v>15</v>
      </c>
      <c r="C134" s="82" t="s">
        <v>25</v>
      </c>
      <c r="D134" s="84" t="s">
        <v>864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863</v>
      </c>
      <c r="B135" s="81" t="s">
        <v>865</v>
      </c>
      <c r="C135" s="83" t="s">
        <v>866</v>
      </c>
      <c r="D135" s="85" t="s">
        <v>867</v>
      </c>
      <c r="E135" s="85" t="s">
        <v>868</v>
      </c>
      <c r="F135" s="86" t="s">
        <v>500</v>
      </c>
      <c r="G135" s="86" t="s">
        <v>358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863</v>
      </c>
      <c r="B136" s="81" t="s">
        <v>869</v>
      </c>
      <c r="C136" s="83" t="s">
        <v>870</v>
      </c>
      <c r="D136" s="85" t="s">
        <v>871</v>
      </c>
      <c r="E136" s="85" t="s">
        <v>872</v>
      </c>
      <c r="F136" s="86" t="s">
        <v>475</v>
      </c>
      <c r="G136" s="86" t="s">
        <v>416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863</v>
      </c>
      <c r="B137" s="81" t="s">
        <v>873</v>
      </c>
      <c r="C137" s="83" t="s">
        <v>874</v>
      </c>
      <c r="D137" s="85" t="s">
        <v>875</v>
      </c>
      <c r="E137" s="85" t="s">
        <v>876</v>
      </c>
      <c r="F137" s="86" t="s">
        <v>500</v>
      </c>
      <c r="G137" s="86" t="s">
        <v>416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863</v>
      </c>
      <c r="B138" s="81" t="s">
        <v>877</v>
      </c>
      <c r="C138" s="83" t="s">
        <v>878</v>
      </c>
      <c r="D138" s="85" t="s">
        <v>879</v>
      </c>
      <c r="E138" s="85" t="s">
        <v>880</v>
      </c>
      <c r="F138" s="86" t="s">
        <v>475</v>
      </c>
      <c r="G138" s="86" t="s">
        <v>416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863</v>
      </c>
      <c r="B139" s="81" t="s">
        <v>881</v>
      </c>
      <c r="C139" s="83" t="s">
        <v>882</v>
      </c>
      <c r="D139" s="85" t="s">
        <v>883</v>
      </c>
      <c r="E139" s="85" t="s">
        <v>884</v>
      </c>
      <c r="F139" s="86" t="s">
        <v>500</v>
      </c>
      <c r="G139" s="86" t="s">
        <v>416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863</v>
      </c>
      <c r="B140" s="81" t="s">
        <v>885</v>
      </c>
      <c r="C140" s="83" t="s">
        <v>886</v>
      </c>
      <c r="D140" s="85" t="s">
        <v>887</v>
      </c>
      <c r="E140" s="85" t="s">
        <v>888</v>
      </c>
      <c r="F140" s="86" t="s">
        <v>415</v>
      </c>
      <c r="G140" s="86" t="s">
        <v>416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863</v>
      </c>
      <c r="B141" s="81" t="s">
        <v>889</v>
      </c>
      <c r="C141" s="83" t="s">
        <v>890</v>
      </c>
      <c r="D141" s="85" t="s">
        <v>891</v>
      </c>
      <c r="E141" s="85" t="s">
        <v>892</v>
      </c>
      <c r="F141" s="86" t="s">
        <v>415</v>
      </c>
      <c r="G141" s="86" t="s">
        <v>400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893</v>
      </c>
      <c r="B142" s="80">
        <v>16</v>
      </c>
      <c r="C142" s="82" t="s">
        <v>25</v>
      </c>
      <c r="D142" s="84" t="s">
        <v>894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893</v>
      </c>
      <c r="B143" s="81" t="s">
        <v>895</v>
      </c>
      <c r="C143" s="83" t="s">
        <v>896</v>
      </c>
      <c r="D143" s="85" t="s">
        <v>897</v>
      </c>
      <c r="E143" s="85" t="s">
        <v>898</v>
      </c>
      <c r="F143" s="86" t="s">
        <v>475</v>
      </c>
      <c r="G143" s="86" t="s">
        <v>416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893</v>
      </c>
      <c r="B144" s="81" t="s">
        <v>899</v>
      </c>
      <c r="C144" s="83" t="s">
        <v>900</v>
      </c>
      <c r="D144" s="85" t="s">
        <v>901</v>
      </c>
      <c r="E144" s="85" t="s">
        <v>902</v>
      </c>
      <c r="F144" s="86" t="s">
        <v>475</v>
      </c>
      <c r="G144" s="86" t="s">
        <v>416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893</v>
      </c>
      <c r="B145" s="81" t="s">
        <v>903</v>
      </c>
      <c r="C145" s="83" t="s">
        <v>904</v>
      </c>
      <c r="D145" s="85" t="s">
        <v>905</v>
      </c>
      <c r="E145" s="85" t="s">
        <v>906</v>
      </c>
      <c r="F145" s="86" t="s">
        <v>383</v>
      </c>
      <c r="G145" s="86" t="s">
        <v>368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893</v>
      </c>
      <c r="B146" s="81" t="s">
        <v>907</v>
      </c>
      <c r="C146" s="83" t="s">
        <v>908</v>
      </c>
      <c r="D146" s="85" t="s">
        <v>909</v>
      </c>
      <c r="E146" s="85" t="s">
        <v>910</v>
      </c>
      <c r="F146" s="86" t="s">
        <v>383</v>
      </c>
      <c r="G146" s="86" t="s">
        <v>358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893</v>
      </c>
      <c r="B147" s="81" t="s">
        <v>911</v>
      </c>
      <c r="C147" s="83" t="s">
        <v>912</v>
      </c>
      <c r="D147" s="85" t="s">
        <v>913</v>
      </c>
      <c r="E147" s="85" t="s">
        <v>914</v>
      </c>
      <c r="F147" s="86" t="s">
        <v>383</v>
      </c>
      <c r="G147" s="86" t="s">
        <v>400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893</v>
      </c>
      <c r="B148" s="81" t="s">
        <v>915</v>
      </c>
      <c r="C148" s="83" t="s">
        <v>916</v>
      </c>
      <c r="D148" s="85" t="s">
        <v>917</v>
      </c>
      <c r="E148" s="85" t="s">
        <v>918</v>
      </c>
      <c r="F148" s="86" t="s">
        <v>475</v>
      </c>
      <c r="G148" s="86" t="s">
        <v>416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893</v>
      </c>
      <c r="B149" s="81" t="s">
        <v>919</v>
      </c>
      <c r="C149" s="83" t="s">
        <v>920</v>
      </c>
      <c r="D149" s="85" t="s">
        <v>921</v>
      </c>
      <c r="E149" s="85" t="s">
        <v>922</v>
      </c>
      <c r="F149" s="86" t="s">
        <v>383</v>
      </c>
      <c r="G149" s="86" t="s">
        <v>400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893</v>
      </c>
      <c r="B150" s="81" t="s">
        <v>923</v>
      </c>
      <c r="C150" s="83" t="s">
        <v>924</v>
      </c>
      <c r="D150" s="85" t="s">
        <v>925</v>
      </c>
      <c r="E150" s="85" t="s">
        <v>926</v>
      </c>
      <c r="F150" s="86" t="s">
        <v>629</v>
      </c>
      <c r="G150" s="86" t="s">
        <v>400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893</v>
      </c>
      <c r="B151" s="81" t="s">
        <v>927</v>
      </c>
      <c r="C151" s="83" t="s">
        <v>928</v>
      </c>
      <c r="D151" s="85" t="s">
        <v>929</v>
      </c>
      <c r="E151" s="85" t="s">
        <v>930</v>
      </c>
      <c r="F151" s="86" t="s">
        <v>500</v>
      </c>
      <c r="G151" s="86" t="s">
        <v>400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893</v>
      </c>
      <c r="B152" s="81" t="s">
        <v>931</v>
      </c>
      <c r="C152" s="83" t="s">
        <v>932</v>
      </c>
      <c r="D152" s="85" t="s">
        <v>933</v>
      </c>
      <c r="E152" s="85" t="s">
        <v>934</v>
      </c>
      <c r="F152" s="86" t="s">
        <v>383</v>
      </c>
      <c r="G152" s="86" t="s">
        <v>400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893</v>
      </c>
      <c r="B153" s="81" t="s">
        <v>935</v>
      </c>
      <c r="C153" s="83" t="s">
        <v>936</v>
      </c>
      <c r="D153" s="85" t="s">
        <v>937</v>
      </c>
      <c r="E153" s="85" t="s">
        <v>938</v>
      </c>
      <c r="F153" s="86" t="s">
        <v>383</v>
      </c>
      <c r="G153" s="86" t="s">
        <v>400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893</v>
      </c>
      <c r="B154" s="81" t="s">
        <v>939</v>
      </c>
      <c r="C154" s="83" t="s">
        <v>940</v>
      </c>
      <c r="D154" s="85" t="s">
        <v>941</v>
      </c>
      <c r="E154" s="85" t="s">
        <v>942</v>
      </c>
      <c r="F154" s="86" t="s">
        <v>383</v>
      </c>
      <c r="G154" s="86" t="s">
        <v>400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893</v>
      </c>
      <c r="B155" s="81" t="s">
        <v>943</v>
      </c>
      <c r="C155" s="83" t="s">
        <v>944</v>
      </c>
      <c r="D155" s="85" t="s">
        <v>945</v>
      </c>
      <c r="E155" s="85" t="s">
        <v>946</v>
      </c>
      <c r="F155" s="86" t="s">
        <v>383</v>
      </c>
      <c r="G155" s="86" t="s">
        <v>368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893</v>
      </c>
      <c r="B156" s="81" t="s">
        <v>947</v>
      </c>
      <c r="C156" s="83" t="s">
        <v>948</v>
      </c>
      <c r="D156" s="85" t="s">
        <v>949</v>
      </c>
      <c r="E156" s="85" t="s">
        <v>950</v>
      </c>
      <c r="F156" s="86" t="s">
        <v>383</v>
      </c>
      <c r="G156" s="86" t="s">
        <v>400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951</v>
      </c>
      <c r="B157" s="80">
        <v>17</v>
      </c>
      <c r="C157" s="82" t="s">
        <v>25</v>
      </c>
      <c r="D157" s="84" t="s">
        <v>952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951</v>
      </c>
      <c r="B158" s="81" t="s">
        <v>953</v>
      </c>
      <c r="C158" s="83" t="s">
        <v>954</v>
      </c>
      <c r="D158" s="85" t="s">
        <v>955</v>
      </c>
      <c r="E158" s="85" t="s">
        <v>956</v>
      </c>
      <c r="F158" s="86" t="s">
        <v>500</v>
      </c>
      <c r="G158" s="86" t="s">
        <v>363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951</v>
      </c>
      <c r="B159" s="81" t="s">
        <v>957</v>
      </c>
      <c r="C159" s="83" t="s">
        <v>958</v>
      </c>
      <c r="D159" s="85" t="s">
        <v>959</v>
      </c>
      <c r="E159" s="85" t="s">
        <v>960</v>
      </c>
      <c r="F159" s="86" t="s">
        <v>475</v>
      </c>
      <c r="G159" s="86" t="s">
        <v>416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951</v>
      </c>
      <c r="B160" s="81" t="s">
        <v>961</v>
      </c>
      <c r="C160" s="83" t="s">
        <v>962</v>
      </c>
      <c r="D160" s="85" t="s">
        <v>963</v>
      </c>
      <c r="E160" s="85" t="s">
        <v>964</v>
      </c>
      <c r="F160" s="86" t="s">
        <v>475</v>
      </c>
      <c r="G160" s="86" t="s">
        <v>416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951</v>
      </c>
      <c r="B161" s="81" t="s">
        <v>965</v>
      </c>
      <c r="C161" s="83" t="s">
        <v>966</v>
      </c>
      <c r="D161" s="85" t="s">
        <v>967</v>
      </c>
      <c r="E161" s="85" t="s">
        <v>968</v>
      </c>
      <c r="F161" s="86" t="s">
        <v>475</v>
      </c>
      <c r="G161" s="86" t="s">
        <v>416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951</v>
      </c>
      <c r="B162" s="81" t="s">
        <v>969</v>
      </c>
      <c r="C162" s="83" t="s">
        <v>970</v>
      </c>
      <c r="D162" s="85" t="s">
        <v>971</v>
      </c>
      <c r="E162" s="85" t="s">
        <v>972</v>
      </c>
      <c r="F162" s="86" t="s">
        <v>500</v>
      </c>
      <c r="G162" s="86" t="s">
        <v>363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951</v>
      </c>
      <c r="B163" s="81" t="s">
        <v>973</v>
      </c>
      <c r="C163" s="83" t="s">
        <v>974</v>
      </c>
      <c r="D163" s="85" t="s">
        <v>975</v>
      </c>
      <c r="E163" s="85" t="s">
        <v>976</v>
      </c>
      <c r="F163" s="86" t="s">
        <v>500</v>
      </c>
      <c r="G163" s="86" t="s">
        <v>363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951</v>
      </c>
      <c r="B164" s="81" t="s">
        <v>977</v>
      </c>
      <c r="C164" s="83" t="s">
        <v>978</v>
      </c>
      <c r="D164" s="85" t="s">
        <v>979</v>
      </c>
      <c r="E164" s="85" t="s">
        <v>980</v>
      </c>
      <c r="F164" s="86" t="s">
        <v>500</v>
      </c>
      <c r="G164" s="86" t="s">
        <v>732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951</v>
      </c>
      <c r="B165" s="81" t="s">
        <v>981</v>
      </c>
      <c r="C165" s="83" t="s">
        <v>982</v>
      </c>
      <c r="D165" s="85" t="s">
        <v>983</v>
      </c>
      <c r="E165" s="85" t="s">
        <v>984</v>
      </c>
      <c r="F165" s="86" t="s">
        <v>500</v>
      </c>
      <c r="G165" s="86" t="s">
        <v>732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951</v>
      </c>
      <c r="B166" s="81" t="s">
        <v>985</v>
      </c>
      <c r="C166" s="83" t="s">
        <v>986</v>
      </c>
      <c r="D166" s="85" t="s">
        <v>987</v>
      </c>
      <c r="E166" s="85" t="s">
        <v>988</v>
      </c>
      <c r="F166" s="86" t="s">
        <v>475</v>
      </c>
      <c r="G166" s="86" t="s">
        <v>732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989</v>
      </c>
      <c r="B167" s="80">
        <v>18</v>
      </c>
      <c r="C167" s="82" t="s">
        <v>25</v>
      </c>
      <c r="D167" s="84" t="s">
        <v>990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989</v>
      </c>
      <c r="B168" s="81" t="s">
        <v>991</v>
      </c>
      <c r="C168" s="83" t="s">
        <v>992</v>
      </c>
      <c r="D168" s="85" t="s">
        <v>993</v>
      </c>
      <c r="E168" s="85" t="s">
        <v>994</v>
      </c>
      <c r="F168" s="86" t="s">
        <v>475</v>
      </c>
      <c r="G168" s="86" t="s">
        <v>416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989</v>
      </c>
      <c r="B169" s="81" t="s">
        <v>995</v>
      </c>
      <c r="C169" s="83" t="s">
        <v>996</v>
      </c>
      <c r="D169" s="85" t="s">
        <v>997</v>
      </c>
      <c r="E169" s="85" t="s">
        <v>998</v>
      </c>
      <c r="F169" s="86" t="s">
        <v>629</v>
      </c>
      <c r="G169" s="86" t="s">
        <v>368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989</v>
      </c>
      <c r="B170" s="81" t="s">
        <v>999</v>
      </c>
      <c r="C170" s="83" t="s">
        <v>1000</v>
      </c>
      <c r="D170" s="85" t="s">
        <v>1001</v>
      </c>
      <c r="E170" s="85" t="s">
        <v>1002</v>
      </c>
      <c r="F170" s="86" t="s">
        <v>629</v>
      </c>
      <c r="G170" s="86" t="s">
        <v>400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989</v>
      </c>
      <c r="B171" s="81" t="s">
        <v>1003</v>
      </c>
      <c r="C171" s="83" t="s">
        <v>1004</v>
      </c>
      <c r="D171" s="85" t="s">
        <v>1005</v>
      </c>
      <c r="E171" s="85" t="s">
        <v>1006</v>
      </c>
      <c r="F171" s="86" t="s">
        <v>629</v>
      </c>
      <c r="G171" s="86" t="s">
        <v>400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989</v>
      </c>
      <c r="B172" s="91" t="s">
        <v>1007</v>
      </c>
      <c r="C172" s="92" t="s">
        <v>1008</v>
      </c>
      <c r="D172" s="93" t="s">
        <v>1009</v>
      </c>
      <c r="E172" s="93" t="s">
        <v>1010</v>
      </c>
      <c r="F172" s="94" t="s">
        <v>629</v>
      </c>
      <c r="G172" s="94" t="s">
        <v>368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81</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IFERROR(INDEX('Recommendations'!$I$2:$I$9, MATCH(J2,'Recommendations'!$B$2:$B$9,0))="Implemented", FALSE))</xm:f>
            <x14:dxf>
              <font>
                <color rgb="FF000000"/>
              </font>
              <fill>
                <patternFill>
                  <bgColor rgb="FF3C7D22"/>
                </patternFill>
              </fill>
            </x14:dxf>
          </x14:cfRule>
          <x14:cfRule type="expression" priority="2" id="{00000000-000E-0000-0400-000002000000}">
            <xm:f>AND(J2&lt;&gt;"", IFERROR(INDEX('Recommendations'!$I$2:$I$9, MATCH(J2,'Recommendations'!$B$2:$B$9,0))="Compensated", FALSE))</xm:f>
            <x14:dxf>
              <font>
                <color rgb="FF000000"/>
              </font>
              <fill>
                <patternFill>
                  <bgColor rgb="FFC6E0B4"/>
                </patternFill>
              </fill>
            </x14:dxf>
          </x14:cfRule>
          <x14:cfRule type="expression" priority="3" id="{00000000-000E-0000-0400-000003000000}">
            <xm:f>AND(J2&lt;&gt;"", IFERROR(INDEX('Recommendations'!$I$2:$I$9, MATCH(J2,'Recommendations'!$B$2:$B$9,0))="Testing", FALSE))</xm:f>
            <x14:dxf>
              <font>
                <color rgb="FF000000"/>
              </font>
              <fill>
                <patternFill>
                  <bgColor rgb="FFFFC000"/>
                </patternFill>
              </fill>
            </x14:dxf>
          </x14:cfRule>
          <x14:cfRule type="expression" priority="4" id="{00000000-000E-0000-0400-000004000000}">
            <xm:f>AND(J2&lt;&gt;"", IFERROR(INDEX('Recommendations'!$I$2:$I$9, MATCH(J2,'Recommendations'!$B$2:$B$9,0))="Failed", FALSE))</xm:f>
            <x14:dxf>
              <font>
                <color rgb="FF000000"/>
              </font>
              <fill>
                <patternFill>
                  <bgColor rgb="FFD82891"/>
                </patternFill>
              </fill>
            </x14:dxf>
          </x14:cfRule>
          <x14:cfRule type="expression" priority="5" id="{00000000-000E-0000-0400-000005000000}">
            <xm:f>AND(J2&lt;&gt;"", IFERROR(INDEX('Recommendations'!$I$2:$I$9, MATCH(J2,'Recommendations'!$B$2:$B$9,0))="Risk Accepted", FALSE))</xm:f>
            <x14:dxf>
              <font>
                <color rgb="FF000000"/>
              </font>
              <fill>
                <patternFill>
                  <bgColor rgb="FFD9D9D9"/>
                </patternFill>
              </fill>
            </x14:dxf>
          </x14:cfRule>
          <x14:cfRule type="expression" priority="6" id="{00000000-000E-0000-0400-000006000000}">
            <xm:f>AND(J2&lt;&gt;"", IFERROR(INDEX('Recommendations'!$I$2:$I$9, MATCH(J2,'Recommendations'!$B$2:$B$9,0))="N/A",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IBM CICS Transaction Server 6.1 Benchmark - SHGIR</dc:title>
  <dc:subject>Generated on: 2026-06-08 18:47:20</dc:subject>
  <dc:creator>Anicet Fopa Tchoffo</dc:creator>
  <cp:keywords>Baseline;Hardening;CIS;Benchmark</cp:keywords>
  <dc:description>Baseline Developed By: Center for Internet Security (CIS)</dc:description>
  <cp:lastModifiedBy>Anicet Fopa Tchoffo</cp:lastModifiedBy>
  <dcterms:modified xsi:type="dcterms:W3CDTF">2026-06-08T17:47:28Z</dcterms:modified>
  <cp:category>CIS</cp:category>
  <cp:contentStatus>Draft</cp:contentStatus>
</cp:coreProperties>
</file>