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D2FE9BEBC59A00DECC29DE98F7EDEBBD67D1BE2A" xr6:coauthVersionLast="47" xr6:coauthVersionMax="47" xr10:uidLastSave="{85C8C737-F2A0-4981-A1A3-F68832BFF44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F125" i="3" s="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F86" i="3"/>
  <c r="E94" i="3" s="1"/>
  <c r="E86" i="3"/>
  <c r="D86" i="3"/>
  <c r="C86" i="3"/>
  <c r="F85" i="3"/>
  <c r="E93" i="3" s="1"/>
  <c r="E85" i="3"/>
  <c r="D85" i="3"/>
  <c r="C85" i="3"/>
  <c r="E84" i="3"/>
  <c r="D84" i="3"/>
  <c r="C84" i="3"/>
  <c r="W136" i="3" s="1"/>
  <c r="F83" i="3"/>
  <c r="V165" i="3" s="1"/>
  <c r="E83" i="3"/>
  <c r="D83" i="3"/>
  <c r="C83" i="3"/>
  <c r="U136" i="3" s="1"/>
  <c r="F82" i="3"/>
  <c r="T166" i="3" s="1"/>
  <c r="E82" i="3"/>
  <c r="D82" i="3"/>
  <c r="C82" i="3"/>
  <c r="S136" i="3" s="1"/>
  <c r="E68" i="3"/>
  <c r="D68" i="3"/>
  <c r="C68" i="3"/>
  <c r="F68" i="3" s="1"/>
  <c r="E67" i="3"/>
  <c r="D67" i="3"/>
  <c r="C67" i="3"/>
  <c r="F67" i="3" s="1"/>
  <c r="E49" i="3"/>
  <c r="D49" i="3"/>
  <c r="C49" i="3"/>
  <c r="F49" i="3" s="1"/>
  <c r="E48" i="3"/>
  <c r="D48" i="3"/>
  <c r="C48" i="3"/>
  <c r="F48" i="3" s="1"/>
  <c r="E47" i="3"/>
  <c r="F47" i="3" s="1"/>
  <c r="D47" i="3"/>
  <c r="C47" i="3"/>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C8" i="3"/>
  <c r="D8" i="3" s="1"/>
  <c r="E56" i="3" l="1"/>
  <c r="D56" i="3"/>
  <c r="C56" i="3"/>
  <c r="E34" i="3"/>
  <c r="D34" i="3"/>
  <c r="C34" i="3"/>
  <c r="E112" i="3"/>
  <c r="D112" i="3"/>
  <c r="C112" i="3"/>
  <c r="E35" i="3"/>
  <c r="D35" i="3"/>
  <c r="C35" i="3"/>
  <c r="R166" i="3"/>
  <c r="R161" i="3"/>
  <c r="R156" i="3"/>
  <c r="R151" i="3"/>
  <c r="R146" i="3"/>
  <c r="R141" i="3"/>
  <c r="R165" i="3"/>
  <c r="R160" i="3"/>
  <c r="R155" i="3"/>
  <c r="R150" i="3"/>
  <c r="R145" i="3"/>
  <c r="R140" i="3"/>
  <c r="R164" i="3"/>
  <c r="R159" i="3"/>
  <c r="R154" i="3"/>
  <c r="R149" i="3"/>
  <c r="R144" i="3"/>
  <c r="R139" i="3"/>
  <c r="E20" i="3"/>
  <c r="R168" i="3"/>
  <c r="R163" i="3"/>
  <c r="R158" i="3"/>
  <c r="R153" i="3"/>
  <c r="R148" i="3"/>
  <c r="R143" i="3"/>
  <c r="R138" i="3"/>
  <c r="C20" i="3"/>
  <c r="R167" i="3"/>
  <c r="R162" i="3"/>
  <c r="R157" i="3"/>
  <c r="R152" i="3"/>
  <c r="R147" i="3"/>
  <c r="R142" i="3"/>
  <c r="D20" i="3"/>
  <c r="E58" i="3"/>
  <c r="D58" i="3"/>
  <c r="C58" i="3"/>
  <c r="C53" i="3"/>
  <c r="E53" i="3"/>
  <c r="D53" i="3"/>
  <c r="E111" i="3"/>
  <c r="D111" i="3"/>
  <c r="C111" i="3"/>
  <c r="G125" i="3"/>
  <c r="E113" i="3"/>
  <c r="D113" i="3"/>
  <c r="C113" i="3"/>
  <c r="E72" i="3"/>
  <c r="D72" i="3"/>
  <c r="C72" i="3"/>
  <c r="E73" i="3"/>
  <c r="D73" i="3"/>
  <c r="C73" i="3"/>
  <c r="E57" i="3"/>
  <c r="D57" i="3"/>
  <c r="C57" i="3"/>
  <c r="E54" i="3"/>
  <c r="D54" i="3"/>
  <c r="C54" i="3"/>
  <c r="E110" i="3"/>
  <c r="D110" i="3"/>
  <c r="C110" i="3"/>
  <c r="E55" i="3"/>
  <c r="D55" i="3"/>
  <c r="C55" i="3"/>
  <c r="C93" i="3"/>
  <c r="V141" i="3"/>
  <c r="V146" i="3"/>
  <c r="V151" i="3"/>
  <c r="V156" i="3"/>
  <c r="V161" i="3"/>
  <c r="V166" i="3"/>
  <c r="D93" i="3"/>
  <c r="F84" i="3"/>
  <c r="Q136" i="3"/>
  <c r="C94" i="3"/>
  <c r="T142" i="3"/>
  <c r="T147" i="3"/>
  <c r="T152" i="3"/>
  <c r="T157" i="3"/>
  <c r="T162" i="3"/>
  <c r="T167" i="3"/>
  <c r="D94" i="3"/>
  <c r="V142" i="3"/>
  <c r="V147" i="3"/>
  <c r="V152" i="3"/>
  <c r="V157" i="3"/>
  <c r="V162" i="3"/>
  <c r="V167" i="3"/>
  <c r="T138" i="3"/>
  <c r="T143" i="3"/>
  <c r="T148" i="3"/>
  <c r="T153" i="3"/>
  <c r="T158" i="3"/>
  <c r="T163" i="3"/>
  <c r="T168" i="3"/>
  <c r="C7" i="3"/>
  <c r="D7" i="3" s="1"/>
  <c r="V138" i="3"/>
  <c r="V143" i="3"/>
  <c r="V148" i="3"/>
  <c r="V153" i="3"/>
  <c r="V158" i="3"/>
  <c r="V163" i="3"/>
  <c r="V168" i="3"/>
  <c r="C90" i="3"/>
  <c r="T139" i="3"/>
  <c r="T144" i="3"/>
  <c r="T149" i="3"/>
  <c r="T154" i="3"/>
  <c r="T159" i="3"/>
  <c r="T164" i="3"/>
  <c r="D90" i="3"/>
  <c r="V139" i="3"/>
  <c r="V144" i="3"/>
  <c r="V149" i="3"/>
  <c r="V154" i="3"/>
  <c r="V159" i="3"/>
  <c r="V164" i="3"/>
  <c r="E90" i="3"/>
  <c r="D91" i="3"/>
  <c r="T140" i="3"/>
  <c r="T145" i="3"/>
  <c r="T150" i="3"/>
  <c r="T155" i="3"/>
  <c r="T160" i="3"/>
  <c r="T165" i="3"/>
  <c r="E91" i="3"/>
  <c r="V140" i="3"/>
  <c r="V145" i="3"/>
  <c r="V150" i="3"/>
  <c r="V155" i="3"/>
  <c r="V160" i="3"/>
  <c r="T141" i="3"/>
  <c r="T146" i="3"/>
  <c r="T151" i="3"/>
  <c r="T156" i="3"/>
  <c r="T161" i="3"/>
  <c r="X165" i="3" l="1"/>
  <c r="X160" i="3"/>
  <c r="X155" i="3"/>
  <c r="X150" i="3"/>
  <c r="X145" i="3"/>
  <c r="X140" i="3"/>
  <c r="C92" i="3"/>
  <c r="X164" i="3"/>
  <c r="X159" i="3"/>
  <c r="X154" i="3"/>
  <c r="X149" i="3"/>
  <c r="X144" i="3"/>
  <c r="X139" i="3"/>
  <c r="E92" i="3"/>
  <c r="X168" i="3"/>
  <c r="X163" i="3"/>
  <c r="X158" i="3"/>
  <c r="X153" i="3"/>
  <c r="X148" i="3"/>
  <c r="X143" i="3"/>
  <c r="X138" i="3"/>
  <c r="X167" i="3"/>
  <c r="X162" i="3"/>
  <c r="X157" i="3"/>
  <c r="X152" i="3"/>
  <c r="X147" i="3"/>
  <c r="X142" i="3"/>
  <c r="X166" i="3"/>
  <c r="X161" i="3"/>
  <c r="X156" i="3"/>
  <c r="X151" i="3"/>
  <c r="X146" i="3"/>
  <c r="X141" i="3"/>
  <c r="D92" i="3"/>
</calcChain>
</file>

<file path=xl/sharedStrings.xml><?xml version="1.0" encoding="utf-8"?>
<sst xmlns="http://schemas.openxmlformats.org/spreadsheetml/2006/main" count="1393" uniqueCount="576">
  <si>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</si>
  <si>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</si>
  <si>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</si>
  <si>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</si>
  <si>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</si>
  <si>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</si>
  <si>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</si>
  <si>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</si>
  <si>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</si>
  <si>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</si>
  <si>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</si>
  <si>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</si>
  <si>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</si>
  <si>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</si>
  <si>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</si>
  <si>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</si>
  <si>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</si>
  <si>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Policy</t>
  </si>
  <si>
    <t>1.1</t>
  </si>
  <si>
    <r>
      <rPr>
        <sz val="11"/>
        <rFont val="Calibri"/>
      </rPr>
      <t>Ensure Minimum Password Length is set to 14 or higher</t>
    </r>
  </si>
  <si>
    <t>Automated</t>
  </si>
  <si>
    <t>Level 1</t>
  </si>
  <si>
    <t>Unassigned</t>
  </si>
  <si>
    <t>Unassessed</t>
  </si>
  <si>
    <t>Pending</t>
  </si>
  <si>
    <t/>
  </si>
  <si>
    <r>
      <rPr>
        <sz val="11"/>
        <color rgb="FF000000"/>
        <rFont val="Calibri"/>
      </rPr>
      <t>Run the following command to set the min-password-length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Hostname&gt;set password-controls min-password-length 14</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t>
    </r>
    <r>
      <rPr>
        <sz val="11"/>
        <color rgb="FF006096"/>
        <rFont val="Roboto Condensed"/>
      </rPr>
      <t xml:space="preserve">
</t>
    </r>
    <r>
      <rPr>
        <sz val="11"/>
        <color rgb="FF006096"/>
        <rFont val="Roboto Condensed"/>
      </rPr>
      <t>Ensure 'Minumum Password Length' is set to 14 or higher.</t>
    </r>
    <r>
      <rPr>
        <sz val="11"/>
        <color rgb="FF006096"/>
        <rFont val="Roboto Condensed"/>
      </rPr>
      <t xml:space="preserve">
</t>
    </r>
  </si>
  <si>
    <r>
      <rPr>
        <sz val="11"/>
        <color rgb="FF000000"/>
        <rFont val="Calibri"/>
      </rPr>
      <t>Defines the minimum length a password can be. The minimum number of characters of a password that is to be allowed for users or SNMP users. Does not apply to passwords that have already been set.</t>
    </r>
  </si>
  <si>
    <r>
      <rPr>
        <sz val="11"/>
        <color rgb="FF000000"/>
        <rFont val="Calibri"/>
      </rPr>
      <t>Run the following command to verify the Minimum Password Length.</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Hostname&gt;show password-controls min-password-length</t>
    </r>
    <r>
      <rPr>
        <sz val="11"/>
        <color rgb="FF006096"/>
        <rFont val="Roboto Condensed"/>
      </rPr>
      <t xml:space="preserve">
</t>
    </r>
    <r>
      <rPr>
        <sz val="11"/>
        <color rgb="FF006096"/>
        <rFont val="Roboto Condensed"/>
      </rPr>
      <t>Minimum Password Length 14</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t>
    </r>
    <r>
      <rPr>
        <sz val="11"/>
        <color rgb="FF006096"/>
        <rFont val="Roboto Condensed"/>
      </rPr>
      <t xml:space="preserve">
</t>
    </r>
    <r>
      <rPr>
        <sz val="11"/>
        <color rgb="FF006096"/>
        <rFont val="Roboto Condensed"/>
      </rPr>
      <t>Ensure Minumum Password Length is set to 14 or higher.</t>
    </r>
    <r>
      <rPr>
        <sz val="11"/>
        <color rgb="FF006096"/>
        <rFont val="Roboto Condensed"/>
      </rPr>
      <t xml:space="preserve">
</t>
    </r>
  </si>
  <si>
    <r>
      <rPr>
        <sz val="11"/>
        <color rgb="FF000000"/>
        <rFont val="Calibri"/>
      </rPr>
      <t>6</t>
    </r>
  </si>
  <si>
    <t>1.2</t>
  </si>
  <si>
    <r>
      <rPr>
        <sz val="11"/>
        <rFont val="Calibri"/>
      </rPr>
      <t>Ensure Disallow Palindromes is selected</t>
    </r>
  </si>
  <si>
    <r>
      <rPr>
        <sz val="11"/>
        <color rgb="FF000000"/>
        <rFont val="Calibri"/>
      </rPr>
      <t>Run the following command to set the palindrome-check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Hostname&gt;set password-controls palindrome-check on</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t>
    </r>
    <r>
      <rPr>
        <sz val="11"/>
        <color rgb="FF006096"/>
        <rFont val="Roboto Condensed"/>
      </rPr>
      <t xml:space="preserve">
</t>
    </r>
    <r>
      <rPr>
        <sz val="11"/>
        <color rgb="FF006096"/>
        <rFont val="Roboto Condensed"/>
      </rPr>
      <t>Ensure 'Disallow Palindrome' is checked.</t>
    </r>
    <r>
      <rPr>
        <sz val="11"/>
        <color rgb="FF006096"/>
        <rFont val="Roboto Condensed"/>
      </rPr>
      <t xml:space="preserve">
</t>
    </r>
  </si>
  <si>
    <r>
      <rPr>
        <sz val="11"/>
        <color rgb="FF000000"/>
        <rFont val="Calibri"/>
      </rPr>
      <t>A palindrome is a sequence of letters, numbers, or characters that can be read the same in each direction.  racecar, bob, and noon are some of the famous examples of Palindrome.</t>
    </r>
  </si>
  <si>
    <r>
      <rPr>
        <sz val="11"/>
        <color rgb="FF000000"/>
        <rFont val="Calibri"/>
      </rPr>
      <t>Run the following command to verify the Disallow Palindrome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password-controls palindrome-check</t>
    </r>
    <r>
      <rPr>
        <sz val="11"/>
        <color rgb="FF006096"/>
        <rFont val="Roboto Condensed"/>
      </rPr>
      <t xml:space="preserve">
</t>
    </r>
    <r>
      <rPr>
        <sz val="11"/>
        <color rgb="FF006096"/>
        <rFont val="Roboto Condensed"/>
      </rPr>
      <t>Password Palindrome Check on</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t>
    </r>
    <r>
      <rPr>
        <sz val="11"/>
        <color rgb="FF006096"/>
        <rFont val="Roboto Condensed"/>
      </rPr>
      <t xml:space="preserve">
</t>
    </r>
    <r>
      <rPr>
        <sz val="11"/>
        <color rgb="FF006096"/>
        <rFont val="Roboto Condensed"/>
      </rPr>
      <t>Ensure Disallow Palindrome setting is checked.</t>
    </r>
    <r>
      <rPr>
        <sz val="11"/>
        <color rgb="FF006096"/>
        <rFont val="Roboto Condensed"/>
      </rPr>
      <t xml:space="preserve">
</t>
    </r>
  </si>
  <si>
    <r>
      <rPr>
        <sz val="11"/>
        <color rgb="FF000000"/>
        <rFont val="Calibri"/>
      </rPr>
      <t>Selected</t>
    </r>
  </si>
  <si>
    <t>1.3</t>
  </si>
  <si>
    <r>
      <rPr>
        <sz val="11"/>
        <rFont val="Calibri"/>
      </rPr>
      <t>Ensure Password Complexity is set to 3</t>
    </r>
  </si>
  <si>
    <r>
      <rPr>
        <sz val="11"/>
        <color rgb="FF000000"/>
        <rFont val="Calibri"/>
      </rPr>
      <t>Run the following command to set the password-controls complexity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Hostname&gt;set password-controls complexity 3</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Password Complexity:</t>
    </r>
    <r>
      <rPr>
        <sz val="11"/>
        <color rgb="FF006096"/>
        <rFont val="Roboto Condensed"/>
      </rPr>
      <t xml:space="preserve">
</t>
    </r>
    <r>
      <rPr>
        <sz val="11"/>
        <color rgb="FF006096"/>
        <rFont val="Roboto Condensed"/>
      </rPr>
      <t>checked the '3 - Require three character types' setting.</t>
    </r>
    <r>
      <rPr>
        <sz val="11"/>
        <color rgb="FF006096"/>
        <rFont val="Roboto Condensed"/>
      </rPr>
      <t xml:space="preserve">
</t>
    </r>
  </si>
  <si>
    <r>
      <rPr>
        <sz val="11"/>
        <color rgb="FF000000"/>
        <rFont val="Calibri"/>
      </rPr>
      <t>This checks all new passwords to ensure that they meet basic requirements for strong passwords. The required number of character types are: Upper case alphabetic (A-Z), Lower case alphabetic (a-z), Digits (0-9), Other (everything else). A value of "1" effectively disables this check. Changes to this setting do not affect existing passwords.</t>
    </r>
  </si>
  <si>
    <r>
      <rPr>
        <sz val="11"/>
        <color rgb="FF000000"/>
        <rFont val="Calibri"/>
      </rPr>
      <t>Run the following command to verify the Password Complexity.</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password-controls complexity</t>
    </r>
    <r>
      <rPr>
        <sz val="11"/>
        <color rgb="FF006096"/>
        <rFont val="Roboto Condensed"/>
      </rPr>
      <t xml:space="preserve">
</t>
    </r>
    <r>
      <rPr>
        <sz val="11"/>
        <color rgb="FF006096"/>
        <rFont val="Roboto Condensed"/>
      </rPr>
      <t>Password Complexity 3</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Password Complexity:</t>
    </r>
    <r>
      <rPr>
        <sz val="11"/>
        <color rgb="FF006096"/>
        <rFont val="Roboto Condensed"/>
      </rPr>
      <t xml:space="preserve">
</t>
    </r>
    <r>
      <rPr>
        <sz val="11"/>
        <color rgb="FF006096"/>
        <rFont val="Roboto Condensed"/>
      </rPr>
      <t>Ensure '3 - Require three character types' checked.</t>
    </r>
    <r>
      <rPr>
        <sz val="11"/>
        <color rgb="FF006096"/>
        <rFont val="Roboto Condensed"/>
      </rPr>
      <t xml:space="preserve">
</t>
    </r>
  </si>
  <si>
    <r>
      <rPr>
        <sz val="11"/>
        <color rgb="FF000000"/>
        <rFont val="Calibri"/>
      </rPr>
      <t>2</t>
    </r>
  </si>
  <si>
    <t>1.4</t>
  </si>
  <si>
    <r>
      <rPr>
        <sz val="11"/>
        <rFont val="Calibri"/>
      </rPr>
      <t>Ensure Check for Password Reuse is selected and History Length is set to 12 or more</t>
    </r>
  </si>
  <si>
    <r>
      <rPr>
        <sz val="11"/>
        <color rgb="FF000000"/>
        <rFont val="Calibri"/>
      </rPr>
      <t>Run the following command to set tie history-checking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Hostname&gt;set password-controls history-checking on</t>
    </r>
    <r>
      <rPr>
        <sz val="11"/>
        <color rgb="FF006096"/>
        <rFont val="Roboto Condensed"/>
      </rPr>
      <t xml:space="preserve">
</t>
    </r>
    <r>
      <rPr>
        <sz val="11"/>
        <color rgb="FF006096"/>
        <rFont val="Roboto Condensed"/>
      </rPr>
      <t>Hostname&gt;set password-controls history-length 12</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Password History:</t>
    </r>
    <r>
      <rPr>
        <sz val="11"/>
        <color rgb="FF006096"/>
        <rFont val="Roboto Condensed"/>
      </rPr>
      <t xml:space="preserve">
</t>
    </r>
    <r>
      <rPr>
        <sz val="11"/>
        <color rgb="FF006096"/>
        <rFont val="Roboto Condensed"/>
      </rPr>
      <t>checked the 'Check for Password Reuse' setting.</t>
    </r>
    <r>
      <rPr>
        <sz val="11"/>
        <color rgb="FF006096"/>
        <rFont val="Roboto Condensed"/>
      </rPr>
      <t xml:space="preserve">
</t>
    </r>
    <r>
      <rPr>
        <sz val="11"/>
        <color rgb="FF006096"/>
        <rFont val="Roboto Condensed"/>
      </rPr>
      <t>Navigate to User Management &gt; Password Policy &gt; Password History:</t>
    </r>
    <r>
      <rPr>
        <sz val="11"/>
        <color rgb="FF006096"/>
        <rFont val="Roboto Condensed"/>
      </rPr>
      <t xml:space="preserve">
</t>
    </r>
    <r>
      <rPr>
        <sz val="11"/>
        <color rgb="FF006096"/>
        <rFont val="Roboto Condensed"/>
      </rPr>
      <t>Set 'History Length' is set to 12 or more.</t>
    </r>
    <r>
      <rPr>
        <sz val="11"/>
        <color rgb="FF006096"/>
        <rFont val="Roboto Condensed"/>
      </rPr>
      <t xml:space="preserve">
</t>
    </r>
  </si>
  <si>
    <r>
      <rPr>
        <sz val="11"/>
        <color rgb="FF000000"/>
        <rFont val="Calibri"/>
      </rPr>
      <t>Check for reuse of passwords. When a user's password is changed, the new password is checked against the recent passwords for the user. An identical password is not allowed. The number of passwords kept in the record is set by History length. Does not apply to SNMP passwords. Enables or disables password history checking and password history recording, for all users.</t>
    </r>
  </si>
  <si>
    <r>
      <rPr>
        <sz val="11"/>
        <color rgb="FF000000"/>
        <rFont val="Calibri"/>
      </rPr>
      <t>Run the following command to verify the Check for Password Reuse and History Length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password-controls history-checking</t>
    </r>
    <r>
      <rPr>
        <sz val="11"/>
        <color rgb="FF006096"/>
        <rFont val="Roboto Condensed"/>
      </rPr>
      <t xml:space="preserve">
</t>
    </r>
    <r>
      <rPr>
        <sz val="11"/>
        <color rgb="FF006096"/>
        <rFont val="Roboto Condensed"/>
      </rPr>
      <t>Password History Checking on</t>
    </r>
    <r>
      <rPr>
        <sz val="11"/>
        <color rgb="FF006096"/>
        <rFont val="Roboto Condensed"/>
      </rPr>
      <t xml:space="preserve">
</t>
    </r>
    <r>
      <rPr>
        <sz val="11"/>
        <color rgb="FF006096"/>
        <rFont val="Roboto Condensed"/>
      </rPr>
      <t>Hostname&gt; show password-controls history-length</t>
    </r>
    <r>
      <rPr>
        <sz val="11"/>
        <color rgb="FF006096"/>
        <rFont val="Roboto Condensed"/>
      </rPr>
      <t xml:space="preserve">
</t>
    </r>
    <r>
      <rPr>
        <sz val="11"/>
        <color rgb="FF006096"/>
        <rFont val="Roboto Condensed"/>
      </rPr>
      <t>Password History Length 12</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Password History:</t>
    </r>
    <r>
      <rPr>
        <sz val="11"/>
        <color rgb="FF006096"/>
        <rFont val="Roboto Condensed"/>
      </rPr>
      <t xml:space="preserve">
</t>
    </r>
    <r>
      <rPr>
        <sz val="11"/>
        <color rgb="FF006096"/>
        <rFont val="Roboto Condensed"/>
      </rPr>
      <t>Ensure 'Check for Password Reuse' is checked.</t>
    </r>
    <r>
      <rPr>
        <sz val="11"/>
        <color rgb="FF006096"/>
        <rFont val="Roboto Condensed"/>
      </rPr>
      <t xml:space="preserve">
</t>
    </r>
    <r>
      <rPr>
        <sz val="11"/>
        <color rgb="FF006096"/>
        <rFont val="Roboto Condensed"/>
      </rPr>
      <t>Navigate to User Management &gt; Password Policy &gt; Password History:</t>
    </r>
    <r>
      <rPr>
        <sz val="11"/>
        <color rgb="FF006096"/>
        <rFont val="Roboto Condensed"/>
      </rPr>
      <t xml:space="preserve">
</t>
    </r>
    <r>
      <rPr>
        <sz val="11"/>
        <color rgb="FF006096"/>
        <rFont val="Roboto Condensed"/>
      </rPr>
      <t>Ensure 'History Length' is set to 12 or more.</t>
    </r>
    <r>
      <rPr>
        <sz val="11"/>
        <color rgb="FF006096"/>
        <rFont val="Roboto Condensed"/>
      </rPr>
      <t xml:space="preserve">
</t>
    </r>
  </si>
  <si>
    <t>1.5</t>
  </si>
  <si>
    <r>
      <rPr>
        <sz val="11"/>
        <rFont val="Calibri"/>
      </rPr>
      <t>Ensure Password Expiration is set to 90 days</t>
    </r>
  </si>
  <si>
    <r>
      <rPr>
        <sz val="11"/>
        <color rgb="FF000000"/>
        <rFont val="Calibri"/>
      </rPr>
      <t>Run the following command to set the history-length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Hostname&gt;set password-controls history-length 90</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Mandatory Password Changes: Password Expiration:</t>
    </r>
    <r>
      <rPr>
        <sz val="11"/>
        <color rgb="FF006096"/>
        <rFont val="Roboto Condensed"/>
      </rPr>
      <t xml:space="preserve">
</t>
    </r>
    <r>
      <rPr>
        <sz val="11"/>
        <color rgb="FF006096"/>
        <rFont val="Roboto Condensed"/>
      </rPr>
      <t>Set 'Password expires after' setting to 90 or less</t>
    </r>
    <r>
      <rPr>
        <sz val="11"/>
        <color rgb="FF006096"/>
        <rFont val="Roboto Condensed"/>
      </rPr>
      <t xml:space="preserve">
</t>
    </r>
  </si>
  <si>
    <r>
      <rPr>
        <sz val="11"/>
        <color rgb="FF000000"/>
        <rFont val="Calibri"/>
      </rPr>
      <t>The number of days for which a password is valid. After that time, the password expires. The count starts when the user changes their passwords. Users are required to change an expired password the next time they log in. If set to never, passwords do not expire. Does not apply to SNMP users.</t>
    </r>
  </si>
  <si>
    <r>
      <rPr>
        <sz val="11"/>
        <color rgb="FF000000"/>
        <rFont val="Calibri"/>
      </rPr>
      <t>Run the following command to verify the Password Expiration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password-controls password-expiration</t>
    </r>
    <r>
      <rPr>
        <sz val="11"/>
        <color rgb="FF006096"/>
        <rFont val="Roboto Condensed"/>
      </rPr>
      <t xml:space="preserve">
</t>
    </r>
    <r>
      <rPr>
        <sz val="11"/>
        <color rgb="FF006096"/>
        <rFont val="Roboto Condensed"/>
      </rPr>
      <t>Password Expiration Lifetime 90</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Mandatory Password Changes: Password Expiration:</t>
    </r>
    <r>
      <rPr>
        <sz val="11"/>
        <color rgb="FF006096"/>
        <rFont val="Roboto Condensed"/>
      </rPr>
      <t xml:space="preserve">
</t>
    </r>
    <r>
      <rPr>
        <sz val="11"/>
        <color rgb="FF006096"/>
        <rFont val="Roboto Condensed"/>
      </rPr>
      <t>Ensure 'Password expires after' is checked and set to 90 or less.</t>
    </r>
    <r>
      <rPr>
        <sz val="11"/>
        <color rgb="FF006096"/>
        <rFont val="Roboto Condensed"/>
      </rPr>
      <t xml:space="preserve">
</t>
    </r>
  </si>
  <si>
    <r>
      <rPr>
        <sz val="11"/>
        <color rgb="FF000000"/>
        <rFont val="Calibri"/>
      </rPr>
      <t>Password never expire</t>
    </r>
  </si>
  <si>
    <t>1.6</t>
  </si>
  <si>
    <r>
      <rPr>
        <sz val="11"/>
        <rFont val="Calibri"/>
      </rPr>
      <t>Ensure Warn users before password expiration is set to 7 days</t>
    </r>
  </si>
  <si>
    <r>
      <rPr>
        <sz val="11"/>
        <color rgb="FF000000"/>
        <rFont val="Calibri"/>
      </rPr>
      <t>Run the following command to set the expiration-warning-days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Hostname&gt;set password-controls expiration-warning-days 7</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Mandatory Password Changes</t>
    </r>
    <r>
      <rPr>
        <sz val="11"/>
        <color rgb="FF006096"/>
        <rFont val="Roboto Condensed"/>
      </rPr>
      <t xml:space="preserve">
</t>
    </r>
    <r>
      <rPr>
        <sz val="11"/>
        <color rgb="FF006096"/>
        <rFont val="Roboto Condensed"/>
      </rPr>
      <t>Set 'Warn users before password expiration' is set to 7 days or less.</t>
    </r>
    <r>
      <rPr>
        <sz val="11"/>
        <color rgb="FF006096"/>
        <rFont val="Roboto Condensed"/>
      </rPr>
      <t xml:space="preserve">
</t>
    </r>
  </si>
  <si>
    <r>
      <rPr>
        <sz val="11"/>
        <color rgb="FF000000"/>
        <rFont val="Calibri"/>
      </rPr>
      <t>The number of days before the password expires that the user starts getting warned they will have to change it. A user that does not log in will not see the warning.</t>
    </r>
  </si>
  <si>
    <r>
      <rPr>
        <sz val="11"/>
        <color rgb="FF000000"/>
        <rFont val="Calibri"/>
      </rPr>
      <t>Run the following command to verify the warn users before Password Expiration x days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password-controls expiration-warning-days</t>
    </r>
    <r>
      <rPr>
        <sz val="11"/>
        <color rgb="FF006096"/>
        <rFont val="Roboto Condensed"/>
      </rPr>
      <t xml:space="preserve">
</t>
    </r>
    <r>
      <rPr>
        <sz val="11"/>
        <color rgb="FF006096"/>
        <rFont val="Roboto Condensed"/>
      </rPr>
      <t>Password Expiration Warning Days 7</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Mandatory Password Changes</t>
    </r>
    <r>
      <rPr>
        <sz val="11"/>
        <color rgb="FF006096"/>
        <rFont val="Roboto Condensed"/>
      </rPr>
      <t xml:space="preserve">
</t>
    </r>
    <r>
      <rPr>
        <sz val="11"/>
        <color rgb="FF006096"/>
        <rFont val="Roboto Condensed"/>
      </rPr>
      <t>Ensure 'Warn users before password expiration' is set to 7 days or less.</t>
    </r>
    <r>
      <rPr>
        <sz val="11"/>
        <color rgb="FF006096"/>
        <rFont val="Roboto Condensed"/>
      </rPr>
      <t xml:space="preserve">
</t>
    </r>
  </si>
  <si>
    <r>
      <rPr>
        <sz val="11"/>
        <color rgb="FF000000"/>
        <rFont val="Calibri"/>
      </rPr>
      <t>7 days</t>
    </r>
  </si>
  <si>
    <t>1.7</t>
  </si>
  <si>
    <r>
      <rPr>
        <sz val="11"/>
        <rFont val="Calibri"/>
      </rPr>
      <t>Ensure Lockout users after password expiration is set to 1</t>
    </r>
  </si>
  <si>
    <r>
      <rPr>
        <sz val="11"/>
        <color rgb="FF000000"/>
        <rFont val="Calibri"/>
      </rPr>
      <t>Run the following command to set the expiration-lockout-days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Hostname&gt;set password-controls expiration-lockout-days 1</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Mandatory Password Changes &gt; Lockout users after password expiration:</t>
    </r>
    <r>
      <rPr>
        <sz val="11"/>
        <color rgb="FF006096"/>
        <rFont val="Roboto Condensed"/>
      </rPr>
      <t xml:space="preserve">
</t>
    </r>
    <r>
      <rPr>
        <sz val="11"/>
        <color rgb="FF006096"/>
        <rFont val="Roboto Condensed"/>
      </rPr>
      <t>Checked 'Lockout user after' setting and set to 1 day.</t>
    </r>
    <r>
      <rPr>
        <sz val="11"/>
        <color rgb="FF006096"/>
        <rFont val="Roboto Condensed"/>
      </rPr>
      <t xml:space="preserve">
</t>
    </r>
  </si>
  <si>
    <r>
      <rPr>
        <sz val="11"/>
        <color rgb="FF000000"/>
        <rFont val="Calibri"/>
      </rPr>
      <t>Lockout users after password expiration. After a user's password has expired, they have this number of days to log in and change it. If they do change their password within that number of days they will be unable to log in: They are locked out. A value of never allows the user to wait as long as they want to change their password.</t>
    </r>
  </si>
  <si>
    <r>
      <rPr>
        <sz val="11"/>
        <color rgb="FF000000"/>
        <rFont val="Calibri"/>
      </rPr>
      <t>Run the following command to verify the lockout users after x days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password-controls expiration-lockout-days</t>
    </r>
    <r>
      <rPr>
        <sz val="11"/>
        <color rgb="FF006096"/>
        <rFont val="Roboto Condensed"/>
      </rPr>
      <t xml:space="preserve">
</t>
    </r>
    <r>
      <rPr>
        <sz val="11"/>
        <color rgb="FF006096"/>
        <rFont val="Roboto Condensed"/>
      </rPr>
      <t>Password Expiration Lockout Days 1</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Mandatory Password Changes &gt; Lockout users after password expiration:</t>
    </r>
    <r>
      <rPr>
        <sz val="11"/>
        <color rgb="FF006096"/>
        <rFont val="Roboto Condensed"/>
      </rPr>
      <t xml:space="preserve">
</t>
    </r>
    <r>
      <rPr>
        <sz val="11"/>
        <color rgb="FF006096"/>
        <rFont val="Roboto Condensed"/>
      </rPr>
      <t>Ensure 'Lockout user after' is checked and set to 1 day.</t>
    </r>
    <r>
      <rPr>
        <sz val="11"/>
        <color rgb="FF006096"/>
        <rFont val="Roboto Condensed"/>
      </rPr>
      <t xml:space="preserve">
</t>
    </r>
  </si>
  <si>
    <r>
      <rPr>
        <sz val="11"/>
        <color rgb="FF000000"/>
        <rFont val="Calibri"/>
      </rPr>
      <t>Never lockout users after password expires</t>
    </r>
  </si>
  <si>
    <t>1.8</t>
  </si>
  <si>
    <r>
      <rPr>
        <sz val="11"/>
        <rFont val="Calibri"/>
      </rPr>
      <t>Ensure Deny access to unused accounts is selected</t>
    </r>
  </si>
  <si>
    <r>
      <rPr>
        <sz val="11"/>
        <color rgb="FF000000"/>
        <rFont val="Calibri"/>
      </rPr>
      <t>Run the following command to set the deny-on-nonuse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Hostname&gt;set password-controls deny-on-nonuse enable on</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Deny access to unused accounts:</t>
    </r>
    <r>
      <rPr>
        <sz val="11"/>
        <color rgb="FF006096"/>
        <rFont val="Roboto Condensed"/>
      </rPr>
      <t xml:space="preserve">
</t>
    </r>
    <r>
      <rPr>
        <sz val="11"/>
        <color rgb="FF006096"/>
        <rFont val="Roboto Condensed"/>
      </rPr>
      <t>Checked the 'Deny access to unused accounts' setting.</t>
    </r>
    <r>
      <rPr>
        <sz val="11"/>
        <color rgb="FF006096"/>
        <rFont val="Roboto Condensed"/>
      </rPr>
      <t xml:space="preserve">
</t>
    </r>
  </si>
  <si>
    <r>
      <rPr>
        <sz val="11"/>
        <color rgb="FF000000"/>
        <rFont val="Calibri"/>
      </rPr>
      <t>Deny access to unused accounts. If there has been no successful login attempt in a set period of time, the user is locked out and cannot log in.</t>
    </r>
  </si>
  <si>
    <r>
      <rPr>
        <sz val="11"/>
        <color rgb="FF000000"/>
        <rFont val="Calibri"/>
      </rPr>
      <t>Run the following command to verify the Deny access to unused accounts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password-controls deny-on-nonuse enable</t>
    </r>
    <r>
      <rPr>
        <sz val="11"/>
        <color rgb="FF006096"/>
        <rFont val="Roboto Condensed"/>
      </rPr>
      <t xml:space="preserve">
</t>
    </r>
    <r>
      <rPr>
        <sz val="11"/>
        <color rgb="FF006096"/>
        <rFont val="Roboto Condensed"/>
      </rPr>
      <t>Deny Access to Unused Accounts on</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Deny access to unused accounts:</t>
    </r>
    <r>
      <rPr>
        <sz val="11"/>
        <color rgb="FF006096"/>
        <rFont val="Roboto Condensed"/>
      </rPr>
      <t xml:space="preserve">
</t>
    </r>
    <r>
      <rPr>
        <sz val="11"/>
        <color rgb="FF006096"/>
        <rFont val="Roboto Condensed"/>
      </rPr>
      <t>Ensure 'Deny access to unused accounts' is checked.</t>
    </r>
    <r>
      <rPr>
        <sz val="11"/>
        <color rgb="FF006096"/>
        <rFont val="Roboto Condensed"/>
      </rPr>
      <t xml:space="preserve">
</t>
    </r>
  </si>
  <si>
    <r>
      <rPr>
        <sz val="11"/>
        <color rgb="FF000000"/>
        <rFont val="Calibri"/>
      </rPr>
      <t>Not Selected</t>
    </r>
  </si>
  <si>
    <t>1.9</t>
  </si>
  <si>
    <r>
      <rPr>
        <sz val="11"/>
        <rFont val="Calibri"/>
      </rPr>
      <t>Ensure Days of non-use before lock-out is set to 30</t>
    </r>
  </si>
  <si>
    <r>
      <rPr>
        <sz val="11"/>
        <color rgb="FF000000"/>
        <rFont val="Calibri"/>
      </rPr>
      <t>Run the following command to set the deny-on-nonuse allowed-days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Hostname&gt;set password-controls deny-on-nonuse allowed-days 30</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Deny access to unused accounts:</t>
    </r>
    <r>
      <rPr>
        <sz val="11"/>
        <color rgb="FF006096"/>
        <rFont val="Roboto Condensed"/>
      </rPr>
      <t xml:space="preserve">
</t>
    </r>
    <r>
      <rPr>
        <sz val="11"/>
        <color rgb="FF006096"/>
        <rFont val="Roboto Condensed"/>
      </rPr>
      <t>Set 'Days of non-use before lock-out' to 30 or less.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setting only takes effect if 'Deny access to unused accounts' is enabled.</t>
    </r>
  </si>
  <si>
    <r>
      <rPr>
        <sz val="11"/>
        <color rgb="FF000000"/>
        <rFont val="Calibri"/>
      </rPr>
      <t>Days of non-use before lock-out. The number of days in which a user has not (successfully) logged in before that user is locked out. This only takes effect if Deny access to unused accounts is selected.</t>
    </r>
  </si>
  <si>
    <r>
      <rPr>
        <sz val="11"/>
        <color rgb="FF000000"/>
        <rFont val="Calibri"/>
      </rPr>
      <t>Run the following command to verify the Days of non-use before lock-out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password-controls deny-on-nonuse allowed-days</t>
    </r>
    <r>
      <rPr>
        <sz val="11"/>
        <color rgb="FF006096"/>
        <rFont val="Roboto Condensed"/>
      </rPr>
      <t xml:space="preserve">
</t>
    </r>
    <r>
      <rPr>
        <sz val="11"/>
        <color rgb="FF006096"/>
        <rFont val="Roboto Condensed"/>
      </rPr>
      <t>Days Nonuse Before Lockout 30</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Deny access to unused accounts:</t>
    </r>
    <r>
      <rPr>
        <sz val="11"/>
        <color rgb="FF006096"/>
        <rFont val="Roboto Condensed"/>
      </rPr>
      <t xml:space="preserve">
</t>
    </r>
    <r>
      <rPr>
        <sz val="11"/>
        <color rgb="FF006096"/>
        <rFont val="Roboto Condensed"/>
      </rPr>
      <t>Ensure 'Days of non-use before lock-out' is set to 30 or less.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setting only takes effect if 'Deny access to unused accounts' is enabled.</t>
    </r>
  </si>
  <si>
    <r>
      <rPr>
        <sz val="11"/>
        <color rgb="FF000000"/>
        <rFont val="Calibri"/>
      </rPr>
      <t>365</t>
    </r>
  </si>
  <si>
    <t>1.10</t>
  </si>
  <si>
    <r>
      <rPr>
        <sz val="11"/>
        <rFont val="Calibri"/>
      </rPr>
      <t>Ensure Force users to change password at first login after password was changed from Users page is selected</t>
    </r>
  </si>
  <si>
    <r>
      <rPr>
        <sz val="11"/>
        <color rgb="FF000000"/>
        <rFont val="Calibri"/>
      </rPr>
      <t>Run the following command to set force-change-when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Hostname&gt;set password-controls force-change-when password</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Mandatory Password Change:</t>
    </r>
    <r>
      <rPr>
        <sz val="11"/>
        <color rgb="FF006096"/>
        <rFont val="Roboto Condensed"/>
      </rPr>
      <t xml:space="preserve">
</t>
    </r>
    <r>
      <rPr>
        <sz val="11"/>
        <color rgb="FF006096"/>
        <rFont val="Roboto Condensed"/>
      </rPr>
      <t>Checked the 'Force users to change password at first login after password was changed from Users page' setting.</t>
    </r>
    <r>
      <rPr>
        <sz val="11"/>
        <color rgb="FF006096"/>
        <rFont val="Roboto Condensed"/>
      </rPr>
      <t xml:space="preserve">
</t>
    </r>
  </si>
  <si>
    <r>
      <rPr>
        <sz val="11"/>
        <color rgb="FF000000"/>
        <rFont val="Calibri"/>
      </rPr>
      <t>Force users to change password at first login after their password was changed using the command set user &lt;username&gt; password or from the WebUI User Management &gt; Users page.</t>
    </r>
  </si>
  <si>
    <r>
      <rPr>
        <sz val="11"/>
        <color rgb="FF000000"/>
        <rFont val="Calibri"/>
      </rPr>
      <t>Run the following command to verify the Force users to change password at first login after password was changed from Users page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Hostname&gt;show password-controls force-change-when</t>
    </r>
    <r>
      <rPr>
        <sz val="11"/>
        <color rgb="FF006096"/>
        <rFont val="Roboto Condensed"/>
      </rPr>
      <t xml:space="preserve">
</t>
    </r>
    <r>
      <rPr>
        <sz val="11"/>
        <color rgb="FF006096"/>
        <rFont val="Roboto Condensed"/>
      </rPr>
      <t>Force Password Change When Password</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Mandatory Password Change:</t>
    </r>
    <r>
      <rPr>
        <sz val="11"/>
        <color rgb="FF006096"/>
        <rFont val="Roboto Condensed"/>
      </rPr>
      <t xml:space="preserve">
</t>
    </r>
    <r>
      <rPr>
        <sz val="11"/>
        <color rgb="FF006096"/>
        <rFont val="Roboto Condensed"/>
      </rPr>
      <t>Ensure 'Force users to change password at first login after password was changed from Users page' is checked.</t>
    </r>
    <r>
      <rPr>
        <sz val="11"/>
        <color rgb="FF006096"/>
        <rFont val="Roboto Condensed"/>
      </rPr>
      <t xml:space="preserve">
</t>
    </r>
  </si>
  <si>
    <t>1.11</t>
  </si>
  <si>
    <r>
      <rPr>
        <sz val="11"/>
        <rFont val="Calibri"/>
      </rPr>
      <t>Ensure Deny access after failed login attempts is slected</t>
    </r>
  </si>
  <si>
    <r>
      <rPr>
        <sz val="11"/>
        <color rgb="FF000000"/>
        <rFont val="Calibri"/>
      </rPr>
      <t>Run the following command to set the deny-on-fail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Hostname&gt;set password-controls deny-on-fail enable on</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Deny Access After Failed Login Attempts:</t>
    </r>
    <r>
      <rPr>
        <sz val="11"/>
        <color rgb="FF006096"/>
        <rFont val="Roboto Condensed"/>
      </rPr>
      <t xml:space="preserve">
</t>
    </r>
    <r>
      <rPr>
        <sz val="11"/>
        <color rgb="FF006096"/>
        <rFont val="Roboto Condensed"/>
      </rPr>
      <t>Checked the 'Deny access after failed login attempts' setting.</t>
    </r>
    <r>
      <rPr>
        <sz val="11"/>
        <color rgb="FF006096"/>
        <rFont val="Roboto Condensed"/>
      </rPr>
      <t xml:space="preserve">
</t>
    </r>
  </si>
  <si>
    <r>
      <rPr>
        <sz val="11"/>
        <color rgb="FF000000"/>
        <rFont val="Calibri"/>
      </rPr>
      <t>If the configured limit is reached, the user is locked out (unable to log in) for a configurable period of time.</t>
    </r>
  </si>
  <si>
    <r>
      <rPr>
        <sz val="11"/>
        <color rgb="FF000000"/>
        <rFont val="Calibri"/>
      </rPr>
      <t>Run the following command to verify the Deny access after failed login attempts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password-controls deny-on-fail enable</t>
    </r>
    <r>
      <rPr>
        <sz val="11"/>
        <color rgb="FF006096"/>
        <rFont val="Roboto Condensed"/>
      </rPr>
      <t xml:space="preserve">
</t>
    </r>
    <r>
      <rPr>
        <sz val="11"/>
        <color rgb="FF006096"/>
        <rFont val="Roboto Condensed"/>
      </rPr>
      <t>Deny Access After Failed Attempts on</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Deny Access After Failed Login Attempts:</t>
    </r>
    <r>
      <rPr>
        <sz val="11"/>
        <color rgb="FF006096"/>
        <rFont val="Roboto Condensed"/>
      </rPr>
      <t xml:space="preserve">
</t>
    </r>
    <r>
      <rPr>
        <sz val="11"/>
        <color rgb="FF006096"/>
        <rFont val="Roboto Condensed"/>
      </rPr>
      <t>Ensure 'Deny access after failed login attempts' is checked.</t>
    </r>
    <r>
      <rPr>
        <sz val="11"/>
        <color rgb="FF006096"/>
        <rFont val="Roboto Condensed"/>
      </rPr>
      <t xml:space="preserve">
</t>
    </r>
  </si>
  <si>
    <r>
      <rPr>
        <sz val="11"/>
        <color rgb="FF000000"/>
        <rFont val="Calibri"/>
      </rPr>
      <t>Not selected</t>
    </r>
  </si>
  <si>
    <t>1.12</t>
  </si>
  <si>
    <r>
      <rPr>
        <sz val="11"/>
        <rFont val="Calibri"/>
      </rPr>
      <t>Ensure Maximum number of failed attempts allowed is set to 5 or fewer</t>
    </r>
  </si>
  <si>
    <r>
      <rPr>
        <sz val="11"/>
        <color rgb="FF000000"/>
        <rFont val="Calibri"/>
      </rPr>
      <t>Run the following command to set the deny-on-fail failures-allowed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Hostname&gt;set password-controls deny-on-fail failures-allowed 5</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Deny Access After Failed Login Attempts:</t>
    </r>
    <r>
      <rPr>
        <sz val="11"/>
        <color rgb="FF006096"/>
        <rFont val="Roboto Condensed"/>
      </rPr>
      <t xml:space="preserve">
</t>
    </r>
    <r>
      <rPr>
        <sz val="11"/>
        <color rgb="FF006096"/>
        <rFont val="Roboto Condensed"/>
      </rPr>
      <t>checked and set ' Maximum number of failed attempts allowed is set to' setting to 5 or fewer.</t>
    </r>
    <r>
      <rPr>
        <sz val="11"/>
        <color rgb="FF006096"/>
        <rFont val="Roboto Condensed"/>
      </rPr>
      <t xml:space="preserve">
</t>
    </r>
  </si>
  <si>
    <r>
      <rPr>
        <sz val="11"/>
        <color rgb="FF000000"/>
        <rFont val="Calibri"/>
      </rPr>
      <t>This only takes effect if Deny access after failed attempts is enabled.The number of failed login attempts that a user is allowed before being locked out. After making that many successive failed attempts, future attempts will fail. When one login attempt succeeds, counting of failed attempts stops, and the count is reset to zero.</t>
    </r>
  </si>
  <si>
    <r>
      <rPr>
        <sz val="11"/>
        <color rgb="FF000000"/>
        <rFont val="Calibri"/>
      </rPr>
      <t>Run the following command to verify the Deny access after failed login attempts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password-controls deny-on-fail failures-allowed</t>
    </r>
    <r>
      <rPr>
        <sz val="11"/>
        <color rgb="FF006096"/>
        <rFont val="Roboto Condensed"/>
      </rPr>
      <t xml:space="preserve">
</t>
    </r>
    <r>
      <rPr>
        <sz val="11"/>
        <color rgb="FF006096"/>
        <rFont val="Roboto Condensed"/>
      </rPr>
      <t>Maximum Failed Attempts 5</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Deny Access After Failed Login Attempts:</t>
    </r>
    <r>
      <rPr>
        <sz val="11"/>
        <color rgb="FF006096"/>
        <rFont val="Roboto Condensed"/>
      </rPr>
      <t xml:space="preserve">
</t>
    </r>
    <r>
      <rPr>
        <sz val="11"/>
        <color rgb="FF006096"/>
        <rFont val="Roboto Condensed"/>
      </rPr>
      <t>Ensure ' Maximum number of failed attempts allowed is set to' is set to 5or fewer.</t>
    </r>
    <r>
      <rPr>
        <sz val="11"/>
        <color rgb="FF006096"/>
        <rFont val="Roboto Condensed"/>
      </rPr>
      <t xml:space="preserve">
</t>
    </r>
  </si>
  <si>
    <r>
      <rPr>
        <sz val="11"/>
        <color rgb="FF000000"/>
        <rFont val="Calibri"/>
      </rPr>
      <t>10</t>
    </r>
  </si>
  <si>
    <t>1.13</t>
  </si>
  <si>
    <r>
      <rPr>
        <sz val="11"/>
        <rFont val="Calibri"/>
      </rPr>
      <t>Ensure Allow access again after time is set to 300 or more seconds</t>
    </r>
  </si>
  <si>
    <r>
      <rPr>
        <sz val="11"/>
        <color rgb="FF000000"/>
        <rFont val="Calibri"/>
      </rPr>
      <t>Run the following command to set the deny-on-fail allow-afte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set password-controls deny-on-fail allow-after 300</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Deny Access After Failed Login Attempts:</t>
    </r>
    <r>
      <rPr>
        <sz val="11"/>
        <color rgb="FF006096"/>
        <rFont val="Roboto Condensed"/>
      </rPr>
      <t xml:space="preserve">
</t>
    </r>
    <r>
      <rPr>
        <sz val="11"/>
        <color rgb="FF006096"/>
        <rFont val="Roboto Condensed"/>
      </rPr>
      <t>Set the 'Allow access again after time' setting to 300 or more seconds.</t>
    </r>
    <r>
      <rPr>
        <sz val="11"/>
        <color rgb="FF006096"/>
        <rFont val="Roboto Condensed"/>
      </rPr>
      <t xml:space="preserve">
</t>
    </r>
  </si>
  <si>
    <r>
      <rPr>
        <sz val="11"/>
        <color rgb="FF000000"/>
        <rFont val="Calibri"/>
      </rPr>
      <t>Allow access again after a user has been locked out (due to failed login attempts). The user is allowed access after the configured time if there have been no login attempts during that time). This setting only takes effect if Deny access after failed login attempts is selected.</t>
    </r>
  </si>
  <si>
    <r>
      <rPr>
        <sz val="11"/>
        <color rgb="FF000000"/>
        <rFont val="Calibri"/>
      </rPr>
      <t>Run the following command to verify the Allow access again after time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password-controls deny-on-fail allow-after</t>
    </r>
    <r>
      <rPr>
        <sz val="11"/>
        <color rgb="FF006096"/>
        <rFont val="Roboto Condensed"/>
      </rPr>
      <t xml:space="preserve">
</t>
    </r>
    <r>
      <rPr>
        <sz val="11"/>
        <color rgb="FF006096"/>
        <rFont val="Roboto Condensed"/>
      </rPr>
      <t>Unlock User After Seconds 300</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Password Policy &gt; Deny Access After Failed Login Attempts:</t>
    </r>
    <r>
      <rPr>
        <sz val="11"/>
        <color rgb="FF006096"/>
        <rFont val="Roboto Condensed"/>
      </rPr>
      <t xml:space="preserve">
</t>
    </r>
    <r>
      <rPr>
        <sz val="11"/>
        <color rgb="FF006096"/>
        <rFont val="Roboto Condensed"/>
      </rPr>
      <t>Ensure 'Allow access again after time' is set to 300 or more seconds.</t>
    </r>
    <r>
      <rPr>
        <sz val="11"/>
        <color rgb="FF006096"/>
        <rFont val="Roboto Condensed"/>
      </rPr>
      <t xml:space="preserve">
</t>
    </r>
  </si>
  <si>
    <r>
      <rPr>
        <sz val="11"/>
        <color rgb="FF000000"/>
        <rFont val="Calibri"/>
      </rPr>
      <t>1200 (20 minutes)</t>
    </r>
  </si>
  <si>
    <t>General Settings</t>
  </si>
  <si>
    <t>2.1.1</t>
  </si>
  <si>
    <r>
      <rPr>
        <sz val="11"/>
        <rFont val="Calibri"/>
      </rPr>
      <t xml:space="preserve">Ensure </t>
    </r>
    <r>
      <rPr>
        <sz val="11"/>
        <color rgb="FF000000"/>
        <rFont val="Calibri"/>
      </rPr>
      <t>'</t>
    </r>
    <r>
      <rPr>
        <b/>
        <sz val="11"/>
        <color rgb="FF000000"/>
        <rFont val="Calibri"/>
      </rPr>
      <t>Login Banner</t>
    </r>
    <r>
      <rPr>
        <sz val="11"/>
        <color rgb="FF000000"/>
        <rFont val="Calibri"/>
      </rPr>
      <t>'</t>
    </r>
    <r>
      <rPr>
        <sz val="11"/>
        <color rgb="FF000000"/>
        <rFont val="Calibri"/>
      </rPr>
      <t xml:space="preserve"> is set</t>
    </r>
  </si>
  <si>
    <r>
      <rPr>
        <sz val="11"/>
        <color rgb="FF000000"/>
        <rFont val="Calibri"/>
      </rPr>
      <t>Run the following command to enable and set the Banner.</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Hostname&gt;set message banner on msgvalue "Organization_Banner"</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Messages</t>
    </r>
    <r>
      <rPr>
        <sz val="11"/>
        <color rgb="FF006096"/>
        <rFont val="Roboto Condensed"/>
      </rPr>
      <t xml:space="preserve">
</t>
    </r>
    <r>
      <rPr>
        <sz val="11"/>
        <color rgb="FF006096"/>
        <rFont val="Roboto Condensed"/>
      </rPr>
      <t>Checked the Banner message and configured the organization defined banner.</t>
    </r>
    <r>
      <rPr>
        <sz val="11"/>
        <color rgb="FF006096"/>
        <rFont val="Roboto Condensed"/>
      </rPr>
      <t xml:space="preserve">
</t>
    </r>
  </si>
  <si>
    <r>
      <rPr>
        <sz val="11"/>
        <color rgb="FF000000"/>
        <rFont val="Calibri"/>
      </rPr>
      <t>Configure a login banner, ideally approved by the organization’s legal team. This banner should, at minimum, prohibit unauthorized access, provide notice of logging or monitoring, and avoid using the word “welcome” or similar words of invitation.</t>
    </r>
  </si>
  <si>
    <r>
      <rPr>
        <sz val="11"/>
        <color rgb="FF000000"/>
        <rFont val="Calibri"/>
      </rPr>
      <t>Run the following command to verify the Banner configured on the device and it's status.</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Hostname&gt;show configuration message</t>
    </r>
    <r>
      <rPr>
        <sz val="11"/>
        <color rgb="FF006096"/>
        <rFont val="Roboto Condensed"/>
      </rPr>
      <t xml:space="preserve">
</t>
    </r>
    <r>
      <rPr>
        <sz val="11"/>
        <color rgb="FF006096"/>
        <rFont val="Roboto Condensed"/>
      </rPr>
      <t>set message banner on</t>
    </r>
    <r>
      <rPr>
        <sz val="11"/>
        <color rgb="FF006096"/>
        <rFont val="Roboto Condensed"/>
      </rPr>
      <t xml:space="preserve">
</t>
    </r>
    <r>
      <rPr>
        <sz val="11"/>
        <color rgb="FF006096"/>
        <rFont val="Roboto Condensed"/>
      </rPr>
      <t>set message banner on line msgvalue "Organization defined Banner"</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Messages -&gt; Banner message</t>
    </r>
    <r>
      <rPr>
        <sz val="11"/>
        <color rgb="FF006096"/>
        <rFont val="Roboto Condensed"/>
      </rPr>
      <t xml:space="preserve">
</t>
    </r>
    <r>
      <rPr>
        <sz val="11"/>
        <color rgb="FF006096"/>
        <rFont val="Roboto Condensed"/>
      </rPr>
      <t>Ensure Banner Message should be checked and "Organization defined Banner" should be set.</t>
    </r>
    <r>
      <rPr>
        <sz val="11"/>
        <color rgb="FF006096"/>
        <rFont val="Roboto Condensed"/>
      </rPr>
      <t xml:space="preserve">
</t>
    </r>
  </si>
  <si>
    <t>2.1.2</t>
  </si>
  <si>
    <r>
      <rPr>
        <sz val="11"/>
        <rFont val="Calibri"/>
      </rPr>
      <t xml:space="preserve">Ensure </t>
    </r>
    <r>
      <rPr>
        <sz val="11"/>
        <color rgb="FF000000"/>
        <rFont val="Calibri"/>
      </rPr>
      <t>'</t>
    </r>
    <r>
      <rPr>
        <b/>
        <sz val="11"/>
        <color rgb="FF000000"/>
        <rFont val="Calibri"/>
      </rPr>
      <t>Message Of The Day (MOTD)</t>
    </r>
    <r>
      <rPr>
        <sz val="11"/>
        <color rgb="FF000000"/>
        <rFont val="Calibri"/>
      </rPr>
      <t>'</t>
    </r>
    <r>
      <rPr>
        <sz val="11"/>
        <color rgb="FF000000"/>
        <rFont val="Calibri"/>
      </rPr>
      <t xml:space="preserve"> is set</t>
    </r>
  </si>
  <si>
    <r>
      <rPr>
        <sz val="11"/>
        <color rgb="FF000000"/>
        <rFont val="Calibri"/>
      </rPr>
      <t>Run the following command to enable and configured the MOTD setting.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set message motd on msgvalue "MOTD BANNER"</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Messages -&gt; Message of the day</t>
    </r>
    <r>
      <rPr>
        <sz val="11"/>
        <color rgb="FF006096"/>
        <rFont val="Roboto Condensed"/>
      </rPr>
      <t xml:space="preserve">
</t>
    </r>
    <r>
      <rPr>
        <sz val="11"/>
        <color rgb="FF006096"/>
        <rFont val="Roboto Condensed"/>
      </rPr>
      <t>Checked the Message of the day and add "MOTD Banner".</t>
    </r>
    <r>
      <rPr>
        <sz val="11"/>
        <color rgb="FF006096"/>
        <rFont val="Roboto Condensed"/>
      </rPr>
      <t xml:space="preserve">
</t>
    </r>
  </si>
  <si>
    <r>
      <rPr>
        <sz val="11"/>
        <color rgb="FF000000"/>
        <rFont val="Calibri"/>
      </rPr>
      <t>Sets the MOTD message.</t>
    </r>
  </si>
  <si>
    <r>
      <rPr>
        <sz val="11"/>
        <color rgb="FF000000"/>
        <rFont val="Calibri"/>
      </rPr>
      <t>Run the following command to verify the MOTD Banner is configured on the device and it's status.</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Hostname&gt;show configuration message</t>
    </r>
    <r>
      <rPr>
        <sz val="11"/>
        <color rgb="FF006096"/>
        <rFont val="Roboto Condensed"/>
      </rPr>
      <t xml:space="preserve">
</t>
    </r>
    <r>
      <rPr>
        <sz val="11"/>
        <color rgb="FF006096"/>
        <rFont val="Roboto Condensed"/>
      </rPr>
      <t>set message motd on</t>
    </r>
    <r>
      <rPr>
        <sz val="11"/>
        <color rgb="FF006096"/>
        <rFont val="Roboto Condensed"/>
      </rPr>
      <t xml:space="preserve">
</t>
    </r>
    <r>
      <rPr>
        <sz val="11"/>
        <color rgb="FF006096"/>
        <rFont val="Roboto Condensed"/>
      </rPr>
      <t>set message motd on line msgvalue "MOTD BANNER"</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Messages -&gt; Message of the day</t>
    </r>
    <r>
      <rPr>
        <sz val="11"/>
        <color rgb="FF006096"/>
        <rFont val="Roboto Condensed"/>
      </rPr>
      <t xml:space="preserve">
</t>
    </r>
    <r>
      <rPr>
        <sz val="11"/>
        <color rgb="FF006096"/>
        <rFont val="Roboto Condensed"/>
      </rPr>
      <t>Ensure Message of the day should be checked and "MOTD" Banner should be set.</t>
    </r>
    <r>
      <rPr>
        <sz val="11"/>
        <color rgb="FF006096"/>
        <rFont val="Roboto Condensed"/>
      </rPr>
      <t xml:space="preserve">
</t>
    </r>
  </si>
  <si>
    <t>2.1.3</t>
  </si>
  <si>
    <r>
      <rPr>
        <sz val="11"/>
        <rFont val="Calibri"/>
      </rPr>
      <t>Ensure Core Dump is enabled</t>
    </r>
  </si>
  <si>
    <r>
      <rPr>
        <sz val="11"/>
        <color rgb="FF000000"/>
        <rFont val="Calibri"/>
      </rPr>
      <t>Run the following command to set Core Dump.</t>
    </r>
    <r>
      <rPr>
        <sz val="11"/>
        <color rgb="FF000000"/>
        <rFont val="Calibri"/>
      </rPr>
      <t xml:space="preserve">
</t>
    </r>
    <r>
      <rPr>
        <sz val="11"/>
        <color rgb="FF006096"/>
        <rFont val="Roboto Condensed"/>
      </rPr>
      <t>Hostname&gt; set core-dump enable</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Core Dump &gt; select Enable Core Dumps</t>
    </r>
    <r>
      <rPr>
        <sz val="11"/>
        <color rgb="FF006096"/>
        <rFont val="Roboto Condensed"/>
      </rPr>
      <t xml:space="preserve">
</t>
    </r>
  </si>
  <si>
    <r>
      <rPr>
        <sz val="11"/>
        <color rgb="FF000000"/>
        <rFont val="Calibri"/>
      </rPr>
      <t>A Core Dump contains the recorded state of the working memory and CPU's contents of the Gaia system at the time that a Gaia process terminated abnormally. The core file is stored in the /var/log/dump/usermode directory.</t>
    </r>
  </si>
  <si>
    <r>
      <rPr>
        <sz val="11"/>
        <color rgb="FF000000"/>
        <rFont val="Calibri"/>
      </rPr>
      <t>Run the following command to check the status of Core Dump.</t>
    </r>
    <r>
      <rPr>
        <sz val="11"/>
        <color rgb="FF000000"/>
        <rFont val="Calibri"/>
      </rPr>
      <t xml:space="preserve">
</t>
    </r>
    <r>
      <rPr>
        <sz val="11"/>
        <color rgb="FF006096"/>
        <rFont val="Roboto Condensed"/>
      </rPr>
      <t>Hostname&gt; show core-dump status</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Core Dump</t>
    </r>
    <r>
      <rPr>
        <sz val="11"/>
        <color rgb="FF006096"/>
        <rFont val="Roboto Condensed"/>
      </rPr>
      <t xml:space="preserve">
</t>
    </r>
  </si>
  <si>
    <r>
      <rPr>
        <sz val="11"/>
        <color rgb="FF000000"/>
        <rFont val="Calibri"/>
      </rPr>
      <t>enabled</t>
    </r>
  </si>
  <si>
    <t>2.1.4</t>
  </si>
  <si>
    <r>
      <rPr>
        <sz val="11"/>
        <rFont val="Calibri"/>
      </rPr>
      <t>Ensure Config-state is saved</t>
    </r>
  </si>
  <si>
    <r>
      <rPr>
        <sz val="11"/>
        <color rgb="FF000000"/>
        <rFont val="Calibri"/>
      </rPr>
      <t>Run the following command to save the configuration.</t>
    </r>
    <r>
      <rPr>
        <sz val="11"/>
        <color rgb="FF000000"/>
        <rFont val="Calibri"/>
      </rPr>
      <t xml:space="preserve">
</t>
    </r>
    <r>
      <rPr>
        <sz val="11"/>
        <color rgb="FF006096"/>
        <rFont val="Roboto Condensed"/>
      </rPr>
      <t>Hostname&gt; save config</t>
    </r>
    <r>
      <rPr>
        <sz val="11"/>
        <color rgb="FF006096"/>
        <rFont val="Roboto Condensed"/>
      </rPr>
      <t xml:space="preserve">
</t>
    </r>
  </si>
  <si>
    <r>
      <rPr>
        <sz val="11"/>
        <color rgb="FF000000"/>
        <rFont val="Calibri"/>
      </rPr>
      <t>The 'Config state' setting provides the detail of the current configuration which is saved or unsaved. Saved state indicates the current configuration of the system is matched with the saved configuration, while unsaved state indicates a configuration change has been made and it has not been saved to the configuration file.</t>
    </r>
  </si>
  <si>
    <r>
      <rPr>
        <sz val="11"/>
        <color rgb="FF000000"/>
        <rFont val="Calibri"/>
      </rPr>
      <t>Run the following command to check the status of config-state.</t>
    </r>
    <r>
      <rPr>
        <sz val="11"/>
        <color rgb="FF000000"/>
        <rFont val="Calibri"/>
      </rPr>
      <t xml:space="preserve">
</t>
    </r>
    <r>
      <rPr>
        <sz val="11"/>
        <color rgb="FF006096"/>
        <rFont val="Roboto Condensed"/>
      </rPr>
      <t>Hostname&gt; show config-state</t>
    </r>
    <r>
      <rPr>
        <sz val="11"/>
        <color rgb="FF006096"/>
        <rFont val="Roboto Condensed"/>
      </rPr>
      <t xml:space="preserve">
</t>
    </r>
  </si>
  <si>
    <r>
      <rPr>
        <sz val="11"/>
        <color rgb="FF000000"/>
        <rFont val="Calibri"/>
      </rPr>
      <t>NA</t>
    </r>
  </si>
  <si>
    <t>2.1.5</t>
  </si>
  <si>
    <r>
      <rPr>
        <sz val="11"/>
        <rFont val="Calibri"/>
      </rPr>
      <t>Ensure unused interfaces are disabled</t>
    </r>
  </si>
  <si>
    <r>
      <rPr>
        <sz val="11"/>
        <color rgb="FF000000"/>
        <rFont val="Calibri"/>
      </rPr>
      <t>Run the following command disable the unused interface.</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set interface &lt;Interface_Number&gt; state off</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Network Management &gt; Network Interfaces &gt; Open unused Interface &gt; unchecked Enable</t>
    </r>
    <r>
      <rPr>
        <sz val="11"/>
        <color rgb="FF006096"/>
        <rFont val="Roboto Condensed"/>
      </rPr>
      <t xml:space="preserve">
</t>
    </r>
  </si>
  <si>
    <r>
      <rPr>
        <sz val="11"/>
        <color rgb="FF000000"/>
        <rFont val="Calibri"/>
      </rPr>
      <t>Disables the unused interfaces.</t>
    </r>
  </si>
  <si>
    <r>
      <rPr>
        <sz val="11"/>
        <color rgb="FF000000"/>
        <rFont val="Calibri"/>
      </rPr>
      <t>Run the following command to check the status of all interfaces and verify interface state is off if it is not in used.</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interfaces all</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Network Management &gt; Network Interfaces</t>
    </r>
    <r>
      <rPr>
        <sz val="11"/>
        <color rgb="FF006096"/>
        <rFont val="Roboto Condensed"/>
      </rPr>
      <t xml:space="preserve">
</t>
    </r>
  </si>
  <si>
    <t>2.1.6</t>
  </si>
  <si>
    <r>
      <rPr>
        <sz val="11"/>
        <rFont val="Calibri"/>
      </rPr>
      <t>Ensure DNS server is configured</t>
    </r>
  </si>
  <si>
    <r>
      <rPr>
        <sz val="11"/>
        <color rgb="FF000000"/>
        <rFont val="Calibri"/>
      </rPr>
      <t>Run the following command to set DNS server.</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set dns primary &lt;IP_Address&gt;</t>
    </r>
    <r>
      <rPr>
        <sz val="11"/>
        <color rgb="FF006096"/>
        <rFont val="Roboto Condensed"/>
      </rPr>
      <t xml:space="preserve">
</t>
    </r>
    <r>
      <rPr>
        <sz val="11"/>
        <color rgb="FF006096"/>
        <rFont val="Roboto Condensed"/>
      </rPr>
      <t>Hostname&gt; set dns secondary &lt;IP_Address&gt;</t>
    </r>
    <r>
      <rPr>
        <sz val="11"/>
        <color rgb="FF006096"/>
        <rFont val="Roboto Condensed"/>
      </rPr>
      <t xml:space="preserve">
</t>
    </r>
    <r>
      <rPr>
        <sz val="11"/>
        <color rgb="FF006096"/>
        <rFont val="Roboto Condensed"/>
      </rPr>
      <t>Hostname&gt; set dns tertiary &lt;IP_Address&gt;</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 xml:space="preserve">Navigate to Network Management &gt; Hosts and DNS &gt; DNS </t>
    </r>
    <r>
      <rPr>
        <sz val="11"/>
        <color rgb="FF006096"/>
        <rFont val="Roboto Condensed"/>
      </rPr>
      <t xml:space="preserve">
</t>
    </r>
    <r>
      <rPr>
        <sz val="11"/>
        <color rgb="FF006096"/>
        <rFont val="Roboto Condensed"/>
      </rPr>
      <t>Set Primary, secondary and tertiary DNS server address.</t>
    </r>
    <r>
      <rPr>
        <sz val="11"/>
        <color rgb="FF006096"/>
        <rFont val="Roboto Condensed"/>
      </rPr>
      <t xml:space="preserve">
</t>
    </r>
  </si>
  <si>
    <r>
      <rPr>
        <sz val="11"/>
        <color rgb="FF000000"/>
        <rFont val="Calibri"/>
      </rPr>
      <t>Gaia uses the Domain Name Service (DNS) to translate host names into IP addresses. To enable DNS lookups, you must specify the primary DNS server for your system. You can also specify secondary and tertiary DNS servers. When resolving host names, the system consults the primary name server. If a failure or time-out occurs, the system consults the secondary name server, and if necessary, the tertiary.</t>
    </r>
  </si>
  <si>
    <r>
      <rPr>
        <sz val="11"/>
        <color rgb="FF000000"/>
        <rFont val="Calibri"/>
      </rPr>
      <t>Run the following command to check the Primary, Secondary and tertiary DNS are configured.</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dns primary</t>
    </r>
    <r>
      <rPr>
        <sz val="11"/>
        <color rgb="FF006096"/>
        <rFont val="Roboto Condensed"/>
      </rPr>
      <t xml:space="preserve">
</t>
    </r>
    <r>
      <rPr>
        <sz val="11"/>
        <color rgb="FF006096"/>
        <rFont val="Roboto Condensed"/>
      </rPr>
      <t>10.22.1.39</t>
    </r>
    <r>
      <rPr>
        <sz val="11"/>
        <color rgb="FF006096"/>
        <rFont val="Roboto Condensed"/>
      </rPr>
      <t xml:space="preserve">
</t>
    </r>
    <r>
      <rPr>
        <sz val="11"/>
        <color rgb="FF006096"/>
        <rFont val="Roboto Condensed"/>
      </rPr>
      <t>Hostname&gt; show dns secondary</t>
    </r>
    <r>
      <rPr>
        <sz val="11"/>
        <color rgb="FF006096"/>
        <rFont val="Roboto Condensed"/>
      </rPr>
      <t xml:space="preserve">
</t>
    </r>
    <r>
      <rPr>
        <sz val="11"/>
        <color rgb="FF006096"/>
        <rFont val="Roboto Condensed"/>
      </rPr>
      <t>10.88.3.99</t>
    </r>
    <r>
      <rPr>
        <sz val="11"/>
        <color rgb="FF006096"/>
        <rFont val="Roboto Condensed"/>
      </rPr>
      <t xml:space="preserve">
</t>
    </r>
    <r>
      <rPr>
        <sz val="11"/>
        <color rgb="FF006096"/>
        <rFont val="Roboto Condensed"/>
      </rPr>
      <t>Hostname&gt; show dns tertiary</t>
    </r>
    <r>
      <rPr>
        <sz val="11"/>
        <color rgb="FF006096"/>
        <rFont val="Roboto Condensed"/>
      </rPr>
      <t xml:space="preserve">
</t>
    </r>
    <r>
      <rPr>
        <sz val="11"/>
        <color rgb="FF006096"/>
        <rFont val="Roboto Condensed"/>
      </rPr>
      <t>10.10.1.2</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Network Management &gt; Hosts and DNS &gt; DNS</t>
    </r>
    <r>
      <rPr>
        <sz val="11"/>
        <color rgb="FF006096"/>
        <rFont val="Roboto Condensed"/>
      </rPr>
      <t xml:space="preserve">
</t>
    </r>
  </si>
  <si>
    <r>
      <rPr>
        <sz val="11"/>
        <color rgb="FF000000"/>
        <rFont val="Calibri"/>
      </rPr>
      <t>Not Configured</t>
    </r>
  </si>
  <si>
    <t>2.1.7</t>
  </si>
  <si>
    <r>
      <rPr>
        <sz val="11"/>
        <rFont val="Calibri"/>
      </rPr>
      <t>Ensure IPv6 is disabled if not used</t>
    </r>
  </si>
  <si>
    <r>
      <rPr>
        <sz val="11"/>
        <color rgb="FF000000"/>
        <rFont val="Calibri"/>
      </rPr>
      <t>Run the following command to enable or disable IPv6.</t>
    </r>
    <r>
      <rPr>
        <sz val="11"/>
        <color rgb="FF000000"/>
        <rFont val="Calibri"/>
      </rPr>
      <t xml:space="preserve">
</t>
    </r>
    <r>
      <rPr>
        <sz val="11"/>
        <color rgb="FF006096"/>
        <rFont val="Roboto Condensed"/>
      </rPr>
      <t>Hostname&gt; set ipv6-state on</t>
    </r>
    <r>
      <rPr>
        <sz val="11"/>
        <color rgb="FF006096"/>
        <rFont val="Roboto Condensed"/>
      </rPr>
      <t xml:space="preserve">
</t>
    </r>
    <r>
      <rPr>
        <sz val="11"/>
        <color rgb="FF006096"/>
        <rFont val="Roboto Condensed"/>
      </rPr>
      <t>Hostname&gt; set ipv6-state off</t>
    </r>
    <r>
      <rPr>
        <sz val="11"/>
        <color rgb="FF006096"/>
        <rFont val="Roboto Condensed"/>
      </rPr>
      <t xml:space="preserve">
</t>
    </r>
  </si>
  <si>
    <r>
      <rPr>
        <sz val="11"/>
        <color rgb="FF000000"/>
        <rFont val="Calibri"/>
      </rPr>
      <t>Although IPv6 has many advantages over IPv4, not all organizations have IPv6 or dual stack configurations implemented</t>
    </r>
  </si>
  <si>
    <r>
      <rPr>
        <sz val="11"/>
        <color rgb="FF000000"/>
        <rFont val="Calibri"/>
      </rPr>
      <t>Run the following command to check IPv6 status.</t>
    </r>
    <r>
      <rPr>
        <sz val="11"/>
        <color rgb="FF000000"/>
        <rFont val="Calibri"/>
      </rPr>
      <t xml:space="preserve">
</t>
    </r>
    <r>
      <rPr>
        <sz val="11"/>
        <color rgb="FF006096"/>
        <rFont val="Roboto Condensed"/>
      </rPr>
      <t>Hostname&gt; show ipv6-state</t>
    </r>
    <r>
      <rPr>
        <sz val="11"/>
        <color rgb="FF006096"/>
        <rFont val="Roboto Condensed"/>
      </rPr>
      <t xml:space="preserve">
</t>
    </r>
  </si>
  <si>
    <r>
      <rPr>
        <sz val="11"/>
        <color rgb="FF000000"/>
        <rFont val="Calibri"/>
      </rPr>
      <t>ipv6 is disabled</t>
    </r>
  </si>
  <si>
    <t>2.1.8</t>
  </si>
  <si>
    <r>
      <rPr>
        <sz val="11"/>
        <rFont val="Calibri"/>
      </rPr>
      <t>Ensure Host Name is set</t>
    </r>
  </si>
  <si>
    <r>
      <rPr>
        <sz val="11"/>
        <color rgb="FF000000"/>
        <rFont val="Calibri"/>
      </rPr>
      <t>Run the following command to set Host Name.</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set hostname &lt;name&gt;</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Network Management &gt; Hosts and DNS &gt; System Name &gt; Host Name</t>
    </r>
    <r>
      <rPr>
        <sz val="11"/>
        <color rgb="FF006096"/>
        <rFont val="Roboto Condensed"/>
      </rPr>
      <t xml:space="preserve">
</t>
    </r>
  </si>
  <si>
    <r>
      <rPr>
        <sz val="11"/>
        <color rgb="FF000000"/>
        <rFont val="Calibri"/>
      </rPr>
      <t>Changes the device default hostname.</t>
    </r>
  </si>
  <si>
    <r>
      <rPr>
        <sz val="11"/>
        <color rgb="FF000000"/>
        <rFont val="Calibri"/>
      </rPr>
      <t>Run the following command to check Host Name.</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hostname</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Network Management &gt; Hosts and DNS &gt; System Name &gt; Host Name</t>
    </r>
    <r>
      <rPr>
        <sz val="11"/>
        <color rgb="FF006096"/>
        <rFont val="Roboto Condensed"/>
      </rPr>
      <t xml:space="preserve">
</t>
    </r>
  </si>
  <si>
    <t>2.1.9</t>
  </si>
  <si>
    <r>
      <rPr>
        <sz val="11"/>
        <rFont val="Calibri"/>
      </rPr>
      <t>Ensure Telnet is disabled</t>
    </r>
  </si>
  <si>
    <r>
      <rPr>
        <sz val="11"/>
        <color rgb="FF000000"/>
        <rFont val="Calibri"/>
      </rPr>
      <t>Run the following command to disable the telnet.</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set net-access telnet off</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Network Access &gt; verify Enable Telnet is unchecked.</t>
    </r>
    <r>
      <rPr>
        <sz val="11"/>
        <color rgb="FF006096"/>
        <rFont val="Roboto Condensed"/>
      </rPr>
      <t xml:space="preserve">
</t>
    </r>
  </si>
  <si>
    <r>
      <rPr>
        <sz val="11"/>
        <color rgb="FF000000"/>
        <rFont val="Calibri"/>
      </rPr>
      <t>Disables the telnet access to the security appliance in the case it has been configured.</t>
    </r>
  </si>
  <si>
    <r>
      <rPr>
        <sz val="11"/>
        <color rgb="FF000000"/>
        <rFont val="Calibri"/>
      </rPr>
      <t>Run the following command to check the status of telnet.</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net-access telnet</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Network Access &gt; Enable Telnet</t>
    </r>
    <r>
      <rPr>
        <sz val="11"/>
        <color rgb="FF006096"/>
        <rFont val="Roboto Condensed"/>
      </rPr>
      <t xml:space="preserve">
</t>
    </r>
  </si>
  <si>
    <r>
      <rPr>
        <sz val="11"/>
        <color rgb="FF000000"/>
        <rFont val="Calibri"/>
      </rPr>
      <t>Off</t>
    </r>
  </si>
  <si>
    <t>2.1.10</t>
  </si>
  <si>
    <r>
      <rPr>
        <sz val="11"/>
        <rFont val="Calibri"/>
      </rPr>
      <t>Ensure DHCP is disabled</t>
    </r>
  </si>
  <si>
    <r>
      <rPr>
        <sz val="11"/>
        <color rgb="FF000000"/>
        <rFont val="Calibri"/>
      </rPr>
      <t>Run the following command to disable the DHCP.</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set dhcp server disable</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Network Management &gt; DHCP Server &gt; DHCP Server Configuration &gt; veriify Enable DHCP Server is unchecked</t>
    </r>
    <r>
      <rPr>
        <sz val="11"/>
        <color rgb="FF006096"/>
        <rFont val="Roboto Condensed"/>
      </rPr>
      <t xml:space="preserve">
</t>
    </r>
  </si>
  <si>
    <r>
      <rPr>
        <sz val="11"/>
        <color rgb="FF000000"/>
        <rFont val="Calibri"/>
      </rPr>
      <t>Disable the Dynamic Host Configuration Protocol (DHCP) server on your device.</t>
    </r>
  </si>
  <si>
    <r>
      <rPr>
        <sz val="11"/>
        <color rgb="FF000000"/>
        <rFont val="Calibri"/>
      </rPr>
      <t>Run the following command to check the status of DHCP Server.</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dhcp server status</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Network Management &gt; DHCP Server &gt; DHCP Server Configuration &gt; Enable DHCP Server</t>
    </r>
    <r>
      <rPr>
        <sz val="11"/>
        <color rgb="FF006096"/>
        <rFont val="Roboto Condensed"/>
      </rPr>
      <t xml:space="preserve">
</t>
    </r>
  </si>
  <si>
    <r>
      <rPr>
        <sz val="11"/>
        <color rgb="FF000000"/>
        <rFont val="Calibri"/>
      </rPr>
      <t>DHCP Server Disabled</t>
    </r>
  </si>
  <si>
    <t>SNMP</t>
  </si>
  <si>
    <t>2.2.1</t>
  </si>
  <si>
    <r>
      <rPr>
        <sz val="11"/>
        <rFont val="Calibri"/>
      </rPr>
      <t>Ensure SNMP agent is disabled</t>
    </r>
  </si>
  <si>
    <r>
      <rPr>
        <sz val="11"/>
        <color rgb="FF000000"/>
        <rFont val="Calibri"/>
      </rPr>
      <t>Run the following command to configure the SNMP.</t>
    </r>
    <r>
      <rPr>
        <sz val="11"/>
        <color rgb="FF000000"/>
        <rFont val="Calibri"/>
      </rPr>
      <t xml:space="preserve">
</t>
    </r>
    <r>
      <rPr>
        <sz val="11"/>
        <color rgb="FF006096"/>
        <rFont val="Roboto Condensed"/>
      </rPr>
      <t>CLI:</t>
    </r>
    <r>
      <rPr>
        <sz val="11"/>
        <color rgb="FF006096"/>
        <rFont val="Roboto Condensed"/>
      </rPr>
      <t xml:space="preserve">
</t>
    </r>
    <r>
      <rPr>
        <sz val="11"/>
        <color rgb="FF006096"/>
        <rFont val="Roboto Condensed"/>
      </rPr>
      <t>Hostname&gt; set snmp agent off</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System Management &gt; SNMP &gt; Unhecked the Enable SNMP Agnet</t>
    </r>
    <r>
      <rPr>
        <sz val="11"/>
        <color rgb="FF006096"/>
        <rFont val="Roboto Condensed"/>
      </rPr>
      <t xml:space="preserve">
</t>
    </r>
  </si>
  <si>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</si>
  <si>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Run the following command to check whether the SNMP agent is configured:</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 xml:space="preserve">Hostname&gt; show snmp agent </t>
    </r>
    <r>
      <rPr>
        <sz val="11"/>
        <color rgb="FF006096"/>
        <rFont val="Roboto Condensed"/>
      </rPr>
      <t xml:space="preserve">
</t>
    </r>
    <r>
      <rPr>
        <sz val="11"/>
        <color rgb="FF006096"/>
        <rFont val="Roboto Condensed"/>
      </rPr>
      <t>SNMP Agent Disabled</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SNMP  &gt;  SNMP General Settings</t>
    </r>
    <r>
      <rPr>
        <sz val="11"/>
        <color rgb="FF006096"/>
        <rFont val="Roboto Condensed"/>
      </rPr>
      <t xml:space="preserve">
</t>
    </r>
    <r>
      <rPr>
        <sz val="11"/>
        <color rgb="FF006096"/>
        <rFont val="Roboto Condensed"/>
      </rPr>
      <t>Verify Enable SNMP agent is unchecked.</t>
    </r>
    <r>
      <rPr>
        <sz val="11"/>
        <color rgb="FF006096"/>
        <rFont val="Roboto Condensed"/>
      </rPr>
      <t xml:space="preserve">
</t>
    </r>
  </si>
  <si>
    <r>
      <rPr>
        <sz val="11"/>
        <color rgb="FF000000"/>
        <rFont val="Calibri"/>
      </rPr>
      <t>SNMP Agent Disabled</t>
    </r>
  </si>
  <si>
    <t>2.2.2</t>
  </si>
  <si>
    <r>
      <rPr>
        <sz val="11"/>
        <rFont val="Calibri"/>
      </rPr>
      <t>Ensure SNMP version is set to v3-Only</t>
    </r>
  </si>
  <si>
    <r>
      <rPr>
        <sz val="11"/>
        <color rgb="FF000000"/>
        <rFont val="Calibri"/>
      </rPr>
      <t>Run the following command to configure the SNMP agent-version v3-only</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set snmp agent-version v3-Only</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SNMP &gt; Select V3-Only in Version</t>
    </r>
    <r>
      <rPr>
        <sz val="11"/>
        <color rgb="FF006096"/>
        <rFont val="Roboto Condensed"/>
      </rPr>
      <t xml:space="preserve">
</t>
    </r>
  </si>
  <si>
    <r>
      <rPr>
        <sz val="11"/>
        <color rgb="FF000000"/>
        <rFont val="Calibri"/>
      </rPr>
      <t>Sets the SNMP v3.</t>
    </r>
  </si>
  <si>
    <r>
      <rPr>
        <sz val="11"/>
        <color rgb="FF000000"/>
        <rFont val="Calibri"/>
      </rPr>
      <t>Run the following command to check whether the SNMP agent-version v3-only is configured</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 xml:space="preserve">Hostname&gt; show snmp agent-version </t>
    </r>
    <r>
      <rPr>
        <sz val="11"/>
        <color rgb="FF006096"/>
        <rFont val="Roboto Condensed"/>
      </rPr>
      <t xml:space="preserve">
</t>
    </r>
    <r>
      <rPr>
        <sz val="11"/>
        <color rgb="FF006096"/>
        <rFont val="Roboto Condensed"/>
      </rPr>
      <t>v3-Only</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SNMP  &gt;  SNMP General Settings</t>
    </r>
    <r>
      <rPr>
        <sz val="11"/>
        <color rgb="FF006096"/>
        <rFont val="Roboto Condensed"/>
      </rPr>
      <t xml:space="preserve">
</t>
    </r>
    <r>
      <rPr>
        <sz val="11"/>
        <color rgb="FF006096"/>
        <rFont val="Roboto Condensed"/>
      </rPr>
      <t>Verify version is set to v3-Only.</t>
    </r>
    <r>
      <rPr>
        <sz val="11"/>
        <color rgb="FF006096"/>
        <rFont val="Roboto Condensed"/>
      </rPr>
      <t xml:space="preserve">
</t>
    </r>
  </si>
  <si>
    <t>2.2.3</t>
  </si>
  <si>
    <r>
      <rPr>
        <sz val="11"/>
        <rFont val="Calibri"/>
      </rPr>
      <t>Ensure SNMP traps is enabled</t>
    </r>
  </si>
  <si>
    <r>
      <rPr>
        <sz val="11"/>
        <color rgb="FF000000"/>
        <rFont val="Calibri"/>
      </rPr>
      <t>Run the following command to Configure the SNMP traps.</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set snmp traps trap authorizationError enable</t>
    </r>
    <r>
      <rPr>
        <sz val="11"/>
        <color rgb="FF006096"/>
        <rFont val="Roboto Condensed"/>
      </rPr>
      <t xml:space="preserve">
</t>
    </r>
    <r>
      <rPr>
        <sz val="11"/>
        <color rgb="FF006096"/>
        <rFont val="Roboto Condensed"/>
      </rPr>
      <t>Hostname&gt; set snmp traps trap coldStart enable</t>
    </r>
    <r>
      <rPr>
        <sz val="11"/>
        <color rgb="FF006096"/>
        <rFont val="Roboto Condensed"/>
      </rPr>
      <t xml:space="preserve">
</t>
    </r>
    <r>
      <rPr>
        <sz val="11"/>
        <color rgb="FF006096"/>
        <rFont val="Roboto Condensed"/>
      </rPr>
      <t>Hostname&gt; set snmp traps trap configurationChange enable</t>
    </r>
    <r>
      <rPr>
        <sz val="11"/>
        <color rgb="FF006096"/>
        <rFont val="Roboto Condensed"/>
      </rPr>
      <t xml:space="preserve">
</t>
    </r>
    <r>
      <rPr>
        <sz val="11"/>
        <color rgb="FF006096"/>
        <rFont val="Roboto Condensed"/>
      </rPr>
      <t>Hostname&gt; set snmp traps trap configurationSave enable</t>
    </r>
    <r>
      <rPr>
        <sz val="11"/>
        <color rgb="FF006096"/>
        <rFont val="Roboto Condensed"/>
      </rPr>
      <t xml:space="preserve">
</t>
    </r>
    <r>
      <rPr>
        <sz val="11"/>
        <color rgb="FF006096"/>
        <rFont val="Roboto Condensed"/>
      </rPr>
      <t>Hostname&gt; set snmp traps trap linkUpLinkDown enable</t>
    </r>
    <r>
      <rPr>
        <sz val="11"/>
        <color rgb="FF006096"/>
        <rFont val="Roboto Condensed"/>
      </rPr>
      <t xml:space="preserve">
</t>
    </r>
    <r>
      <rPr>
        <sz val="11"/>
        <color rgb="FF006096"/>
        <rFont val="Roboto Condensed"/>
      </rPr>
      <t>Hostname&gt; set snmp traps trap lowDiskSpace enable</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SNMP &gt; Enabled Traps &gt; Set and select the following traps</t>
    </r>
    <r>
      <rPr>
        <sz val="11"/>
        <color rgb="FF006096"/>
        <rFont val="Roboto Condensed"/>
      </rPr>
      <t xml:space="preserve">
</t>
    </r>
    <r>
      <rPr>
        <sz val="11"/>
        <color rgb="FF006096"/>
        <rFont val="Roboto Condensed"/>
      </rPr>
      <t>uthorizationError, coldStart, configurationChange, configurationSave, linkUpLinkDown and lowDiskSpace</t>
    </r>
    <r>
      <rPr>
        <sz val="11"/>
        <color rgb="FF006096"/>
        <rFont val="Roboto Condensed"/>
      </rPr>
      <t xml:space="preserve">
</t>
    </r>
  </si>
  <si>
    <r>
      <rPr>
        <sz val="11"/>
        <color rgb="FF000000"/>
        <rFont val="Calibri"/>
      </rPr>
      <t>Enables SNMP traps to be sent to the NMS.</t>
    </r>
  </si>
  <si>
    <r>
      <rPr>
        <sz val="11"/>
        <color rgb="FF000000"/>
        <rFont val="Calibri"/>
      </rPr>
      <t>Run the following command to check whether the SNMP traps are configured:</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snmp traps enabled-traps</t>
    </r>
    <r>
      <rPr>
        <sz val="11"/>
        <color rgb="FF006096"/>
        <rFont val="Roboto Condensed"/>
      </rPr>
      <t xml:space="preserve">
</t>
    </r>
    <r>
      <rPr>
        <sz val="11"/>
        <color rgb="FF006096"/>
        <rFont val="Roboto Condensed"/>
      </rPr>
      <t>authorizationError</t>
    </r>
    <r>
      <rPr>
        <sz val="11"/>
        <color rgb="FF006096"/>
        <rFont val="Roboto Condensed"/>
      </rPr>
      <t xml:space="preserve">
</t>
    </r>
    <r>
      <rPr>
        <sz val="11"/>
        <color rgb="FF006096"/>
        <rFont val="Roboto Condensed"/>
      </rPr>
      <t>coldStart</t>
    </r>
    <r>
      <rPr>
        <sz val="11"/>
        <color rgb="FF006096"/>
        <rFont val="Roboto Condensed"/>
      </rPr>
      <t xml:space="preserve">
</t>
    </r>
    <r>
      <rPr>
        <sz val="11"/>
        <color rgb="FF006096"/>
        <rFont val="Roboto Condensed"/>
      </rPr>
      <t>configurationChange</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SNMP  &gt;  Enabled Traps</t>
    </r>
    <r>
      <rPr>
        <sz val="11"/>
        <color rgb="FF006096"/>
        <rFont val="Roboto Condensed"/>
      </rPr>
      <t xml:space="preserve">
</t>
    </r>
    <r>
      <rPr>
        <sz val="11"/>
        <color rgb="FF006096"/>
        <rFont val="Roboto Condensed"/>
      </rPr>
      <t>Verify authorizationError, coldStart, configurationChange, configurationSave, linkUpLinkDown and lowDiskSpace alerts are selected.</t>
    </r>
    <r>
      <rPr>
        <sz val="11"/>
        <color rgb="FF006096"/>
        <rFont val="Roboto Condensed"/>
      </rPr>
      <t xml:space="preserve">
</t>
    </r>
  </si>
  <si>
    <t>2.2.4</t>
  </si>
  <si>
    <r>
      <rPr>
        <sz val="11"/>
        <rFont val="Calibri"/>
      </rPr>
      <t>Ensure SNMP traps receivers is set</t>
    </r>
  </si>
  <si>
    <r>
      <rPr>
        <sz val="11"/>
        <color rgb="FF000000"/>
        <rFont val="Calibri"/>
      </rPr>
      <t>Run the following command to Configure the SNMP traps receivers.</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add snmp traps receiver 10.10.168.86 version v3</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SNMP &gt; Trap Receivers Setting &gt; Add &gt; Add IP Address Version details.</t>
    </r>
    <r>
      <rPr>
        <sz val="11"/>
        <color rgb="FF006096"/>
        <rFont val="Roboto Condensed"/>
      </rPr>
      <t xml:space="preserve">
</t>
    </r>
  </si>
  <si>
    <r>
      <rPr>
        <sz val="11"/>
        <color rgb="FF000000"/>
        <rFont val="Calibri"/>
      </rPr>
      <t>Enables SNMP traps receivers where traps to be sent to.</t>
    </r>
  </si>
  <si>
    <r>
      <rPr>
        <sz val="11"/>
        <color rgb="FF000000"/>
        <rFont val="Calibri"/>
      </rPr>
      <t>Run the following command to check whether the SNMP traps receivers are configured:</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snmp traps receivers</t>
    </r>
    <r>
      <rPr>
        <sz val="11"/>
        <color rgb="FF006096"/>
        <rFont val="Roboto Condensed"/>
      </rPr>
      <t xml:space="preserve">
</t>
    </r>
    <r>
      <rPr>
        <sz val="11"/>
        <color rgb="FF006096"/>
        <rFont val="Roboto Condensed"/>
      </rPr>
      <t>Trap Reciever 10.7.26.5</t>
    </r>
    <r>
      <rPr>
        <sz val="11"/>
        <color rgb="FF006096"/>
        <rFont val="Roboto Condensed"/>
      </rPr>
      <t xml:space="preserve">
</t>
    </r>
    <r>
      <rPr>
        <sz val="11"/>
        <color rgb="FF006096"/>
        <rFont val="Roboto Condensed"/>
      </rPr>
      <t>Version v3</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SNMP  &gt;  Trap Receivers Settings</t>
    </r>
    <r>
      <rPr>
        <sz val="11"/>
        <color rgb="FF006096"/>
        <rFont val="Roboto Condensed"/>
      </rPr>
      <t xml:space="preserve">
</t>
    </r>
    <r>
      <rPr>
        <sz val="11"/>
        <color rgb="FF006096"/>
        <rFont val="Roboto Condensed"/>
      </rPr>
      <t>Verify Trap Receiver is configured.</t>
    </r>
    <r>
      <rPr>
        <sz val="11"/>
        <color rgb="FF006096"/>
        <rFont val="Roboto Condensed"/>
      </rPr>
      <t xml:space="preserve">
</t>
    </r>
  </si>
  <si>
    <t>NTP</t>
  </si>
  <si>
    <t>2.3.1</t>
  </si>
  <si>
    <r>
      <rPr>
        <sz val="11"/>
        <rFont val="Calibri"/>
      </rPr>
      <t>Ensure NTP is enabled and IP address is set for Primary and Secondary NTP server</t>
    </r>
  </si>
  <si>
    <r>
      <rPr>
        <sz val="11"/>
        <color rgb="FF000000"/>
        <rFont val="Calibri"/>
      </rPr>
      <t>Run the following command to enable the NTP and configure the Primary &amp; Secondary NTP server.</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set ntp active on</t>
    </r>
    <r>
      <rPr>
        <sz val="11"/>
        <color rgb="FF006096"/>
        <rFont val="Roboto Condensed"/>
      </rPr>
      <t xml:space="preserve">
</t>
    </r>
    <r>
      <rPr>
        <sz val="11"/>
        <color rgb="FF006096"/>
        <rFont val="Roboto Condensed"/>
      </rPr>
      <t>Hostname&gt; set ntp server primary ntpserver.time.com version 3</t>
    </r>
    <r>
      <rPr>
        <sz val="11"/>
        <color rgb="FF006096"/>
        <rFont val="Roboto Condensed"/>
      </rPr>
      <t xml:space="preserve">
</t>
    </r>
    <r>
      <rPr>
        <sz val="11"/>
        <color rgb="FF006096"/>
        <rFont val="Roboto Condensed"/>
      </rPr>
      <t>Hostname&gt; set ntp server primary 10.22.13.33 version 3</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System Management &gt; Time &gt; Set Time and Date &gt; Checked Set Time and Date automatically using Network Time Protocol (NTP) and configured the Primary NTP Server and Secondary NTP server</t>
    </r>
    <r>
      <rPr>
        <sz val="11"/>
        <color rgb="FF006096"/>
        <rFont val="Roboto Condensed"/>
      </rPr>
      <t xml:space="preserve">
</t>
    </r>
  </si>
  <si>
    <r>
      <rPr>
        <sz val="11"/>
        <color rgb="FF000000"/>
        <rFont val="Calibri"/>
      </rPr>
      <t>These settings enable the use of primary and secondary NTP servers to provide redundancy in case of a failure involving the primary NTP server.</t>
    </r>
  </si>
  <si>
    <r>
      <rPr>
        <sz val="11"/>
        <color rgb="FF000000"/>
        <rFont val="Calibri"/>
      </rPr>
      <t>Run the following command to check the status of NTP.</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ntp active</t>
    </r>
    <r>
      <rPr>
        <sz val="11"/>
        <color rgb="FF006096"/>
        <rFont val="Roboto Condensed"/>
      </rPr>
      <t xml:space="preserve">
</t>
    </r>
    <r>
      <rPr>
        <sz val="11"/>
        <color rgb="FF006096"/>
        <rFont val="Roboto Condensed"/>
      </rPr>
      <t>Yes</t>
    </r>
    <r>
      <rPr>
        <sz val="11"/>
        <color rgb="FF006096"/>
        <rFont val="Roboto Condensed"/>
      </rPr>
      <t xml:space="preserve">
</t>
    </r>
    <r>
      <rPr>
        <sz val="11"/>
        <color rgb="FF000000"/>
        <rFont val="Calibri"/>
      </rPr>
      <t xml:space="preserve">
</t>
    </r>
    <r>
      <rPr>
        <sz val="11"/>
        <color rgb="FF000000"/>
        <rFont val="Calibri"/>
      </rPr>
      <t>Run the following command to verify the IP address is configured for Primary and Secondary NTP server.</t>
    </r>
    <r>
      <rPr>
        <sz val="11"/>
        <color rgb="FF000000"/>
        <rFont val="Calibri"/>
      </rPr>
      <t xml:space="preserve">
</t>
    </r>
    <r>
      <rPr>
        <sz val="11"/>
        <color rgb="FF006096"/>
        <rFont val="Roboto Condensed"/>
      </rPr>
      <t>Hostname&gt; show ntp servers</t>
    </r>
    <r>
      <rPr>
        <sz val="11"/>
        <color rgb="FF006096"/>
        <rFont val="Roboto Condensed"/>
      </rPr>
      <t xml:space="preserve">
</t>
    </r>
    <r>
      <rPr>
        <sz val="11"/>
        <color rgb="FF006096"/>
        <rFont val="Roboto Condensed"/>
      </rPr>
      <t>IP Address               Type              Version</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10.10.22.124             Primary           3</t>
    </r>
    <r>
      <rPr>
        <sz val="11"/>
        <color rgb="FF006096"/>
        <rFont val="Roboto Condensed"/>
      </rPr>
      <t xml:space="preserve">
</t>
    </r>
    <r>
      <rPr>
        <sz val="11"/>
        <color rgb="FF006096"/>
        <rFont val="Roboto Condensed"/>
      </rPr>
      <t>192.169.1.238            Secondary         3</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Time  &gt;  Set Time and Date</t>
    </r>
    <r>
      <rPr>
        <sz val="11"/>
        <color rgb="FF006096"/>
        <rFont val="Roboto Condensed"/>
      </rPr>
      <t xml:space="preserve">
</t>
    </r>
    <r>
      <rPr>
        <sz val="11"/>
        <color rgb="FF000000"/>
        <rFont val="Calibri"/>
      </rPr>
      <t xml:space="preserve">
</t>
    </r>
    <r>
      <rPr>
        <sz val="11"/>
        <color rgb="FF000000"/>
        <rFont val="Calibri"/>
      </rPr>
      <t>Verify Set Time and Date automatically using Network Time Protocol (NTP) option is checked and Primary NTP server and secondary NTP server address is configured.</t>
    </r>
  </si>
  <si>
    <r>
      <rPr>
        <sz val="11"/>
        <color rgb="FF000000"/>
        <rFont val="Calibri"/>
      </rPr>
      <t>No</t>
    </r>
  </si>
  <si>
    <t>2.3.2</t>
  </si>
  <si>
    <r>
      <rPr>
        <sz val="11"/>
        <rFont val="Calibri"/>
      </rPr>
      <t>Ensure timezone is properly configured</t>
    </r>
  </si>
  <si>
    <r>
      <rPr>
        <sz val="11"/>
        <color rgb="FF000000"/>
        <rFont val="Calibri"/>
      </rPr>
      <t>Run the following command to Configure the Timezone used by the enterprise (GMT, UTC, EDT, PST).</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set timezone Asia / Kolkata</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System Management &gt; Time &gt; Set Time Zone &gt; Time Zone</t>
    </r>
    <r>
      <rPr>
        <sz val="11"/>
        <color rgb="FF006096"/>
        <rFont val="Roboto Condensed"/>
      </rPr>
      <t xml:space="preserve">
</t>
    </r>
  </si>
  <si>
    <r>
      <rPr>
        <sz val="11"/>
        <color rgb="FF000000"/>
        <rFont val="Calibri"/>
      </rPr>
      <t>Sets the local time zone information so that the time displayed by the device is more relevant to those who are viewing it.</t>
    </r>
  </si>
  <si>
    <r>
      <rPr>
        <sz val="11"/>
        <color rgb="FF000000"/>
        <rFont val="Calibri"/>
      </rPr>
      <t>Run the following command to verify the Timezone.</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timezone</t>
    </r>
    <r>
      <rPr>
        <sz val="11"/>
        <color rgb="FF006096"/>
        <rFont val="Roboto Condensed"/>
      </rPr>
      <t xml:space="preserve">
</t>
    </r>
    <r>
      <rPr>
        <sz val="11"/>
        <color rgb="FF006096"/>
        <rFont val="Roboto Condensed"/>
      </rPr>
      <t>Time Zone: Asia/Kolkata (GMT +05:30)</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Time  &gt;  Set Timezone</t>
    </r>
    <r>
      <rPr>
        <sz val="11"/>
        <color rgb="FF006096"/>
        <rFont val="Roboto Condensed"/>
      </rPr>
      <t xml:space="preserve">
</t>
    </r>
  </si>
  <si>
    <r>
      <rPr>
        <sz val="11"/>
        <color rgb="FF000000"/>
        <rFont val="Calibri"/>
      </rPr>
      <t>Time Zone: America/New_York (GMT -05:00)</t>
    </r>
  </si>
  <si>
    <t>Backup</t>
  </si>
  <si>
    <t>2.4.1</t>
  </si>
  <si>
    <r>
      <rPr>
        <sz val="11"/>
        <rFont val="Calibri"/>
      </rPr>
      <t xml:space="preserve">Ensure </t>
    </r>
    <r>
      <rPr>
        <sz val="11"/>
        <color rgb="FF000000"/>
        <rFont val="Calibri"/>
      </rPr>
      <t>'</t>
    </r>
    <r>
      <rPr>
        <b/>
        <sz val="11"/>
        <color rgb="FF000000"/>
        <rFont val="Calibri"/>
      </rPr>
      <t>System Backup</t>
    </r>
    <r>
      <rPr>
        <sz val="11"/>
        <color rgb="FF000000"/>
        <rFont val="Calibri"/>
      </rPr>
      <t>'</t>
    </r>
    <r>
      <rPr>
        <sz val="11"/>
        <color rgb="FF000000"/>
        <rFont val="Calibri"/>
      </rPr>
      <t xml:space="preserve"> is set.</t>
    </r>
  </si>
  <si>
    <r>
      <rPr>
        <sz val="11"/>
        <color rgb="FF000000"/>
        <rFont val="Calibri"/>
      </rPr>
      <t>Run the following command to Configure the backup.</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To take the backup local on the device.</t>
    </r>
    <r>
      <rPr>
        <sz val="11"/>
        <color rgb="FF006096"/>
        <rFont val="Roboto Condensed"/>
      </rPr>
      <t xml:space="preserve">
</t>
    </r>
    <r>
      <rPr>
        <sz val="11"/>
        <color rgb="FF006096"/>
        <rFont val="Roboto Condensed"/>
      </rPr>
      <t>Hostname&gt; add backup local</t>
    </r>
    <r>
      <rPr>
        <sz val="11"/>
        <color rgb="FF006096"/>
        <rFont val="Roboto Condensed"/>
      </rPr>
      <t xml:space="preserve">
</t>
    </r>
    <r>
      <rPr>
        <sz val="11"/>
        <color rgb="FF006096"/>
        <rFont val="Roboto Condensed"/>
      </rPr>
      <t>To take the backup of FTP or SCP server.</t>
    </r>
    <r>
      <rPr>
        <sz val="11"/>
        <color rgb="FF006096"/>
        <rFont val="Roboto Condensed"/>
      </rPr>
      <t xml:space="preserve">
</t>
    </r>
    <r>
      <rPr>
        <sz val="11"/>
        <color rgb="FF006096"/>
        <rFont val="Roboto Condensed"/>
      </rPr>
      <t>Hostnme&gt;add backup [ftp|scp] ip [IP Address] path [Path to store backup] username [Username] password [Password]</t>
    </r>
    <r>
      <rPr>
        <sz val="11"/>
        <color rgb="FF006096"/>
        <rFont val="Roboto Condensed"/>
      </rPr>
      <t xml:space="preserve">
</t>
    </r>
    <r>
      <rPr>
        <sz val="11"/>
        <color rgb="FF006096"/>
        <rFont val="Roboto Condensed"/>
      </rPr>
      <t>To take the backup on tftp server.</t>
    </r>
    <r>
      <rPr>
        <sz val="11"/>
        <color rgb="FF006096"/>
        <rFont val="Roboto Condensed"/>
      </rPr>
      <t xml:space="preserve">
</t>
    </r>
    <r>
      <rPr>
        <sz val="11"/>
        <color rgb="FF006096"/>
        <rFont val="Roboto Condensed"/>
      </rPr>
      <t>Hostame&gt;add backup tftp [IP address of tftp server]</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Maintenance &gt; System Backup  &gt;  Backup &gt; Select (This appliance | SCP Server | FTP Server | TFTP Server)</t>
    </r>
    <r>
      <rPr>
        <sz val="11"/>
        <color rgb="FF006096"/>
        <rFont val="Roboto Condensed"/>
      </rPr>
      <t xml:space="preserve">
</t>
    </r>
  </si>
  <si>
    <r>
      <rPr>
        <sz val="11"/>
        <color rgb="FF000000"/>
        <rFont val="Calibri"/>
      </rPr>
      <t>List last-successful backup which is taken either locally or on a remote server. The backup can be taken locally on the device and also on a remote server via FTP, tftp or scp. The backup which is taken last is marked with (latest) in backup type.</t>
    </r>
  </si>
  <si>
    <r>
      <rPr>
        <sz val="11"/>
        <color rgb="FF000000"/>
        <rFont val="Calibri"/>
      </rPr>
      <t>Run the following command to verify the last successful backup.</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 xml:space="preserve">Hostname&gt;show backup last-successful </t>
    </r>
    <r>
      <rPr>
        <sz val="11"/>
        <color rgb="FF006096"/>
        <rFont val="Roboto Condensed"/>
      </rPr>
      <t xml:space="preserve">
</t>
    </r>
    <r>
      <rPr>
        <sz val="11"/>
        <color rgb="FF006096"/>
        <rFont val="Roboto Condensed"/>
      </rPr>
      <t>Backup Type: local ( latest )</t>
    </r>
    <r>
      <rPr>
        <sz val="11"/>
        <color rgb="FF006096"/>
        <rFont val="Roboto Condensed"/>
      </rPr>
      <t xml:space="preserve">
</t>
    </r>
    <r>
      <rPr>
        <sz val="11"/>
        <color rgb="FF006096"/>
        <rFont val="Roboto Condensed"/>
      </rPr>
      <t>Backup file location: /var/log/CPbackup/backups/backup_gw-Checkpoint_28_Dec_2015_15_46.tgz</t>
    </r>
    <r>
      <rPr>
        <sz val="11"/>
        <color rgb="FF006096"/>
        <rFont val="Roboto Condensed"/>
      </rPr>
      <t xml:space="preserve">
</t>
    </r>
    <r>
      <rPr>
        <sz val="11"/>
        <color rgb="FF006096"/>
        <rFont val="Roboto Condensed"/>
      </rPr>
      <t>Backup process finished in 00:19 seconds</t>
    </r>
    <r>
      <rPr>
        <sz val="11"/>
        <color rgb="FF006096"/>
        <rFont val="Roboto Condensed"/>
      </rPr>
      <t xml:space="preserve">
</t>
    </r>
    <r>
      <rPr>
        <sz val="11"/>
        <color rgb="FF006096"/>
        <rFont val="Roboto Condensed"/>
      </rPr>
      <t>Backup Date: 28-Dec-2015 15:46:43</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Maintenance &gt; System Backup</t>
    </r>
    <r>
      <rPr>
        <sz val="11"/>
        <color rgb="FF006096"/>
        <rFont val="Roboto Condensed"/>
      </rPr>
      <t xml:space="preserve">
</t>
    </r>
  </si>
  <si>
    <t>2.4.2</t>
  </si>
  <si>
    <r>
      <rPr>
        <sz val="11"/>
        <rFont val="Calibri"/>
      </rPr>
      <t xml:space="preserve">Ensure </t>
    </r>
    <r>
      <rPr>
        <sz val="11"/>
        <color rgb="FF000000"/>
        <rFont val="Calibri"/>
      </rPr>
      <t>'</t>
    </r>
    <r>
      <rPr>
        <b/>
        <sz val="11"/>
        <color rgb="FF000000"/>
        <rFont val="Calibri"/>
      </rPr>
      <t>Snapshot</t>
    </r>
    <r>
      <rPr>
        <sz val="11"/>
        <color rgb="FF000000"/>
        <rFont val="Calibri"/>
      </rPr>
      <t>'</t>
    </r>
    <r>
      <rPr>
        <sz val="11"/>
        <color rgb="FF000000"/>
        <rFont val="Calibri"/>
      </rPr>
      <t xml:space="preserve"> is set</t>
    </r>
  </si>
  <si>
    <r>
      <rPr>
        <sz val="11"/>
        <color rgb="FF000000"/>
        <rFont val="Calibri"/>
      </rPr>
      <t>Run the following command to take the snapshot.</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To take the snapshot run the following command on the device.</t>
    </r>
    <r>
      <rPr>
        <sz val="11"/>
        <color rgb="FF006096"/>
        <rFont val="Roboto Condensed"/>
      </rPr>
      <t xml:space="preserve">
</t>
    </r>
    <r>
      <rPr>
        <sz val="11"/>
        <color rgb="FF006096"/>
        <rFont val="Roboto Condensed"/>
      </rPr>
      <t>Hostname&gt; add snapshot [snapshot_name]</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Maintenance &gt; Snapshot Management &gt; New</t>
    </r>
    <r>
      <rPr>
        <sz val="11"/>
        <color rgb="FF006096"/>
        <rFont val="Roboto Condensed"/>
      </rPr>
      <t xml:space="preserve">
</t>
    </r>
    <r>
      <rPr>
        <sz val="11"/>
        <color rgb="FF006096"/>
        <rFont val="Roboto Condensed"/>
      </rPr>
      <t>Provide the Name and description for the snapshot</t>
    </r>
    <r>
      <rPr>
        <sz val="11"/>
        <color rgb="FF006096"/>
        <rFont val="Roboto Condensed"/>
      </rPr>
      <t xml:space="preserve">
</t>
    </r>
  </si>
  <si>
    <r>
      <rPr>
        <sz val="11"/>
        <color rgb="FF000000"/>
        <rFont val="Calibri"/>
      </rPr>
      <t>An image of the system partition creates when takes the snapshots, includes all the configuration settings, Operating System and Checkpoint files. The locally stored firewall logs are not stored in the snapshots, as log partition is not included in the Snapshots. Snapshots can be restored on the same hardware on which it takes or on the same configuration hardware.</t>
    </r>
  </si>
  <si>
    <r>
      <rPr>
        <sz val="11"/>
        <color rgb="FF000000"/>
        <rFont val="Calibri"/>
      </rPr>
      <t>Run the following command to verify the list of snapshots taken on the system,</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Hostname&gt;show snapshots</t>
    </r>
    <r>
      <rPr>
        <sz val="11"/>
        <color rgb="FF006096"/>
        <rFont val="Roboto Condensed"/>
      </rPr>
      <t xml:space="preserve">
</t>
    </r>
    <r>
      <rPr>
        <sz val="11"/>
        <color rgb="FF006096"/>
        <rFont val="Roboto Condensed"/>
      </rPr>
      <t>Restore points: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monthlysnapshot</t>
    </r>
    <r>
      <rPr>
        <sz val="11"/>
        <color rgb="FF006096"/>
        <rFont val="Roboto Condensed"/>
      </rPr>
      <t xml:space="preserve">
</t>
    </r>
    <r>
      <rPr>
        <sz val="11"/>
        <color rgb="FF006096"/>
        <rFont val="Roboto Condensed"/>
      </rPr>
      <t>Creation of an additional restore point will need 6.272G</t>
    </r>
    <r>
      <rPr>
        <sz val="11"/>
        <color rgb="FF006096"/>
        <rFont val="Roboto Condensed"/>
      </rPr>
      <t xml:space="preserve">
</t>
    </r>
    <r>
      <rPr>
        <sz val="11"/>
        <color rgb="FF006096"/>
        <rFont val="Roboto Condensed"/>
      </rPr>
      <t>Amount of space available for restore points is 7.34G</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Maintenance &gt; Snapshot Management</t>
    </r>
    <r>
      <rPr>
        <sz val="11"/>
        <color rgb="FF006096"/>
        <rFont val="Roboto Condensed"/>
      </rPr>
      <t xml:space="preserve">
</t>
    </r>
  </si>
  <si>
    <t>2.4.3</t>
  </si>
  <si>
    <r>
      <rPr>
        <sz val="11"/>
        <rFont val="Calibri"/>
      </rPr>
      <t>Configuring Scheduled Backups</t>
    </r>
  </si>
  <si>
    <t>Manual</t>
  </si>
  <si>
    <r>
      <rPr>
        <sz val="11"/>
        <color rgb="FF000000"/>
        <rFont val="Calibri"/>
      </rPr>
      <t>GUI:</t>
    </r>
    <r>
      <rPr>
        <sz val="11"/>
        <color rgb="FF000000"/>
        <rFont val="Calibri"/>
      </rPr>
      <t xml:space="preserve">
</t>
    </r>
    <r>
      <rPr>
        <sz val="11"/>
        <color rgb="FF006096"/>
        <rFont val="Roboto Condensed"/>
      </rPr>
      <t>Navigate to Maintenance &gt; System Backup &gt; Scheduled Backup &gt; Add Scheduled Backup</t>
    </r>
    <r>
      <rPr>
        <sz val="11"/>
        <color rgb="FF006096"/>
        <rFont val="Roboto Condensed"/>
      </rPr>
      <t xml:space="preserve">
</t>
    </r>
    <r>
      <rPr>
        <sz val="11"/>
        <color rgb="FF006096"/>
        <rFont val="Roboto Condensed"/>
      </rPr>
      <t>Provide the Backup Type and Backup Schedule as per organization's policy.</t>
    </r>
    <r>
      <rPr>
        <sz val="11"/>
        <color rgb="FF006096"/>
        <rFont val="Roboto Condensed"/>
      </rPr>
      <t xml:space="preserve">
</t>
    </r>
  </si>
  <si>
    <r>
      <rPr>
        <sz val="11"/>
        <color rgb="FF000000"/>
        <rFont val="Calibri"/>
      </rPr>
      <t>The backup can be scheduled to take daily, weekly or monthly. The backup can be taken locally on the device and also on a remote server via FTP, tftp or scp. The backup which is taken last is marked with (latest) in backup type.</t>
    </r>
  </si>
  <si>
    <r>
      <rPr>
        <sz val="11"/>
        <color rgb="FF000000"/>
        <rFont val="Calibri"/>
      </rPr>
      <t>GUI:</t>
    </r>
    <r>
      <rPr>
        <sz val="11"/>
        <color rgb="FF000000"/>
        <rFont val="Calibri"/>
      </rPr>
      <t xml:space="preserve">
</t>
    </r>
    <r>
      <rPr>
        <sz val="11"/>
        <color rgb="FF006096"/>
        <rFont val="Roboto Condensed"/>
      </rPr>
      <t>Navigate to Maintenance &gt; System Backup &gt; Scheduled Backup</t>
    </r>
    <r>
      <rPr>
        <sz val="11"/>
        <color rgb="FF006096"/>
        <rFont val="Roboto Condensed"/>
      </rPr>
      <t xml:space="preserve">
</t>
    </r>
  </si>
  <si>
    <t>Authentication Settings</t>
  </si>
  <si>
    <t>2.5.1</t>
  </si>
  <si>
    <r>
      <rPr>
        <sz val="11"/>
        <rFont val="Calibri"/>
      </rPr>
      <t>Ensure CLI session timeout is set to less than or equal to 10 minutes</t>
    </r>
  </si>
  <si>
    <r>
      <rPr>
        <sz val="11"/>
        <color rgb="FF000000"/>
        <rFont val="Calibri"/>
      </rPr>
      <t>Run the following command to Configure the Inactivity Timeout for Command Line.</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set inactivity-timeout 10</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Session &gt; Command Line Shell  &gt;  Inactivity Timeout - Set to 10 or less</t>
    </r>
    <r>
      <rPr>
        <sz val="11"/>
        <color rgb="FF006096"/>
        <rFont val="Roboto Condensed"/>
      </rPr>
      <t xml:space="preserve">
</t>
    </r>
  </si>
  <si>
    <r>
      <rPr>
        <sz val="11"/>
        <color rgb="FF000000"/>
        <rFont val="Calibri"/>
      </rPr>
      <t>Set the CLI Session Timeout value for device management to 10 minutes or less to automatically close inactive sessions.</t>
    </r>
  </si>
  <si>
    <r>
      <rPr>
        <sz val="11"/>
        <color rgb="FF000000"/>
        <rFont val="Calibri"/>
      </rPr>
      <t>Run the following command to check Inactivity Timeout for Command Line is set to 10 or less.</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Hostname&gt;show inactivity-timeout</t>
    </r>
    <r>
      <rPr>
        <sz val="11"/>
        <color rgb="FF006096"/>
        <rFont val="Roboto Condensed"/>
      </rPr>
      <t xml:space="preserve">
</t>
    </r>
    <r>
      <rPr>
        <sz val="11"/>
        <color rgb="FF006096"/>
        <rFont val="Roboto Condensed"/>
      </rPr>
      <t>10</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Session &gt; Command Line Shell  &gt;  Inactivity Timeout - Set to 10 or less</t>
    </r>
    <r>
      <rPr>
        <sz val="11"/>
        <color rgb="FF006096"/>
        <rFont val="Roboto Condensed"/>
      </rPr>
      <t xml:space="preserve">
</t>
    </r>
  </si>
  <si>
    <t>2.5.2</t>
  </si>
  <si>
    <r>
      <rPr>
        <sz val="11"/>
        <rFont val="Calibri"/>
      </rPr>
      <t>Ensure Web session timeout is set to less than or equal to 10 minutes</t>
    </r>
  </si>
  <si>
    <r>
      <rPr>
        <sz val="11"/>
        <color rgb="FF000000"/>
        <rFont val="Calibri"/>
      </rPr>
      <t>Run the following command to Configure the Inactivity Timeout for Web UI.</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set web session-timeout 10</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Session &gt; Web UI  &gt;  Inactivity Timeout - Set to 10 or less</t>
    </r>
    <r>
      <rPr>
        <sz val="11"/>
        <color rgb="FF006096"/>
        <rFont val="Roboto Condensed"/>
      </rPr>
      <t xml:space="preserve">
</t>
    </r>
  </si>
  <si>
    <r>
      <rPr>
        <sz val="11"/>
        <color rgb="FF000000"/>
        <rFont val="Calibri"/>
      </rPr>
      <t>Set the WebUI Session Timeout value for device management to 10 minutes or less to automatically close inactive sessions.</t>
    </r>
  </si>
  <si>
    <r>
      <rPr>
        <sz val="11"/>
        <color rgb="FF000000"/>
        <rFont val="Calibri"/>
      </rPr>
      <t>Run the following command to check Inactivity Timeout for Web UI is set to 10 or less.</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web session-timeout</t>
    </r>
    <r>
      <rPr>
        <sz val="11"/>
        <color rgb="FF006096"/>
        <rFont val="Roboto Condensed"/>
      </rPr>
      <t xml:space="preserve">
</t>
    </r>
    <r>
      <rPr>
        <sz val="11"/>
        <color rgb="FF006096"/>
        <rFont val="Roboto Condensed"/>
      </rPr>
      <t>WebSessionTimeout 10</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Session &gt; Web UI  &gt;  Inactivity Timeout - Set to 10 or less</t>
    </r>
    <r>
      <rPr>
        <sz val="11"/>
        <color rgb="FF006096"/>
        <rFont val="Roboto Condensed"/>
      </rPr>
      <t xml:space="preserve">
</t>
    </r>
  </si>
  <si>
    <t>2.5.3</t>
  </si>
  <si>
    <r>
      <rPr>
        <sz val="11"/>
        <rFont val="Calibri"/>
      </rPr>
      <t>Ensure Client Authentication is secured.</t>
    </r>
  </si>
  <si>
    <r>
      <rPr>
        <sz val="11"/>
        <color rgb="FF000000"/>
        <rFont val="Calibri"/>
      </rPr>
      <t>Comment out or remove the following line from $FWDIR/conf/fwauthd.conf file, or disable the telnet service listening on port 259 by default, write a rule that prevents connections to the daemon in the rulebase.</t>
    </r>
    <r>
      <rPr>
        <sz val="11"/>
        <color rgb="FF000000"/>
        <rFont val="Calibri"/>
      </rPr>
      <t xml:space="preserve">
</t>
    </r>
    <r>
      <rPr>
        <sz val="11"/>
        <color rgb="FF006096"/>
        <rFont val="Roboto Condensed"/>
      </rPr>
      <t>#259    fwssd       in.aclientd     wait    259</t>
    </r>
    <r>
      <rPr>
        <sz val="11"/>
        <color rgb="FF006096"/>
        <rFont val="Roboto Condensed"/>
      </rPr>
      <t xml:space="preserve">
</t>
    </r>
    <r>
      <rPr>
        <sz val="11"/>
        <color rgb="FF000000"/>
        <rFont val="Calibri"/>
      </rPr>
      <t xml:space="preserve">
</t>
    </r>
    <r>
      <rPr>
        <sz val="11"/>
        <color rgb="FF000000"/>
        <rFont val="Calibri"/>
      </rPr>
      <t>Edit the following line to include SSL setting in $FWDIR/conf/fwauthd.conf file.</t>
    </r>
    <r>
      <rPr>
        <sz val="11"/>
        <color rgb="FF000000"/>
        <rFont val="Calibri"/>
      </rPr>
      <t xml:space="preserve">
</t>
    </r>
    <r>
      <rPr>
        <sz val="11"/>
        <color rgb="FF006096"/>
        <rFont val="Roboto Condensed"/>
      </rPr>
      <t>900     fwssd       in.ahclientd    wait    900 ssl:defaultCert</t>
    </r>
    <r>
      <rPr>
        <sz val="11"/>
        <color rgb="FF006096"/>
        <rFont val="Roboto Condensed"/>
      </rPr>
      <t xml:space="preserve">
</t>
    </r>
  </si>
  <si>
    <r>
      <rPr>
        <sz val="11"/>
        <color rgb="FF000000"/>
        <rFont val="Calibri"/>
      </rPr>
      <t>Client Authentication allows a user and device to authenticate to the firewall and inherit pre-configured firewall rules for a set amount of time. By default, these connections are unencrypted yet can travel over unsecured networks. It is recommended that all Client Authentication connections be made using the HTTPS configuration. This both uniquely identifies the gateway and keeps the authentication credentials from being copied when going over the network.</t>
    </r>
  </si>
  <si>
    <r>
      <rPr>
        <sz val="11"/>
        <color rgb="FF000000"/>
        <rFont val="Calibri"/>
      </rPr>
      <t>Verify telnet is disabled for Client Authentication.</t>
    </r>
    <r>
      <rPr>
        <sz val="11"/>
        <color rgb="FF000000"/>
        <rFont val="Calibri"/>
      </rPr>
      <t xml:space="preserve">
</t>
    </r>
    <r>
      <rPr>
        <sz val="11"/>
        <color rgb="FF006096"/>
        <rFont val="Roboto Condensed"/>
      </rPr>
      <t>Verify following lines are commented out or not present in $FWDIR/conf/fwauthd.conf file.</t>
    </r>
    <r>
      <rPr>
        <sz val="11"/>
        <color rgb="FF006096"/>
        <rFont val="Roboto Condensed"/>
      </rPr>
      <t xml:space="preserve">
</t>
    </r>
    <r>
      <rPr>
        <sz val="11"/>
        <color rgb="FF006096"/>
        <rFont val="Roboto Condensed"/>
      </rPr>
      <t xml:space="preserve">259    fwssd       in.aclientd     wait    259 </t>
    </r>
    <r>
      <rPr>
        <sz val="11"/>
        <color rgb="FF006096"/>
        <rFont val="Roboto Condensed"/>
      </rPr>
      <t xml:space="preserve">
</t>
    </r>
    <r>
      <rPr>
        <sz val="11"/>
        <color rgb="FF000000"/>
        <rFont val="Calibri"/>
      </rPr>
      <t xml:space="preserve">
</t>
    </r>
    <r>
      <rPr>
        <sz val="11"/>
        <color rgb="FF000000"/>
        <rFont val="Calibri"/>
      </rPr>
      <t>Verify Secure HTTP is used for Client Authentication.</t>
    </r>
    <r>
      <rPr>
        <sz val="11"/>
        <color rgb="FF000000"/>
        <rFont val="Calibri"/>
      </rPr>
      <t xml:space="preserve">
</t>
    </r>
    <r>
      <rPr>
        <sz val="11"/>
        <color rgb="FF006096"/>
        <rFont val="Roboto Condensed"/>
      </rPr>
      <t>Verify following lines have SSL setting enabled in $FWDIR/conf/fwauthd.conf.</t>
    </r>
    <r>
      <rPr>
        <sz val="11"/>
        <color rgb="FF006096"/>
        <rFont val="Roboto Condensed"/>
      </rPr>
      <t xml:space="preserve">
</t>
    </r>
    <r>
      <rPr>
        <sz val="11"/>
        <color rgb="FF006096"/>
        <rFont val="Roboto Condensed"/>
      </rPr>
      <t>900     fwssd       in.ahclientd    wait    900 ssl:defaultCert</t>
    </r>
    <r>
      <rPr>
        <sz val="11"/>
        <color rgb="FF006096"/>
        <rFont val="Roboto Condensed"/>
      </rPr>
      <t xml:space="preserve">
</t>
    </r>
  </si>
  <si>
    <r>
      <rPr>
        <sz val="11"/>
        <color rgb="FF000000"/>
        <rFont val="Calibri"/>
      </rPr>
      <t>259    fwssd       in.aclientd     wait    259900     fwssd       in.ahclientd    wait    900</t>
    </r>
  </si>
  <si>
    <t>2.5.4</t>
  </si>
  <si>
    <r>
      <rPr>
        <sz val="11"/>
        <rFont val="Calibri"/>
      </rPr>
      <t>Ensure Radius or TACACS+ server is configured</t>
    </r>
  </si>
  <si>
    <r>
      <rPr>
        <sz val="11"/>
        <color rgb="FF000000"/>
        <rFont val="Calibri"/>
      </rPr>
      <t>run the following command to enable and add TACACS+ servers.</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set aaa tacacs-servers state on</t>
    </r>
    <r>
      <rPr>
        <sz val="11"/>
        <color rgb="FF006096"/>
        <rFont val="Roboto Condensed"/>
      </rPr>
      <t xml:space="preserve">
</t>
    </r>
    <r>
      <rPr>
        <sz val="11"/>
        <color rgb="FF006096"/>
        <rFont val="Roboto Condensed"/>
      </rPr>
      <t>Hostname&gt; add aaa tacacs-servers priority &lt;priority_value&gt; server &lt;IP_Address&gt; key &lt;Key&gt; timeout &lt;timeout_value&gt;</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Authentication Servers &gt; TACACS+ configuration &gt; Ensuere Enable TACACS+ authentication is checked</t>
    </r>
    <r>
      <rPr>
        <sz val="11"/>
        <color rgb="FF006096"/>
        <rFont val="Roboto Condensed"/>
      </rPr>
      <t xml:space="preserve">
</t>
    </r>
    <r>
      <rPr>
        <sz val="11"/>
        <color rgb="FF006096"/>
        <rFont val="Roboto Condensed"/>
      </rPr>
      <t>Navigate to User Management &gt; Authentication Servers &gt; TACACS+ configuration &gt; Enable TACACS+ Servers &gt; Add Provide &lt;Server_IP_Address&gt;, &lt;Priority&gt; and &lt;Timeout&gt;.</t>
    </r>
    <r>
      <rPr>
        <sz val="11"/>
        <color rgb="FF006096"/>
        <rFont val="Roboto Condensed"/>
      </rPr>
      <t xml:space="preserve">
</t>
    </r>
    <r>
      <rPr>
        <sz val="11"/>
        <color rgb="FF000000"/>
        <rFont val="Calibri"/>
      </rPr>
      <t xml:space="preserve">
</t>
    </r>
    <r>
      <rPr>
        <sz val="11"/>
        <color rgb="FF000000"/>
        <rFont val="Calibri"/>
      </rPr>
      <t>Run the following command to enable and add Radius servers.</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Hostname&gt;add aaa radius-servers priority &lt;priority_value&gt; host &lt;IP_Address&gt; secret &lt;Key&gt;  port &lt;Port_number&gt; timeout &lt;timeout_value&gt;</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Authentication Servers &gt; Radius Servers &gt; Add</t>
    </r>
    <r>
      <rPr>
        <sz val="11"/>
        <color rgb="FF006096"/>
        <rFont val="Roboto Condensed"/>
      </rPr>
      <t xml:space="preserve">
</t>
    </r>
    <r>
      <rPr>
        <sz val="11"/>
        <color rgb="FF006096"/>
        <rFont val="Roboto Condensed"/>
      </rPr>
      <t>Provide &lt;Server_IP_Address&gt;, &lt;Priority&gt;, &lt;UDP_Port&gt; and &lt;Timeout&gt;.</t>
    </r>
    <r>
      <rPr>
        <sz val="11"/>
        <color rgb="FF006096"/>
        <rFont val="Roboto Condensed"/>
      </rPr>
      <t xml:space="preserve">
</t>
    </r>
  </si>
  <si>
    <r>
      <rPr>
        <sz val="11"/>
        <color rgb="FF000000"/>
        <rFont val="Calibri"/>
      </rPr>
      <t>Configured the TACACS-Servers or Radius server for central authentication.</t>
    </r>
  </si>
  <si>
    <r>
      <rPr>
        <sz val="11"/>
        <color rgb="FF000000"/>
        <rFont val="Calibri"/>
      </rPr>
      <t>Run the following command to check TACACS+ server status and TACACS+ servers list.</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aaa tacacs-servers state</t>
    </r>
    <r>
      <rPr>
        <sz val="11"/>
        <color rgb="FF006096"/>
        <rFont val="Roboto Condensed"/>
      </rPr>
      <t xml:space="preserve">
</t>
    </r>
    <r>
      <rPr>
        <sz val="11"/>
        <color rgb="FF006096"/>
        <rFont val="Roboto Condensed"/>
      </rPr>
      <t>Hostname&gt; show aaa tacacs-servers list</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Authentication Servers &gt; TACACS+ configuration &gt; Enable TACACS+ authentication</t>
    </r>
    <r>
      <rPr>
        <sz val="11"/>
        <color rgb="FF006096"/>
        <rFont val="Roboto Condensed"/>
      </rPr>
      <t xml:space="preserve">
</t>
    </r>
    <r>
      <rPr>
        <sz val="11"/>
        <color rgb="FF006096"/>
        <rFont val="Roboto Condensed"/>
      </rPr>
      <t>Navigate to User Management &gt; Authentication Servers &gt; TACACS+ configuration &gt; Enable TACACS+ Servers</t>
    </r>
    <r>
      <rPr>
        <sz val="11"/>
        <color rgb="FF006096"/>
        <rFont val="Roboto Condensed"/>
      </rPr>
      <t xml:space="preserve">
</t>
    </r>
    <r>
      <rPr>
        <sz val="11"/>
        <color rgb="FF000000"/>
        <rFont val="Calibri"/>
      </rPr>
      <t xml:space="preserve">
</t>
    </r>
    <r>
      <rPr>
        <sz val="11"/>
        <color rgb="FF000000"/>
        <rFont val="Calibri"/>
      </rPr>
      <t>Run the following command to check radius servers list.</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aaa radius-servers list</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User Management &gt; Authentication Servers &gt; Radius Servers</t>
    </r>
    <r>
      <rPr>
        <sz val="11"/>
        <color rgb="FF006096"/>
        <rFont val="Roboto Condensed"/>
      </rPr>
      <t xml:space="preserve">
</t>
    </r>
  </si>
  <si>
    <t>2.5.5</t>
  </si>
  <si>
    <r>
      <rPr>
        <sz val="11"/>
        <rFont val="Calibri"/>
      </rPr>
      <t>Ensure allowed-client is set to those necessary for device management</t>
    </r>
  </si>
  <si>
    <t>Level 2</t>
  </si>
  <si>
    <r>
      <rPr>
        <sz val="11"/>
        <color rgb="FF000000"/>
        <rFont val="Calibri"/>
      </rPr>
      <t>Run the following command to remove the IP Address or Network from allowed-client list.</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delete allowed-client host (ipv4-address | ipv6-address) &lt;IP Address&gt;</t>
    </r>
    <r>
      <rPr>
        <sz val="11"/>
        <color rgb="FF006096"/>
        <rFont val="Roboto Condensed"/>
      </rPr>
      <t xml:space="preserve">
</t>
    </r>
    <r>
      <rPr>
        <sz val="11"/>
        <color rgb="FF006096"/>
        <rFont val="Roboto Condensed"/>
      </rPr>
      <t>Hostname&gt; delete allowed-client network (ipv4-address | ipv6-address) &lt;Network&gt;</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Navigate to System Management &gt; Host Access &gt; Allowed Hosts &gt; Select and Delete the not required IP address or Network</t>
    </r>
    <r>
      <rPr>
        <sz val="11"/>
        <color rgb="FF006096"/>
        <rFont val="Roboto Condensed"/>
      </rPr>
      <t xml:space="preserve">
</t>
    </r>
  </si>
  <si>
    <r>
      <rPr>
        <sz val="11"/>
        <color rgb="FF000000"/>
        <rFont val="Calibri"/>
      </rPr>
      <t>Permit only the necessary IP addresses to be used to manage the device.</t>
    </r>
  </si>
  <si>
    <r>
      <rPr>
        <sz val="11"/>
        <color rgb="FF000000"/>
        <rFont val="Calibri"/>
      </rPr>
      <t>Run the following command to verify the Device access restrictions. Verify IP Addresses in allowed-client is limited to those necessary for device management.</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allowed-client all</t>
    </r>
    <r>
      <rPr>
        <sz val="11"/>
        <color rgb="FF006096"/>
        <rFont val="Roboto Condensed"/>
      </rPr>
      <t xml:space="preserve">
</t>
    </r>
    <r>
      <rPr>
        <sz val="11"/>
        <color rgb="FF006096"/>
        <rFont val="Roboto Condensed"/>
      </rPr>
      <t>Type                  Address                                   Mask Length</t>
    </r>
    <r>
      <rPr>
        <sz val="11"/>
        <color rgb="FF006096"/>
        <rFont val="Roboto Condensed"/>
      </rPr>
      <t xml:space="preserve">
</t>
    </r>
    <r>
      <rPr>
        <sz val="11"/>
        <color rgb="FF006096"/>
        <rFont val="Roboto Condensed"/>
      </rPr>
      <t>Host                  Any</t>
    </r>
    <r>
      <rPr>
        <sz val="11"/>
        <color rgb="FF006096"/>
        <rFont val="Roboto Condensed"/>
      </rPr>
      <t xml:space="preserve">
</t>
    </r>
    <r>
      <rPr>
        <sz val="11"/>
        <color rgb="FF006096"/>
        <rFont val="Roboto Condensed"/>
      </rPr>
      <t>Host                  10.22.2.1</t>
    </r>
    <r>
      <rPr>
        <sz val="11"/>
        <color rgb="FF006096"/>
        <rFont val="Roboto Condensed"/>
      </rPr>
      <t xml:space="preserve">
</t>
    </r>
    <r>
      <rPr>
        <sz val="11"/>
        <color rgb="FF006096"/>
        <rFont val="Roboto Condensed"/>
      </rPr>
      <t>Network               172.16.31.0                               24</t>
    </r>
    <r>
      <rPr>
        <sz val="11"/>
        <color rgb="FF006096"/>
        <rFont val="Roboto Condensed"/>
      </rPr>
      <t xml:space="preserve">
</t>
    </r>
    <r>
      <rPr>
        <sz val="11"/>
        <color rgb="FF000000"/>
        <rFont val="Calibri"/>
      </rPr>
      <t xml:space="preserve">
</t>
    </r>
    <r>
      <rPr>
        <sz val="11"/>
        <color rgb="FF000000"/>
        <rFont val="Calibri"/>
      </rPr>
      <t>GUI:Navigate to System Management &gt; Host Access &gt; Allowed Hosts</t>
    </r>
  </si>
  <si>
    <r>
      <rPr>
        <sz val="11"/>
        <color rgb="FF000000"/>
        <rFont val="Calibri"/>
      </rPr>
      <t>Any</t>
    </r>
  </si>
  <si>
    <t>Logging</t>
  </si>
  <si>
    <t>2.6.1</t>
  </si>
  <si>
    <r>
      <rPr>
        <sz val="11"/>
        <rFont val="Calibri"/>
      </rPr>
      <t>Ensure mgmtauditlogs is set to on</t>
    </r>
  </si>
  <si>
    <r>
      <rPr>
        <sz val="11"/>
        <color rgb="FF000000"/>
        <rFont val="Calibri"/>
      </rPr>
      <t>Run the following command to enable the mgmtauditlogs.</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set syslog mgmtauditlogs on</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 xml:space="preserve">Navigate to System Management &gt; System Logging &gt; System Logging  </t>
    </r>
    <r>
      <rPr>
        <sz val="11"/>
        <color rgb="FF006096"/>
        <rFont val="Roboto Condensed"/>
      </rPr>
      <t xml:space="preserve">
</t>
    </r>
    <r>
      <rPr>
        <sz val="11"/>
        <color rgb="FF006096"/>
        <rFont val="Roboto Condensed"/>
      </rPr>
      <t>checked the Send audit logs to management server upon successful configuration</t>
    </r>
    <r>
      <rPr>
        <sz val="11"/>
        <color rgb="FF006096"/>
        <rFont val="Roboto Condensed"/>
      </rPr>
      <t xml:space="preserve">
</t>
    </r>
  </si>
  <si>
    <r>
      <rPr>
        <sz val="11"/>
        <color rgb="FF000000"/>
        <rFont val="Calibri"/>
      </rPr>
      <t>The mgmtauditlogs specifies if the Gaia sends the Gaia audit logs (for configuration changes that authorized users make) to a Check Point Management Server.</t>
    </r>
  </si>
  <si>
    <r>
      <rPr>
        <sz val="11"/>
        <color rgb="FF000000"/>
        <rFont val="Calibri"/>
      </rPr>
      <t>Run the following command to verify the mgmtauditlogs.</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syslog mgmtauditlogs</t>
    </r>
    <r>
      <rPr>
        <sz val="11"/>
        <color rgb="FF006096"/>
        <rFont val="Roboto Condensed"/>
      </rPr>
      <t xml:space="preserve">
</t>
    </r>
    <r>
      <rPr>
        <sz val="11"/>
        <color rgb="FF006096"/>
        <rFont val="Roboto Condensed"/>
      </rPr>
      <t>Sending audit logs to Management Serever is enabled</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 xml:space="preserve">Navigate to System Management &gt; System Logging &gt; System Logging </t>
    </r>
    <r>
      <rPr>
        <sz val="11"/>
        <color rgb="FF006096"/>
        <rFont val="Roboto Condensed"/>
      </rPr>
      <t xml:space="preserve">
</t>
    </r>
    <r>
      <rPr>
        <sz val="11"/>
        <color rgb="FF006096"/>
        <rFont val="Roboto Condensed"/>
      </rPr>
      <t>Verify Send audit logs to management server upon successful configuration is checked</t>
    </r>
    <r>
      <rPr>
        <sz val="11"/>
        <color rgb="FF006096"/>
        <rFont val="Roboto Condensed"/>
      </rPr>
      <t xml:space="preserve">
</t>
    </r>
  </si>
  <si>
    <t>2.6.2</t>
  </si>
  <si>
    <r>
      <rPr>
        <sz val="11"/>
        <rFont val="Calibri"/>
      </rPr>
      <t>Ensure auditlog is set to permanent</t>
    </r>
  </si>
  <si>
    <r>
      <rPr>
        <sz val="11"/>
        <color rgb="FF000000"/>
        <rFont val="Calibri"/>
      </rPr>
      <t>Run the following command to enable the auditlog.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set syslog auditlog permanent</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 xml:space="preserve">Navigate to System Management &gt; System Logging &gt; System Logging  </t>
    </r>
    <r>
      <rPr>
        <sz val="11"/>
        <color rgb="FF006096"/>
        <rFont val="Roboto Condensed"/>
      </rPr>
      <t xml:space="preserve">
</t>
    </r>
    <r>
      <rPr>
        <sz val="11"/>
        <color rgb="FF006096"/>
        <rFont val="Roboto Condensed"/>
      </rPr>
      <t>checked the Send audit logs to syslog upon successful configuration</t>
    </r>
    <r>
      <rPr>
        <sz val="11"/>
        <color rgb="FF006096"/>
        <rFont val="Roboto Condensed"/>
      </rPr>
      <t xml:space="preserve">
</t>
    </r>
  </si>
  <si>
    <r>
      <rPr>
        <sz val="11"/>
        <color rgb="FF000000"/>
        <rFont val="Calibri"/>
      </rPr>
      <t>The auditlog specifies if the Gaia saves the logs for configuration changes that authorized users have done.</t>
    </r>
  </si>
  <si>
    <r>
      <rPr>
        <sz val="11"/>
        <color rgb="FF000000"/>
        <rFont val="Calibri"/>
      </rPr>
      <t>Run the following command to verify the auditlog.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syslog auditlog</t>
    </r>
    <r>
      <rPr>
        <sz val="11"/>
        <color rgb="FF006096"/>
        <rFont val="Roboto Condensed"/>
      </rPr>
      <t xml:space="preserve">
</t>
    </r>
    <r>
      <rPr>
        <sz val="11"/>
        <color rgb="FF006096"/>
        <rFont val="Roboto Condensed"/>
      </rPr>
      <t>permanent</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 xml:space="preserve">Navigate to System Management &gt; System Logging &gt; System Logging </t>
    </r>
    <r>
      <rPr>
        <sz val="11"/>
        <color rgb="FF006096"/>
        <rFont val="Roboto Condensed"/>
      </rPr>
      <t xml:space="preserve">
</t>
    </r>
    <r>
      <rPr>
        <sz val="11"/>
        <color rgb="FF006096"/>
        <rFont val="Roboto Condensed"/>
      </rPr>
      <t>Verify Send audit logs to syslog upon successful configuration is checked</t>
    </r>
    <r>
      <rPr>
        <sz val="11"/>
        <color rgb="FF006096"/>
        <rFont val="Roboto Condensed"/>
      </rPr>
      <t xml:space="preserve">
</t>
    </r>
  </si>
  <si>
    <t>2.6.3</t>
  </si>
  <si>
    <r>
      <rPr>
        <sz val="11"/>
        <rFont val="Calibri"/>
      </rPr>
      <t>Ensure cplogs is set to on</t>
    </r>
  </si>
  <si>
    <r>
      <rPr>
        <sz val="11"/>
        <color rgb="FF000000"/>
        <rFont val="Calibri"/>
      </rPr>
      <t>Run the following command to enable the cplogs.</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set syslog cplogs on</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 xml:space="preserve">Navigate to System Management &gt; System Logging &gt; System Logging  </t>
    </r>
    <r>
      <rPr>
        <sz val="11"/>
        <color rgb="FF006096"/>
        <rFont val="Roboto Condensed"/>
      </rPr>
      <t xml:space="preserve">
</t>
    </r>
    <r>
      <rPr>
        <sz val="11"/>
        <color rgb="FF006096"/>
        <rFont val="Roboto Condensed"/>
      </rPr>
      <t>checked the Send Syslog messages to management server</t>
    </r>
    <r>
      <rPr>
        <sz val="11"/>
        <color rgb="FF006096"/>
        <rFont val="Roboto Condensed"/>
      </rPr>
      <t xml:space="preserve">
</t>
    </r>
  </si>
  <si>
    <r>
      <rPr>
        <sz val="11"/>
        <color rgb="FF000000"/>
        <rFont val="Calibri"/>
      </rPr>
      <t>The cplogs specifies if the Gaia sends the Gaia system logs to a Check Point Management Server:</t>
    </r>
  </si>
  <si>
    <r>
      <rPr>
        <sz val="11"/>
        <color rgb="FF000000"/>
        <rFont val="Calibri"/>
      </rPr>
      <t>Run the following command to verify the cplogs.</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Hostname&gt; show syslog cplogs</t>
    </r>
    <r>
      <rPr>
        <sz val="11"/>
        <color rgb="FF006096"/>
        <rFont val="Roboto Condensed"/>
      </rPr>
      <t xml:space="preserve">
</t>
    </r>
    <r>
      <rPr>
        <sz val="11"/>
        <color rgb="FF006096"/>
        <rFont val="Roboto Condensed"/>
      </rPr>
      <t>Sending syslog syslogs to CheckPoint's logs is disabled</t>
    </r>
    <r>
      <rPr>
        <sz val="11"/>
        <color rgb="FF006096"/>
        <rFont val="Roboto Condensed"/>
      </rPr>
      <t xml:space="preserve">
</t>
    </r>
    <r>
      <rPr>
        <sz val="11"/>
        <color rgb="FF000000"/>
        <rFont val="Calibri"/>
      </rPr>
      <t xml:space="preserve">
</t>
    </r>
    <r>
      <rPr>
        <sz val="11"/>
        <color rgb="FF000000"/>
        <rFont val="Calibri"/>
      </rPr>
      <t>GUI:</t>
    </r>
    <r>
      <rPr>
        <sz val="11"/>
        <color rgb="FF000000"/>
        <rFont val="Calibri"/>
      </rPr>
      <t xml:space="preserve">
</t>
    </r>
    <r>
      <rPr>
        <sz val="11"/>
        <color rgb="FF006096"/>
        <rFont val="Roboto Condensed"/>
      </rPr>
      <t xml:space="preserve">Navigate to System Management &gt; System Logging &gt; System Logging </t>
    </r>
    <r>
      <rPr>
        <sz val="11"/>
        <color rgb="FF006096"/>
        <rFont val="Roboto Condensed"/>
      </rPr>
      <t xml:space="preserve">
</t>
    </r>
    <r>
      <rPr>
        <sz val="11"/>
        <color rgb="FF006096"/>
        <rFont val="Roboto Condensed"/>
      </rPr>
      <t>Verify Send Syslog messages to management server is checked</t>
    </r>
    <r>
      <rPr>
        <sz val="11"/>
        <color rgb="FF006096"/>
        <rFont val="Roboto Condensed"/>
      </rPr>
      <t xml:space="preserve">
</t>
    </r>
  </si>
  <si>
    <t>Firewall Secure Settings</t>
  </si>
  <si>
    <t>3.1</t>
  </si>
  <si>
    <r>
      <rPr>
        <sz val="11"/>
        <rFont val="Calibri"/>
      </rPr>
      <t>Enable the Firewall Stealth Rule</t>
    </r>
  </si>
  <si>
    <r>
      <rPr>
        <sz val="11"/>
        <color rgb="FF000000"/>
        <rFont val="Calibri"/>
      </rPr>
      <t>Login to the Management Server via SmartDashboard and create or edit the stealth rule, allowed only required IP address to manage the gateway and make sure it is on top of all rules.</t>
    </r>
  </si>
  <si>
    <r>
      <rPr>
        <sz val="11"/>
        <color rgb="FF000000"/>
        <rFont val="Calibri"/>
      </rPr>
      <t>Create a rule to drop Any Service from Any Source or Any VPN that attempts to connect to the gateway.</t>
    </r>
  </si>
  <si>
    <r>
      <rPr>
        <sz val="11"/>
        <color rgb="FF000000"/>
        <rFont val="Calibri"/>
      </rPr>
      <t>Login to the Management Server via SmartConsole and create or edit the stealth rule and make sure it is on top of all rules and only allowed sources and services are allowed to access the Gateway.</t>
    </r>
  </si>
  <si>
    <t>3.2</t>
  </si>
  <si>
    <r>
      <rPr>
        <sz val="11"/>
        <rFont val="Calibri"/>
      </rPr>
      <t>Configure a Default Drop/Cleanup Rule</t>
    </r>
  </si>
  <si>
    <r>
      <rPr>
        <sz val="11"/>
        <color rgb="FF000000"/>
        <rFont val="Calibri"/>
      </rPr>
      <t>Create or edit the last rule in the rulebase which is denying all traffic from any source to any destination.</t>
    </r>
  </si>
  <si>
    <r>
      <rPr>
        <sz val="11"/>
        <color rgb="FF000000"/>
        <rFont val="Calibri"/>
      </rPr>
      <t>Ensure that the final rule in the rulebase explicitly drops all services, destinations, etc not specifically allowed in the previous rules. It is important that any access not explicitly allowed be explicitly dropped.</t>
    </r>
  </si>
  <si>
    <r>
      <rPr>
        <sz val="11"/>
        <color rgb="FF000000"/>
        <rFont val="Calibri"/>
      </rPr>
      <t>Verify the last rule is present in the rulebase which is denying all traffic from any source to any destination.</t>
    </r>
  </si>
  <si>
    <t>3.3</t>
  </si>
  <si>
    <r>
      <rPr>
        <sz val="11"/>
        <rFont val="Calibri"/>
      </rPr>
      <t>Use Checkpoint Sections and Titles</t>
    </r>
  </si>
  <si>
    <r>
      <rPr>
        <sz val="11"/>
        <color rgb="FF000000"/>
        <rFont val="Calibri"/>
      </rPr>
      <t>Add a description for each rule.</t>
    </r>
  </si>
  <si>
    <r>
      <rPr>
        <sz val="11"/>
        <color rgb="FF000000"/>
        <rFont val="Calibri"/>
      </rPr>
      <t>Use Sections to organize rules into related groups, whenever possible. Set each off with a descriptive Section Title.</t>
    </r>
  </si>
  <si>
    <r>
      <rPr>
        <sz val="11"/>
        <color rgb="FF000000"/>
        <rFont val="Calibri"/>
      </rPr>
      <t>Verify each rule has a description added and sections are used as per the requirement.</t>
    </r>
  </si>
  <si>
    <t>3.4</t>
  </si>
  <si>
    <r>
      <rPr>
        <sz val="11"/>
        <rFont val="Calibri"/>
      </rPr>
      <t>Ensure Hit count is Enable for the rules</t>
    </r>
  </si>
  <si>
    <r>
      <rPr>
        <sz val="11"/>
        <color rgb="FF000000"/>
        <rFont val="Calibri"/>
      </rPr>
      <t>Go to the following path in Smart Console and Enable the Enable Hit Count setting.</t>
    </r>
    <r>
      <rPr>
        <sz val="11"/>
        <color rgb="FF000000"/>
        <rFont val="Calibri"/>
      </rPr>
      <t xml:space="preserve">
</t>
    </r>
    <r>
      <rPr>
        <sz val="11"/>
        <color rgb="FF006096"/>
        <rFont val="Roboto Condensed"/>
      </rPr>
      <t>Navigate to Global Properties &gt; Hit Count</t>
    </r>
    <r>
      <rPr>
        <sz val="11"/>
        <color rgb="FF006096"/>
        <rFont val="Roboto Condensed"/>
      </rPr>
      <t xml:space="preserve">
</t>
    </r>
    <r>
      <rPr>
        <sz val="11"/>
        <color rgb="FF006096"/>
        <rFont val="Roboto Condensed"/>
      </rPr>
      <t>Checked the 'Enable Hit Count' setting</t>
    </r>
    <r>
      <rPr>
        <sz val="11"/>
        <color rgb="FF006096"/>
        <rFont val="Roboto Condensed"/>
      </rPr>
      <t xml:space="preserve">
</t>
    </r>
  </si>
  <si>
    <r>
      <rPr>
        <sz val="11"/>
        <color rgb="FF000000"/>
        <rFont val="Calibri"/>
      </rPr>
      <t>The Hit Count setting shows the number of hits for the rules if enabled. When a new connection crosses a Firewall, hits are incremented for the matching rule.</t>
    </r>
  </si>
  <si>
    <r>
      <rPr>
        <sz val="11"/>
        <color rgb="FF000000"/>
        <rFont val="Calibri"/>
      </rPr>
      <t>Go to the following path in Smart Console and verify Enable Hit Count is enabled.</t>
    </r>
    <r>
      <rPr>
        <sz val="11"/>
        <color rgb="FF000000"/>
        <rFont val="Calibri"/>
      </rPr>
      <t xml:space="preserve">
</t>
    </r>
    <r>
      <rPr>
        <sz val="11"/>
        <color rgb="FF006096"/>
        <rFont val="Roboto Condensed"/>
      </rPr>
      <t>Navigate to Global Properties &gt; Hit Count</t>
    </r>
    <r>
      <rPr>
        <sz val="11"/>
        <color rgb="FF006096"/>
        <rFont val="Roboto Condensed"/>
      </rPr>
      <t xml:space="preserve">
</t>
    </r>
    <r>
      <rPr>
        <sz val="11"/>
        <color rgb="FF006096"/>
        <rFont val="Roboto Condensed"/>
      </rPr>
      <t>Verify 'Enable Hit Count' is checked</t>
    </r>
    <r>
      <rPr>
        <sz val="11"/>
        <color rgb="FF006096"/>
        <rFont val="Roboto Condensed"/>
      </rPr>
      <t xml:space="preserve">
</t>
    </r>
  </si>
  <si>
    <t>3.5</t>
  </si>
  <si>
    <r>
      <rPr>
        <sz val="11"/>
        <rFont val="Calibri"/>
      </rPr>
      <t>Ensure no Allow Rule with Any in Destination filed present in the Firewall Rules</t>
    </r>
  </si>
  <si>
    <r>
      <rPr>
        <sz val="11"/>
        <color rgb="FF000000"/>
        <rFont val="Calibri"/>
      </rPr>
      <t>Delete the rule from the firewall which has Any used in the Source field.</t>
    </r>
  </si>
  <si>
    <r>
      <rPr>
        <sz val="11"/>
        <color rgb="FF000000"/>
        <rFont val="Calibri"/>
      </rPr>
      <t>The Firewall Rules with Any in Source field allows all the IP Addresses of the Network to access the specified destination configured in the Firewall rules for specific services.</t>
    </r>
  </si>
  <si>
    <r>
      <rPr>
        <sz val="11"/>
        <color rgb="FF000000"/>
        <rFont val="Calibri"/>
      </rPr>
      <t>Verify there are no allowed rules present in the firewall which has Any used in the Source field. If there is any such rule present in the firewall, it should have a business justification and also it should be documented.</t>
    </r>
  </si>
  <si>
    <t>3.6</t>
  </si>
  <si>
    <r>
      <rPr>
        <sz val="11"/>
        <rFont val="Calibri"/>
      </rPr>
      <t>Ensure no Allow Rule with Any in Source filed present in the Firewall Rules</t>
    </r>
  </si>
  <si>
    <r>
      <rPr>
        <sz val="11"/>
        <color rgb="FF000000"/>
        <rFont val="Calibri"/>
      </rPr>
      <t>Delete the rule from the firewall which has Any used in the Destination field.</t>
    </r>
  </si>
  <si>
    <r>
      <rPr>
        <sz val="11"/>
        <color rgb="FF000000"/>
        <rFont val="Calibri"/>
      </rPr>
      <t>The Firewall Rules with Any in the Destination field allows accessing all the IP Addresses of Network from specified Sources configured in the Firewall rules for specific services.</t>
    </r>
  </si>
  <si>
    <r>
      <rPr>
        <sz val="11"/>
        <color rgb="FF000000"/>
        <rFont val="Calibri"/>
      </rPr>
      <t>Verify there are no allowed rules present in the firewall which has Any used in the Destination field. If there is any such rule present in the firewall, it should have a business justification and also it should be documented.</t>
    </r>
  </si>
  <si>
    <t>3.7</t>
  </si>
  <si>
    <r>
      <rPr>
        <sz val="11"/>
        <rFont val="Calibri"/>
      </rPr>
      <t>Ensure no Allow Rule with Any in Services filed present in the Firewall Rules</t>
    </r>
  </si>
  <si>
    <r>
      <rPr>
        <sz val="11"/>
        <color rgb="FF000000"/>
        <rFont val="Calibri"/>
      </rPr>
      <t>Delete the rule from the firewall which has Any used in the Service field.</t>
    </r>
  </si>
  <si>
    <r>
      <rPr>
        <sz val="11"/>
        <color rgb="FF000000"/>
        <rFont val="Calibri"/>
      </rPr>
      <t>The Firewall Rules with Any in the Service field allows accessing all the Services from specified Source to specified Destination configured in the Firewall rules.</t>
    </r>
  </si>
  <si>
    <r>
      <rPr>
        <sz val="11"/>
        <color rgb="FF000000"/>
        <rFont val="Calibri"/>
      </rPr>
      <t>Verify there are no allowed rules present in the firewall which has Any used in the Service field.</t>
    </r>
  </si>
  <si>
    <t>3.8</t>
  </si>
  <si>
    <r>
      <rPr>
        <sz val="11"/>
        <rFont val="Calibri"/>
      </rPr>
      <t>Logging should be enable for all Firewall Rules</t>
    </r>
  </si>
  <si>
    <r>
      <rPr>
        <sz val="11"/>
        <color rgb="FF000000"/>
        <rFont val="Calibri"/>
      </rPr>
      <t>Set the Track field to Log in all firewall rules.</t>
    </r>
  </si>
  <si>
    <r>
      <rPr>
        <sz val="11"/>
        <color rgb="FF000000"/>
        <rFont val="Calibri"/>
      </rPr>
      <t>The Track Field defines how the events of the rule are captured.</t>
    </r>
  </si>
  <si>
    <r>
      <rPr>
        <sz val="11"/>
        <color rgb="FF000000"/>
        <rFont val="Calibri"/>
      </rPr>
      <t>Verify all Track field in all firewall rules should have set to Log.</t>
    </r>
  </si>
  <si>
    <t>3.9</t>
  </si>
  <si>
    <r>
      <rPr>
        <sz val="11"/>
        <rFont val="Calibri"/>
      </rPr>
      <t>Review and Log Implied Rules</t>
    </r>
  </si>
  <si>
    <r>
      <rPr>
        <sz val="11"/>
        <color rgb="FF000000"/>
        <rFont val="Calibri"/>
      </rPr>
      <t>Go to the following path in the Smart Console and enabled the Log Implied Rules.</t>
    </r>
    <r>
      <rPr>
        <sz val="11"/>
        <color rgb="FF000000"/>
        <rFont val="Calibri"/>
      </rPr>
      <t xml:space="preserve">
</t>
    </r>
    <r>
      <rPr>
        <sz val="11"/>
        <color rgb="FF006096"/>
        <rFont val="Roboto Condensed"/>
      </rPr>
      <t>Navigate to Global Properties &gt; Firewall</t>
    </r>
    <r>
      <rPr>
        <sz val="11"/>
        <color rgb="FF006096"/>
        <rFont val="Roboto Condensed"/>
      </rPr>
      <t xml:space="preserve">
</t>
    </r>
    <r>
      <rPr>
        <sz val="11"/>
        <color rgb="FF006096"/>
        <rFont val="Roboto Condensed"/>
      </rPr>
      <t>Enable the Log Implied Rules</t>
    </r>
    <r>
      <rPr>
        <sz val="11"/>
        <color rgb="FF006096"/>
        <rFont val="Roboto Condensed"/>
      </rPr>
      <t xml:space="preserve">
</t>
    </r>
  </si>
  <si>
    <r>
      <rPr>
        <sz val="11"/>
        <color rgb="FF000000"/>
        <rFont val="Calibri"/>
      </rPr>
      <t>Rulebase clarity helps all workers and reviewers. Stating rules explicitly in the rulebase makes policy analysis and review significantly easier. Select the ‗Log Implied Rules‘ to ensure all understand when connectivity is denied or allowed through a subtle Implied Rule.</t>
    </r>
  </si>
  <si>
    <r>
      <rPr>
        <sz val="11"/>
        <color rgb="FF000000"/>
        <rFont val="Calibri"/>
      </rPr>
      <t>Go to the following path in the Smart Console and verify Log Implied Rules is enabled.</t>
    </r>
    <r>
      <rPr>
        <sz val="11"/>
        <color rgb="FF000000"/>
        <rFont val="Calibri"/>
      </rPr>
      <t xml:space="preserve">
</t>
    </r>
    <r>
      <rPr>
        <sz val="11"/>
        <color rgb="FF006096"/>
        <rFont val="Roboto Condensed"/>
      </rPr>
      <t>Navigate to Global Properties &gt; Firewall</t>
    </r>
    <r>
      <rPr>
        <sz val="11"/>
        <color rgb="FF006096"/>
        <rFont val="Roboto Condensed"/>
      </rPr>
      <t xml:space="preserve">
</t>
    </r>
    <r>
      <rPr>
        <sz val="11"/>
        <color rgb="FF006096"/>
        <rFont val="Roboto Condensed"/>
      </rPr>
      <t>Verify Log Implied Rules is enabled</t>
    </r>
    <r>
      <rPr>
        <sz val="11"/>
        <color rgb="FF006096"/>
        <rFont val="Roboto Condensed"/>
      </rPr>
      <t xml:space="preserve">
</t>
    </r>
  </si>
  <si>
    <r>
      <rPr>
        <sz val="11"/>
        <color rgb="FF000000"/>
        <rFont val="Calibri"/>
      </rPr>
      <t>Disabled</t>
    </r>
  </si>
  <si>
    <t>3.10</t>
  </si>
  <si>
    <r>
      <rPr>
        <sz val="11"/>
        <rFont val="Calibri"/>
      </rPr>
      <t>Ensure Drop Out of State TCP Packets is enabled</t>
    </r>
  </si>
  <si>
    <r>
      <rPr>
        <sz val="11"/>
        <color rgb="FF000000"/>
        <rFont val="Calibri"/>
      </rPr>
      <t>Go to the following path and checked the Drop Out of State TCP Packets and Log on Drop.</t>
    </r>
    <r>
      <rPr>
        <sz val="11"/>
        <color rgb="FF000000"/>
        <rFont val="Calibri"/>
      </rPr>
      <t xml:space="preserve">
</t>
    </r>
    <r>
      <rPr>
        <sz val="11"/>
        <color rgb="FF006096"/>
        <rFont val="Roboto Condensed"/>
      </rPr>
      <t>SmartConsole &gt; Global Properties &gt; Stateful Inspection</t>
    </r>
    <r>
      <rPr>
        <sz val="11"/>
        <color rgb="FF006096"/>
        <rFont val="Roboto Condensed"/>
      </rPr>
      <t xml:space="preserve">
</t>
    </r>
    <r>
      <rPr>
        <sz val="11"/>
        <color rgb="FF006096"/>
        <rFont val="Roboto Condensed"/>
      </rPr>
      <t>Checked the Drop Out of State TCP Packets and Log on Drop</t>
    </r>
    <r>
      <rPr>
        <sz val="11"/>
        <color rgb="FF006096"/>
        <rFont val="Roboto Condensed"/>
      </rPr>
      <t xml:space="preserve">
</t>
    </r>
  </si>
  <si>
    <r>
      <rPr>
        <sz val="11"/>
        <color rgb="FF000000"/>
        <rFont val="Calibri"/>
      </rPr>
      <t>The Drop out of state TCP Packets setting will drop the out of state or non-synchronized TCP Packets for which firewall does not have a matching state table entry.</t>
    </r>
  </si>
  <si>
    <r>
      <rPr>
        <sz val="11"/>
        <color rgb="FF000000"/>
        <rFont val="Calibri"/>
      </rPr>
      <t>Go to the following path and verify Drop Out of State TCP Packets and Log on Drop is enabled.</t>
    </r>
    <r>
      <rPr>
        <sz val="11"/>
        <color rgb="FF000000"/>
        <rFont val="Calibri"/>
      </rPr>
      <t xml:space="preserve">
</t>
    </r>
    <r>
      <rPr>
        <sz val="11"/>
        <color rgb="FF006096"/>
        <rFont val="Roboto Condensed"/>
      </rPr>
      <t>SmartConsole &gt; Global Properties &gt; Stateful Inspection</t>
    </r>
    <r>
      <rPr>
        <sz val="11"/>
        <color rgb="FF006096"/>
        <rFont val="Roboto Condensed"/>
      </rPr>
      <t xml:space="preserve">
</t>
    </r>
    <r>
      <rPr>
        <sz val="11"/>
        <color rgb="FF006096"/>
        <rFont val="Roboto Condensed"/>
      </rPr>
      <t>Verify Drop Out of State TCP Packets and Log on Drop is checked.</t>
    </r>
    <r>
      <rPr>
        <sz val="11"/>
        <color rgb="FF006096"/>
        <rFont val="Roboto Condensed"/>
      </rPr>
      <t xml:space="preserve">
</t>
    </r>
  </si>
  <si>
    <r>
      <rPr>
        <sz val="11"/>
        <color rgb="FF000000"/>
        <rFont val="Calibri"/>
      </rPr>
      <t>Enabled</t>
    </r>
  </si>
  <si>
    <t>3.11</t>
  </si>
  <si>
    <r>
      <rPr>
        <sz val="11"/>
        <rFont val="Calibri"/>
      </rPr>
      <t>Ensure Drop Out of State ICMP Packets is enabled</t>
    </r>
  </si>
  <si>
    <r>
      <rPr>
        <sz val="11"/>
        <color rgb="FF000000"/>
        <rFont val="Calibri"/>
      </rPr>
      <t>Go to the following path and checked the Drop Out of State ICMP Packets and Log on Drop.</t>
    </r>
    <r>
      <rPr>
        <sz val="11"/>
        <color rgb="FF000000"/>
        <rFont val="Calibri"/>
      </rPr>
      <t xml:space="preserve">
</t>
    </r>
    <r>
      <rPr>
        <sz val="11"/>
        <color rgb="FF006096"/>
        <rFont val="Roboto Condensed"/>
      </rPr>
      <t>SmartConsole &gt; Global Properties &gt; Stateful Inspection</t>
    </r>
    <r>
      <rPr>
        <sz val="11"/>
        <color rgb="FF006096"/>
        <rFont val="Roboto Condensed"/>
      </rPr>
      <t xml:space="preserve">
</t>
    </r>
    <r>
      <rPr>
        <sz val="11"/>
        <color rgb="FF006096"/>
        <rFont val="Roboto Condensed"/>
      </rPr>
      <t>Checked the Drop Out of State ICMP Packets and Log on Drop</t>
    </r>
    <r>
      <rPr>
        <sz val="11"/>
        <color rgb="FF006096"/>
        <rFont val="Roboto Condensed"/>
      </rPr>
      <t xml:space="preserve">
</t>
    </r>
  </si>
  <si>
    <r>
      <rPr>
        <sz val="11"/>
        <color rgb="FF000000"/>
        <rFont val="Calibri"/>
      </rPr>
      <t>This drops the out of state ICMP packets.</t>
    </r>
  </si>
  <si>
    <r>
      <rPr>
        <sz val="11"/>
        <color rgb="FF000000"/>
        <rFont val="Calibri"/>
      </rPr>
      <t>Go to the following path and verify Drop Out of State ICMP Packets and Log on Drop is enabled.</t>
    </r>
    <r>
      <rPr>
        <sz val="11"/>
        <color rgb="FF000000"/>
        <rFont val="Calibri"/>
      </rPr>
      <t xml:space="preserve">
</t>
    </r>
    <r>
      <rPr>
        <sz val="11"/>
        <color rgb="FF006096"/>
        <rFont val="Roboto Condensed"/>
      </rPr>
      <t>SmartConsole &gt; Global Properties &gt; Stateful Inspection</t>
    </r>
    <r>
      <rPr>
        <sz val="11"/>
        <color rgb="FF006096"/>
        <rFont val="Roboto Condensed"/>
      </rPr>
      <t xml:space="preserve">
</t>
    </r>
    <r>
      <rPr>
        <sz val="11"/>
        <color rgb="FF006096"/>
        <rFont val="Roboto Condensed"/>
      </rPr>
      <t>Verify Drop Out of State ICMP Packets and Log on Drop is checked.</t>
    </r>
    <r>
      <rPr>
        <sz val="11"/>
        <color rgb="FF006096"/>
        <rFont val="Roboto Condensed"/>
      </rPr>
      <t xml:space="preserve">
</t>
    </r>
  </si>
  <si>
    <t>3.12</t>
  </si>
  <si>
    <r>
      <rPr>
        <sz val="11"/>
        <rFont val="Calibri"/>
      </rPr>
      <t>Ensure Anti-Spoofing is enabled and action is set to Prevent for all Interfaces</t>
    </r>
  </si>
  <si>
    <r>
      <rPr>
        <sz val="11"/>
        <color rgb="FF000000"/>
        <rFont val="Calibri"/>
      </rPr>
      <t>For all managed gateways enable the Anti-Spoofing, set the Anti-Spoofing action to Prevent and set the tracking to Log.</t>
    </r>
    <r>
      <rPr>
        <sz val="11"/>
        <color rgb="FF000000"/>
        <rFont val="Calibri"/>
      </rPr>
      <t xml:space="preserve">
</t>
    </r>
    <r>
      <rPr>
        <sz val="11"/>
        <color rgb="FF006096"/>
        <rFont val="Roboto Condensed"/>
      </rPr>
      <t>SmartConsole &gt; Gateways &amp; Servers &gt; select managed Gateway &gt; Network Management &gt; Select each interface &gt; General &gt; Modify</t>
    </r>
    <r>
      <rPr>
        <sz val="11"/>
        <color rgb="FF006096"/>
        <rFont val="Roboto Condensed"/>
      </rPr>
      <t xml:space="preserve">
</t>
    </r>
    <r>
      <rPr>
        <sz val="11"/>
        <color rgb="FF006096"/>
        <rFont val="Roboto Condensed"/>
      </rPr>
      <t>- Checked the Perform Anti-Spoofing based on Interface topology</t>
    </r>
    <r>
      <rPr>
        <sz val="11"/>
        <color rgb="FF006096"/>
        <rFont val="Roboto Condensed"/>
      </rPr>
      <t xml:space="preserve">
</t>
    </r>
    <r>
      <rPr>
        <sz val="11"/>
        <color rgb="FF006096"/>
        <rFont val="Roboto Condensed"/>
      </rPr>
      <t>- Set the Anti-Spoofing action to Prevent</t>
    </r>
    <r>
      <rPr>
        <sz val="11"/>
        <color rgb="FF006096"/>
        <rFont val="Roboto Condensed"/>
      </rPr>
      <t xml:space="preserve">
</t>
    </r>
    <r>
      <rPr>
        <sz val="11"/>
        <color rgb="FF006096"/>
        <rFont val="Roboto Condensed"/>
      </rPr>
      <t>- Set the Spoof Tracking to Log</t>
    </r>
    <r>
      <rPr>
        <sz val="11"/>
        <color rgb="FF006096"/>
        <rFont val="Roboto Condensed"/>
      </rPr>
      <t xml:space="preserve">
</t>
    </r>
  </si>
  <si>
    <r>
      <rPr>
        <sz val="11"/>
        <color rgb="FF000000"/>
        <rFont val="Calibri"/>
      </rPr>
      <t>The Anti-Spoofing is a technique which is used to identify and drop the packets that have a false source IP address. The Anti-Spoofing detect mode is only monitor the Anti-spoofing events while prevent mode drops the Anti-spoofing events.</t>
    </r>
  </si>
  <si>
    <r>
      <rPr>
        <sz val="11"/>
        <color rgb="FF000000"/>
        <rFont val="Calibri"/>
      </rPr>
      <t>For all managed gateways verify that Anti-Spoofing is enabled, Anti-Spoofing action is set to Prevent and tracking is set to Log.</t>
    </r>
    <r>
      <rPr>
        <sz val="11"/>
        <color rgb="FF000000"/>
        <rFont val="Calibri"/>
      </rPr>
      <t xml:space="preserve">
</t>
    </r>
    <r>
      <rPr>
        <sz val="11"/>
        <color rgb="FF006096"/>
        <rFont val="Roboto Condensed"/>
      </rPr>
      <t>SmartConsole &gt; Gateways &amp; Servers &gt; select managed Gateway &gt; Network Management &gt; Select each interface &gt; General &gt; Modify</t>
    </r>
    <r>
      <rPr>
        <sz val="11"/>
        <color rgb="FF006096"/>
        <rFont val="Roboto Condensed"/>
      </rPr>
      <t xml:space="preserve">
</t>
    </r>
    <r>
      <rPr>
        <sz val="11"/>
        <color rgb="FF006096"/>
        <rFont val="Roboto Condensed"/>
      </rPr>
      <t>- Verify Perform Anti-Spoofing based on Interface topology is checked</t>
    </r>
    <r>
      <rPr>
        <sz val="11"/>
        <color rgb="FF006096"/>
        <rFont val="Roboto Condensed"/>
      </rPr>
      <t xml:space="preserve">
</t>
    </r>
    <r>
      <rPr>
        <sz val="11"/>
        <color rgb="FF006096"/>
        <rFont val="Roboto Condensed"/>
      </rPr>
      <t>- Verify Anti-Spoofing action is set to Prevent</t>
    </r>
    <r>
      <rPr>
        <sz val="11"/>
        <color rgb="FF006096"/>
        <rFont val="Roboto Condensed"/>
      </rPr>
      <t xml:space="preserve">
</t>
    </r>
    <r>
      <rPr>
        <sz val="11"/>
        <color rgb="FF006096"/>
        <rFont val="Roboto Condensed"/>
      </rPr>
      <t>- Verify Spoof Tracking is set to Log</t>
    </r>
    <r>
      <rPr>
        <sz val="11"/>
        <color rgb="FF006096"/>
        <rFont val="Roboto Condensed"/>
      </rPr>
      <t xml:space="preserve">
</t>
    </r>
  </si>
  <si>
    <t>3.13</t>
  </si>
  <si>
    <r>
      <rPr>
        <sz val="11"/>
        <rFont val="Calibri"/>
      </rPr>
      <t>Ensure Disk Space Alert is set</t>
    </r>
  </si>
  <si>
    <r>
      <rPr>
        <sz val="11"/>
        <color rgb="FF000000"/>
        <rFont val="Calibri"/>
      </rPr>
      <t>Go to the following path and configured the Disk Space Alert.</t>
    </r>
    <r>
      <rPr>
        <sz val="11"/>
        <color rgb="FF000000"/>
        <rFont val="Calibri"/>
      </rPr>
      <t xml:space="preserve">
</t>
    </r>
    <r>
      <rPr>
        <sz val="11"/>
        <color rgb="FF006096"/>
        <rFont val="Roboto Condensed"/>
      </rPr>
      <t xml:space="preserve">SmartConsole &gt; Gateways &amp; Servers &gt; Select each Gateway &gt; Logs &gt; Local Storage </t>
    </r>
    <r>
      <rPr>
        <sz val="11"/>
        <color rgb="FF006096"/>
        <rFont val="Roboto Condensed"/>
      </rPr>
      <t xml:space="preserve">
</t>
    </r>
    <r>
      <rPr>
        <sz val="11"/>
        <color rgb="FF006096"/>
        <rFont val="Roboto Condensed"/>
      </rPr>
      <t>* Checked the When disk space is below and value MBytes or Percentage is configured as per the Organization Policy.</t>
    </r>
    <r>
      <rPr>
        <sz val="11"/>
        <color rgb="FF006096"/>
        <rFont val="Roboto Condensed"/>
      </rPr>
      <t xml:space="preserve">
</t>
    </r>
    <r>
      <rPr>
        <sz val="11"/>
        <color rgb="FF006096"/>
        <rFont val="Roboto Condensed"/>
      </rPr>
      <t>* Set the Issue alert to Log, Popup Alert, Mail or SNMP trap alert.</t>
    </r>
    <r>
      <rPr>
        <sz val="11"/>
        <color rgb="FF006096"/>
        <rFont val="Roboto Condensed"/>
      </rPr>
      <t xml:space="preserve">
</t>
    </r>
  </si>
  <si>
    <r>
      <rPr>
        <sz val="11"/>
        <color rgb="FF000000"/>
        <rFont val="Calibri"/>
      </rPr>
      <t>This is used to generate the Log and Alert when disk space reaches the configured limit.</t>
    </r>
  </si>
  <si>
    <r>
      <rPr>
        <sz val="11"/>
        <color rgb="FF000000"/>
        <rFont val="Calibri"/>
      </rPr>
      <t>Verify Disk Space Alert is configured if disk space goes beyond the organization defined configured limit.</t>
    </r>
    <r>
      <rPr>
        <sz val="11"/>
        <color rgb="FF000000"/>
        <rFont val="Calibri"/>
      </rPr>
      <t xml:space="preserve">
</t>
    </r>
    <r>
      <rPr>
        <sz val="11"/>
        <color rgb="FF006096"/>
        <rFont val="Roboto Condensed"/>
      </rPr>
      <t xml:space="preserve">SmartConsole &gt; Gateways &amp; Servers &gt; Select each Gateway &gt; Logs &gt; Local Storage </t>
    </r>
    <r>
      <rPr>
        <sz val="11"/>
        <color rgb="FF006096"/>
        <rFont val="Roboto Condensed"/>
      </rPr>
      <t xml:space="preserve">
</t>
    </r>
    <r>
      <rPr>
        <sz val="11"/>
        <color rgb="FF006096"/>
        <rFont val="Roboto Condensed"/>
      </rPr>
      <t>* When disk space is below is checked and value MBytes or Percentage is configured</t>
    </r>
    <r>
      <rPr>
        <sz val="11"/>
        <color rgb="FF006096"/>
        <rFont val="Roboto Condensed"/>
      </rPr>
      <t xml:space="preserve">
</t>
    </r>
    <r>
      <rPr>
        <sz val="11"/>
        <color rgb="FF006096"/>
        <rFont val="Roboto Condensed"/>
      </rPr>
      <t>* Issue alert is set to Log, Popup Alert, Mail or SNMP trap alert.</t>
    </r>
    <r>
      <rPr>
        <sz val="11"/>
        <color rgb="FF006096"/>
        <rFont val="Roboto Condensed"/>
      </rPr>
      <t xml:space="preserve">
</t>
    </r>
  </si>
  <si>
    <t>3.14</t>
  </si>
  <si>
    <r>
      <rPr>
        <sz val="11"/>
        <rFont val="Calibri"/>
      </rPr>
      <t>Ensure Accept RIP is not enabled</t>
    </r>
  </si>
  <si>
    <r>
      <rPr>
        <sz val="11"/>
        <color rgb="FF000000"/>
        <rFont val="Calibri"/>
      </rPr>
      <t>Go to the following path and Configured the Accept RIP.</t>
    </r>
    <r>
      <rPr>
        <sz val="11"/>
        <color rgb="FF000000"/>
        <rFont val="Calibri"/>
      </rPr>
      <t xml:space="preserve">
</t>
    </r>
    <r>
      <rPr>
        <sz val="11"/>
        <color rgb="FF006096"/>
        <rFont val="Roboto Condensed"/>
      </rPr>
      <t>SmartConsole &gt; Gateways &amp; Servers &gt; select each Gateway &gt; Firewall</t>
    </r>
    <r>
      <rPr>
        <sz val="11"/>
        <color rgb="FF006096"/>
        <rFont val="Roboto Condensed"/>
      </rPr>
      <t xml:space="preserve">
</t>
    </r>
    <r>
      <rPr>
        <sz val="11"/>
        <color rgb="FF006096"/>
        <rFont val="Roboto Condensed"/>
      </rPr>
      <t>Unchecked the Accept RIP</t>
    </r>
    <r>
      <rPr>
        <sz val="11"/>
        <color rgb="FF006096"/>
        <rFont val="Roboto Condensed"/>
      </rPr>
      <t xml:space="preserve">
</t>
    </r>
  </si>
  <si>
    <r>
      <rPr>
        <sz val="11"/>
        <color rgb="FF000000"/>
        <rFont val="Calibri"/>
      </rPr>
      <t>The Accept RIP is a Global property setting which you can set either to accept or reject the RIP packets which is using UDP Port 520. RIP maintains information about reachable systems and routes to those systems.</t>
    </r>
  </si>
  <si>
    <r>
      <rPr>
        <sz val="11"/>
        <color rgb="FF000000"/>
        <rFont val="Calibri"/>
      </rPr>
      <t>Verify Accept RIP under Global Properties is not enabled.</t>
    </r>
    <r>
      <rPr>
        <sz val="11"/>
        <color rgb="FF000000"/>
        <rFont val="Calibri"/>
      </rPr>
      <t xml:space="preserve">
</t>
    </r>
    <r>
      <rPr>
        <sz val="11"/>
        <color rgb="FF006096"/>
        <rFont val="Roboto Condensed"/>
      </rPr>
      <t>SmartConsole &gt; Gateways &amp; Servers &gt; select each Gateway &gt; Firewall</t>
    </r>
    <r>
      <rPr>
        <sz val="11"/>
        <color rgb="FF006096"/>
        <rFont val="Roboto Condensed"/>
      </rPr>
      <t xml:space="preserve">
</t>
    </r>
    <r>
      <rPr>
        <sz val="11"/>
        <color rgb="FF006096"/>
        <rFont val="Roboto Condensed"/>
      </rPr>
      <t>Veiry Accept RIP is unchecked.</t>
    </r>
    <r>
      <rPr>
        <sz val="11"/>
        <color rgb="FF006096"/>
        <rFont val="Roboto Condensed"/>
      </rPr>
      <t xml:space="preserve">
</t>
    </r>
  </si>
  <si>
    <t>3.15</t>
  </si>
  <si>
    <r>
      <rPr>
        <sz val="11"/>
        <rFont val="Calibri"/>
      </rPr>
      <t>Ensure Accept Domain Name over TCP (Zone Transfer) is not enabled</t>
    </r>
  </si>
  <si>
    <r>
      <rPr>
        <sz val="11"/>
        <color rgb="FF000000"/>
        <rFont val="Calibri"/>
      </rPr>
      <t>Go to the following path and Configured the Accept Accept Domain Name over TCP (Zone Transfer).</t>
    </r>
    <r>
      <rPr>
        <sz val="11"/>
        <color rgb="FF000000"/>
        <rFont val="Calibri"/>
      </rPr>
      <t xml:space="preserve">
</t>
    </r>
    <r>
      <rPr>
        <sz val="11"/>
        <color rgb="FF006096"/>
        <rFont val="Roboto Condensed"/>
      </rPr>
      <t>SmartConsole &gt; Gateways &amp; Servers &gt; select each Gateway &gt; Firewall</t>
    </r>
    <r>
      <rPr>
        <sz val="11"/>
        <color rgb="FF006096"/>
        <rFont val="Roboto Condensed"/>
      </rPr>
      <t xml:space="preserve">
</t>
    </r>
    <r>
      <rPr>
        <sz val="11"/>
        <color rgb="FF006096"/>
        <rFont val="Roboto Condensed"/>
      </rPr>
      <t>Unchecked the Accept Accept Domain Name over TCP (Zone Transfer)</t>
    </r>
    <r>
      <rPr>
        <sz val="11"/>
        <color rgb="FF006096"/>
        <rFont val="Roboto Condensed"/>
      </rPr>
      <t xml:space="preserve">
</t>
    </r>
  </si>
  <si>
    <r>
      <rPr>
        <sz val="11"/>
        <color rgb="FF000000"/>
        <rFont val="Calibri"/>
      </rPr>
      <t>The 'Domain Name Over TCP (Zone transfer)' is a global property setting which is used to allow or reject all the TCP-type DNS packets to and from anywhere. These rules are considered as rule zero which are executed before any user-defined rules.</t>
    </r>
  </si>
  <si>
    <r>
      <rPr>
        <sz val="11"/>
        <color rgb="FF000000"/>
        <rFont val="Calibri"/>
      </rPr>
      <t>Verify Accept Accept Domain Name over TCP (Zone Transfer) under Global Properties is not enabled.</t>
    </r>
    <r>
      <rPr>
        <sz val="11"/>
        <color rgb="FF000000"/>
        <rFont val="Calibri"/>
      </rPr>
      <t xml:space="preserve">
</t>
    </r>
    <r>
      <rPr>
        <sz val="11"/>
        <color rgb="FF006096"/>
        <rFont val="Roboto Condensed"/>
      </rPr>
      <t>SmartConsole &gt; Gateways &amp; Servers &gt; select each Gateway &gt; Firewall</t>
    </r>
    <r>
      <rPr>
        <sz val="11"/>
        <color rgb="FF006096"/>
        <rFont val="Roboto Condensed"/>
      </rPr>
      <t xml:space="preserve">
</t>
    </r>
    <r>
      <rPr>
        <sz val="11"/>
        <color rgb="FF006096"/>
        <rFont val="Roboto Condensed"/>
      </rPr>
      <t>Veiry Accept Accept Domain Name over TCP (Zone Transfer) is unchecked.</t>
    </r>
    <r>
      <rPr>
        <sz val="11"/>
        <color rgb="FF006096"/>
        <rFont val="Roboto Condensed"/>
      </rPr>
      <t xml:space="preserve">
</t>
    </r>
  </si>
  <si>
    <t>3.16</t>
  </si>
  <si>
    <r>
      <rPr>
        <sz val="11"/>
        <rFont val="Calibri"/>
      </rPr>
      <t>Ensure Accept Domain Name over UDP (Queries) is not enabled</t>
    </r>
  </si>
  <si>
    <r>
      <rPr>
        <sz val="11"/>
        <color rgb="FF000000"/>
        <rFont val="Calibri"/>
      </rPr>
      <t>Go to the following path and Configured the Accept Accept Domain Name over UDP (Queries).</t>
    </r>
    <r>
      <rPr>
        <sz val="11"/>
        <color rgb="FF000000"/>
        <rFont val="Calibri"/>
      </rPr>
      <t xml:space="preserve">
</t>
    </r>
    <r>
      <rPr>
        <sz val="11"/>
        <color rgb="FF006096"/>
        <rFont val="Roboto Condensed"/>
      </rPr>
      <t>SmartConsole &gt; Gateways &amp; Servers &gt; select each Gateway &gt; Firewall</t>
    </r>
    <r>
      <rPr>
        <sz val="11"/>
        <color rgb="FF006096"/>
        <rFont val="Roboto Condensed"/>
      </rPr>
      <t xml:space="preserve">
</t>
    </r>
    <r>
      <rPr>
        <sz val="11"/>
        <color rgb="FF006096"/>
        <rFont val="Roboto Condensed"/>
      </rPr>
      <t>Unchecked the Accept Accept Domain Name over UDP (Queries)</t>
    </r>
    <r>
      <rPr>
        <sz val="11"/>
        <color rgb="FF006096"/>
        <rFont val="Roboto Condensed"/>
      </rPr>
      <t xml:space="preserve">
</t>
    </r>
  </si>
  <si>
    <r>
      <rPr>
        <sz val="11"/>
        <color rgb="FF000000"/>
        <rFont val="Calibri"/>
      </rPr>
      <t>The 'Domain Name Over UDP (Queries)' is a global property setting which is used to allow or reject all the UDP-type DNS packets to and from anywhere. These rules are considered as rule zero which are execute before any user-defined rules.</t>
    </r>
  </si>
  <si>
    <r>
      <rPr>
        <sz val="11"/>
        <color rgb="FF000000"/>
        <rFont val="Calibri"/>
      </rPr>
      <t>Verify Accept Accept Domain Name over UDP (Queries) under Global Properties is not enabled.</t>
    </r>
    <r>
      <rPr>
        <sz val="11"/>
        <color rgb="FF000000"/>
        <rFont val="Calibri"/>
      </rPr>
      <t xml:space="preserve">
</t>
    </r>
    <r>
      <rPr>
        <sz val="11"/>
        <color rgb="FF006096"/>
        <rFont val="Roboto Condensed"/>
      </rPr>
      <t>SmartConsole &gt; Gateways &amp; Servers &gt; select each Gateway &gt; Firewall</t>
    </r>
    <r>
      <rPr>
        <sz val="11"/>
        <color rgb="FF006096"/>
        <rFont val="Roboto Condensed"/>
      </rPr>
      <t xml:space="preserve">
</t>
    </r>
    <r>
      <rPr>
        <sz val="11"/>
        <color rgb="FF006096"/>
        <rFont val="Roboto Condensed"/>
      </rPr>
      <t>Verify Accept Accept Domain Name over UDP (Queries) is unchecked.</t>
    </r>
    <r>
      <rPr>
        <sz val="11"/>
        <color rgb="FF006096"/>
        <rFont val="Roboto Condensed"/>
      </rPr>
      <t xml:space="preserve">
</t>
    </r>
  </si>
  <si>
    <t>3.17</t>
  </si>
  <si>
    <r>
      <rPr>
        <sz val="11"/>
        <rFont val="Calibri"/>
      </rPr>
      <t>Ensure Accept ICMP Requests is not enabled</t>
    </r>
  </si>
  <si>
    <r>
      <rPr>
        <sz val="11"/>
        <color rgb="FF000000"/>
        <rFont val="Calibri"/>
      </rPr>
      <t>Go to the following path and Configured the Accept Accept ICMP Requests.</t>
    </r>
    <r>
      <rPr>
        <sz val="11"/>
        <color rgb="FF000000"/>
        <rFont val="Calibri"/>
      </rPr>
      <t xml:space="preserve">
</t>
    </r>
    <r>
      <rPr>
        <sz val="11"/>
        <color rgb="FF006096"/>
        <rFont val="Roboto Condensed"/>
      </rPr>
      <t>SmartConsole &gt; Gateways &amp; Servers &gt; select each Gateway &gt; Firewall</t>
    </r>
    <r>
      <rPr>
        <sz val="11"/>
        <color rgb="FF006096"/>
        <rFont val="Roboto Condensed"/>
      </rPr>
      <t xml:space="preserve">
</t>
    </r>
    <r>
      <rPr>
        <sz val="11"/>
        <color rgb="FF006096"/>
        <rFont val="Roboto Condensed"/>
      </rPr>
      <t>Unchecked the Accept Accept ICMP Requests</t>
    </r>
    <r>
      <rPr>
        <sz val="11"/>
        <color rgb="FF006096"/>
        <rFont val="Roboto Condensed"/>
      </rPr>
      <t xml:space="preserve">
</t>
    </r>
  </si>
  <si>
    <r>
      <rPr>
        <sz val="11"/>
        <color rgb="FF000000"/>
        <rFont val="Calibri"/>
      </rPr>
      <t>The 'Accept ICMP requests' is a global property setting which is used to allow the ICMP requests from any location. ICMP is used to send control messages (for example, ping, destination unreachable, source quench, route change) to other systems. These rules are considered as rule zero which are executed before any user-defined rules.</t>
    </r>
  </si>
  <si>
    <r>
      <rPr>
        <sz val="11"/>
        <color rgb="FF000000"/>
        <rFont val="Calibri"/>
      </rPr>
      <t>Verify Accept Accept ICMP Requests under Global Properties is not enabled.</t>
    </r>
    <r>
      <rPr>
        <sz val="11"/>
        <color rgb="FF000000"/>
        <rFont val="Calibri"/>
      </rPr>
      <t xml:space="preserve">
</t>
    </r>
    <r>
      <rPr>
        <sz val="11"/>
        <color rgb="FF006096"/>
        <rFont val="Roboto Condensed"/>
      </rPr>
      <t>SmartConsole &gt; Gateways &amp; Servers &gt; select each Gateway &gt; Firewall</t>
    </r>
    <r>
      <rPr>
        <sz val="11"/>
        <color rgb="FF006096"/>
        <rFont val="Roboto Condensed"/>
      </rPr>
      <t xml:space="preserve">
</t>
    </r>
    <r>
      <rPr>
        <sz val="11"/>
        <color rgb="FF006096"/>
        <rFont val="Roboto Condensed"/>
      </rPr>
      <t>Verify Accept Accept ICMP Requests is unchecked.</t>
    </r>
    <r>
      <rPr>
        <sz val="11"/>
        <color rgb="FF006096"/>
        <rFont val="Roboto Condensed"/>
      </rPr>
      <t xml:space="preserve">
</t>
    </r>
  </si>
  <si>
    <t>3.18</t>
  </si>
  <si>
    <r>
      <rPr>
        <sz val="11"/>
        <rFont val="Calibri"/>
      </rPr>
      <t>Ensure Allow bi-directional NAT is enabled</t>
    </r>
  </si>
  <si>
    <r>
      <rPr>
        <sz val="11"/>
        <color rgb="FF000000"/>
        <rFont val="Calibri"/>
      </rPr>
      <t>Go to the following path and Configured the Allow bi-directional NAT.</t>
    </r>
    <r>
      <rPr>
        <sz val="11"/>
        <color rgb="FF000000"/>
        <rFont val="Calibri"/>
      </rPr>
      <t xml:space="preserve">
</t>
    </r>
    <r>
      <rPr>
        <sz val="11"/>
        <color rgb="FF006096"/>
        <rFont val="Roboto Condensed"/>
      </rPr>
      <t>SmartConsole &gt; Gateways &amp; Servers &gt; select each Gateway &gt; NAT - Network Address Translation</t>
    </r>
    <r>
      <rPr>
        <sz val="11"/>
        <color rgb="FF006096"/>
        <rFont val="Roboto Condensed"/>
      </rPr>
      <t xml:space="preserve">
</t>
    </r>
    <r>
      <rPr>
        <sz val="11"/>
        <color rgb="FF006096"/>
        <rFont val="Roboto Condensed"/>
      </rPr>
      <t>Unchecked the Allow bi-directional NAT</t>
    </r>
    <r>
      <rPr>
        <sz val="11"/>
        <color rgb="FF006096"/>
        <rFont val="Roboto Condensed"/>
      </rPr>
      <t xml:space="preserve">
</t>
    </r>
  </si>
  <si>
    <r>
      <rPr>
        <sz val="11"/>
        <color rgb="FF000000"/>
        <rFont val="Calibri"/>
      </rPr>
      <t>Allow bi-directional NAT applies to automatic NAT rules in the NAT Rule Base and allows two automatic NAT rules to match a connection. Without Bidirectional NAT, only one automatic NAT rule can match a connection.</t>
    </r>
  </si>
  <si>
    <r>
      <rPr>
        <sz val="11"/>
        <color rgb="FF000000"/>
        <rFont val="Calibri"/>
      </rPr>
      <t>Verify Allow bi-directional NAT under Global Properties is enabled.</t>
    </r>
    <r>
      <rPr>
        <sz val="11"/>
        <color rgb="FF000000"/>
        <rFont val="Calibri"/>
      </rPr>
      <t xml:space="preserve">
</t>
    </r>
    <r>
      <rPr>
        <sz val="11"/>
        <color rgb="FF006096"/>
        <rFont val="Roboto Condensed"/>
      </rPr>
      <t>SmartConsole &gt; Gateways &amp; Servers &gt; select each Gateway &gt; NAT - Network Address Translation</t>
    </r>
    <r>
      <rPr>
        <sz val="11"/>
        <color rgb="FF006096"/>
        <rFont val="Roboto Condensed"/>
      </rPr>
      <t xml:space="preserve">
</t>
    </r>
    <r>
      <rPr>
        <sz val="11"/>
        <color rgb="FF006096"/>
        <rFont val="Roboto Condensed"/>
      </rPr>
      <t>Verify Allow bi-directional NAT is checked.</t>
    </r>
    <r>
      <rPr>
        <sz val="11"/>
        <color rgb="FF006096"/>
        <rFont val="Roboto Condensed"/>
      </rPr>
      <t xml:space="preserve">
</t>
    </r>
  </si>
  <si>
    <t>3.19</t>
  </si>
  <si>
    <r>
      <rPr>
        <sz val="11"/>
        <rFont val="Calibri"/>
      </rPr>
      <t>Ensure Automatic ARP Configuration NAT is enabled</t>
    </r>
  </si>
  <si>
    <r>
      <rPr>
        <sz val="11"/>
        <color rgb="FF000000"/>
        <rFont val="Calibri"/>
      </rPr>
      <t>Go to the following path and Configured the Automatic ARP Configuration NAT.</t>
    </r>
    <r>
      <rPr>
        <sz val="11"/>
        <color rgb="FF000000"/>
        <rFont val="Calibri"/>
      </rPr>
      <t xml:space="preserve">
</t>
    </r>
    <r>
      <rPr>
        <sz val="11"/>
        <color rgb="FF006096"/>
        <rFont val="Roboto Condensed"/>
      </rPr>
      <t>SmartConsole &gt; Gateways &amp; Servers &gt; select each Gateway &gt; NAT - Network Address Translation</t>
    </r>
    <r>
      <rPr>
        <sz val="11"/>
        <color rgb="FF006096"/>
        <rFont val="Roboto Condensed"/>
      </rPr>
      <t xml:space="preserve">
</t>
    </r>
    <r>
      <rPr>
        <sz val="11"/>
        <color rgb="FF006096"/>
        <rFont val="Roboto Condensed"/>
      </rPr>
      <t>Unchecked the Automatic ARP Configuration NAT</t>
    </r>
    <r>
      <rPr>
        <sz val="11"/>
        <color rgb="FF006096"/>
        <rFont val="Roboto Condensed"/>
      </rPr>
      <t xml:space="preserve">
</t>
    </r>
  </si>
  <si>
    <r>
      <rPr>
        <sz val="11"/>
        <color rgb="FF000000"/>
        <rFont val="Calibri"/>
      </rPr>
      <t>Proxy ARP is a mechanism that allows the configuration of a Gateway to respond to ARP requests on behalf of other hosts.</t>
    </r>
  </si>
  <si>
    <r>
      <rPr>
        <sz val="11"/>
        <color rgb="FF000000"/>
        <rFont val="Calibri"/>
      </rPr>
      <t>Verify Automatic ARP Configuration NAT under Global Properties is enabled.</t>
    </r>
    <r>
      <rPr>
        <sz val="11"/>
        <color rgb="FF000000"/>
        <rFont val="Calibri"/>
      </rPr>
      <t xml:space="preserve">
</t>
    </r>
    <r>
      <rPr>
        <sz val="11"/>
        <color rgb="FF006096"/>
        <rFont val="Roboto Condensed"/>
      </rPr>
      <t>SmartConsole &gt; Gateways &amp; Servers &gt; select each Gateway &gt; NAT - Network Address Translation</t>
    </r>
    <r>
      <rPr>
        <sz val="11"/>
        <color rgb="FF006096"/>
        <rFont val="Roboto Condensed"/>
      </rPr>
      <t xml:space="preserve">
</t>
    </r>
    <r>
      <rPr>
        <sz val="11"/>
        <color rgb="FF006096"/>
        <rFont val="Roboto Condensed"/>
      </rPr>
      <t>Verify Automatic ARP Configuration NAT is checked.</t>
    </r>
    <r>
      <rPr>
        <sz val="11"/>
        <color rgb="FF006096"/>
        <rFont val="Roboto Condensed"/>
      </rPr>
      <t xml:space="preserve">
</t>
    </r>
  </si>
  <si>
    <t>3.20</t>
  </si>
  <si>
    <r>
      <rPr>
        <sz val="11"/>
        <rFont val="Calibri"/>
      </rPr>
      <t>Ensure Logging is enabled for Track Options of Global Properties</t>
    </r>
  </si>
  <si>
    <r>
      <rPr>
        <sz val="11"/>
        <color rgb="FF000000"/>
        <rFont val="Calibri"/>
      </rPr>
      <t>Logging is set to Log or Popuop Alert or Mail Alert or SNMP Trap Alert for the following events</t>
    </r>
    <r>
      <rPr>
        <sz val="11"/>
        <color rgb="FF000000"/>
        <rFont val="Calibri"/>
      </rPr>
      <t xml:space="preserve">
</t>
    </r>
    <r>
      <rPr>
        <sz val="11"/>
        <color rgb="FF006096"/>
        <rFont val="Roboto Condensed"/>
      </rPr>
      <t>SmartConsole &gt; Global Properties &gt; Log and Alert &gt; Track Options</t>
    </r>
    <r>
      <rPr>
        <sz val="11"/>
        <color rgb="FF006096"/>
        <rFont val="Roboto Condensed"/>
      </rPr>
      <t xml:space="preserve">
</t>
    </r>
    <r>
      <rPr>
        <sz val="11"/>
        <color rgb="FF006096"/>
        <rFont val="Roboto Condensed"/>
      </rPr>
      <t>VPN successful key exchange</t>
    </r>
    <r>
      <rPr>
        <sz val="11"/>
        <color rgb="FF006096"/>
        <rFont val="Roboto Condensed"/>
      </rPr>
      <t xml:space="preserve">
</t>
    </r>
    <r>
      <rPr>
        <sz val="11"/>
        <color rgb="FF006096"/>
        <rFont val="Roboto Condensed"/>
      </rPr>
      <t>VPN packet handling errors</t>
    </r>
    <r>
      <rPr>
        <sz val="11"/>
        <color rgb="FF006096"/>
        <rFont val="Roboto Condensed"/>
      </rPr>
      <t xml:space="preserve">
</t>
    </r>
    <r>
      <rPr>
        <sz val="11"/>
        <color rgb="FF006096"/>
        <rFont val="Roboto Condensed"/>
      </rPr>
      <t>VPN configuration &amp; key exchange errors</t>
    </r>
    <r>
      <rPr>
        <sz val="11"/>
        <color rgb="FF006096"/>
        <rFont val="Roboto Condensed"/>
      </rPr>
      <t xml:space="preserve">
</t>
    </r>
    <r>
      <rPr>
        <sz val="11"/>
        <color rgb="FF006096"/>
        <rFont val="Roboto Condensed"/>
      </rPr>
      <t>IP Options drop</t>
    </r>
    <r>
      <rPr>
        <sz val="11"/>
        <color rgb="FF006096"/>
        <rFont val="Roboto Condensed"/>
      </rPr>
      <t xml:space="preserve">
</t>
    </r>
    <r>
      <rPr>
        <sz val="11"/>
        <color rgb="FF006096"/>
        <rFont val="Roboto Condensed"/>
      </rPr>
      <t>Administrative Notification</t>
    </r>
    <r>
      <rPr>
        <sz val="11"/>
        <color rgb="FF006096"/>
        <rFont val="Roboto Condensed"/>
      </rPr>
      <t xml:space="preserve">
</t>
    </r>
    <r>
      <rPr>
        <sz val="11"/>
        <color rgb="FF006096"/>
        <rFont val="Roboto Condensed"/>
      </rPr>
      <t>Connection matched by SAM</t>
    </r>
    <r>
      <rPr>
        <sz val="11"/>
        <color rgb="FF006096"/>
        <rFont val="Roboto Condensed"/>
      </rPr>
      <t xml:space="preserve">
</t>
    </r>
    <r>
      <rPr>
        <sz val="11"/>
        <color rgb="FF006096"/>
        <rFont val="Roboto Condensed"/>
      </rPr>
      <t>Dynamic object resolution failure</t>
    </r>
    <r>
      <rPr>
        <sz val="11"/>
        <color rgb="FF006096"/>
        <rFont val="Roboto Condensed"/>
      </rPr>
      <t xml:space="preserve">
</t>
    </r>
    <r>
      <rPr>
        <sz val="11"/>
        <color rgb="FF006096"/>
        <rFont val="Roboto Condensed"/>
      </rPr>
      <t>Packet is incorrectly tagged</t>
    </r>
    <r>
      <rPr>
        <sz val="11"/>
        <color rgb="FF006096"/>
        <rFont val="Roboto Condensed"/>
      </rPr>
      <t xml:space="preserve">
</t>
    </r>
    <r>
      <rPr>
        <sz val="11"/>
        <color rgb="FF006096"/>
        <rFont val="Roboto Condensed"/>
      </rPr>
      <t>Packet tagging brute force attack</t>
    </r>
    <r>
      <rPr>
        <sz val="11"/>
        <color rgb="FF006096"/>
        <rFont val="Roboto Condensed"/>
      </rPr>
      <t xml:space="preserve">
</t>
    </r>
    <r>
      <rPr>
        <sz val="11"/>
        <color rgb="FF006096"/>
        <rFont val="Roboto Condensed"/>
      </rPr>
      <t>Checked the  Log every authenticated HTTP connection.</t>
    </r>
    <r>
      <rPr>
        <sz val="11"/>
        <color rgb="FF006096"/>
        <rFont val="Roboto Condensed"/>
      </rPr>
      <t xml:space="preserve">
</t>
    </r>
  </si>
  <si>
    <r>
      <rPr>
        <sz val="11"/>
        <color rgb="FF000000"/>
        <rFont val="Calibri"/>
      </rPr>
      <t>This defines the system-wide logging and alerting of parameters.</t>
    </r>
  </si>
  <si>
    <r>
      <rPr>
        <sz val="11"/>
        <color rgb="FF000000"/>
        <rFont val="Calibri"/>
      </rPr>
      <t>Verify Logging is set to Log or Popuop Alert or Mail Alert or SNMP Trap Alert for the following events</t>
    </r>
    <r>
      <rPr>
        <sz val="11"/>
        <color rgb="FF000000"/>
        <rFont val="Calibri"/>
      </rPr>
      <t xml:space="preserve">
</t>
    </r>
    <r>
      <rPr>
        <sz val="11"/>
        <color rgb="FF006096"/>
        <rFont val="Roboto Condensed"/>
      </rPr>
      <t>SmartConsole &gt; Global Properties &gt; Log and Alert &gt; Track Options</t>
    </r>
    <r>
      <rPr>
        <sz val="11"/>
        <color rgb="FF006096"/>
        <rFont val="Roboto Condensed"/>
      </rPr>
      <t xml:space="preserve">
</t>
    </r>
    <r>
      <rPr>
        <sz val="11"/>
        <color rgb="FF006096"/>
        <rFont val="Roboto Condensed"/>
      </rPr>
      <t>VPN successful key exchange</t>
    </r>
    <r>
      <rPr>
        <sz val="11"/>
        <color rgb="FF006096"/>
        <rFont val="Roboto Condensed"/>
      </rPr>
      <t xml:space="preserve">
</t>
    </r>
    <r>
      <rPr>
        <sz val="11"/>
        <color rgb="FF006096"/>
        <rFont val="Roboto Condensed"/>
      </rPr>
      <t>VPN packet handling errors</t>
    </r>
    <r>
      <rPr>
        <sz val="11"/>
        <color rgb="FF006096"/>
        <rFont val="Roboto Condensed"/>
      </rPr>
      <t xml:space="preserve">
</t>
    </r>
    <r>
      <rPr>
        <sz val="11"/>
        <color rgb="FF006096"/>
        <rFont val="Roboto Condensed"/>
      </rPr>
      <t>VPN configuration &amp; key exchange errors</t>
    </r>
    <r>
      <rPr>
        <sz val="11"/>
        <color rgb="FF006096"/>
        <rFont val="Roboto Condensed"/>
      </rPr>
      <t xml:space="preserve">
</t>
    </r>
    <r>
      <rPr>
        <sz val="11"/>
        <color rgb="FF006096"/>
        <rFont val="Roboto Condensed"/>
      </rPr>
      <t>IP Options drop</t>
    </r>
    <r>
      <rPr>
        <sz val="11"/>
        <color rgb="FF006096"/>
        <rFont val="Roboto Condensed"/>
      </rPr>
      <t xml:space="preserve">
</t>
    </r>
    <r>
      <rPr>
        <sz val="11"/>
        <color rgb="FF006096"/>
        <rFont val="Roboto Condensed"/>
      </rPr>
      <t>Administrative Notification</t>
    </r>
    <r>
      <rPr>
        <sz val="11"/>
        <color rgb="FF006096"/>
        <rFont val="Roboto Condensed"/>
      </rPr>
      <t xml:space="preserve">
</t>
    </r>
    <r>
      <rPr>
        <sz val="11"/>
        <color rgb="FF006096"/>
        <rFont val="Roboto Condensed"/>
      </rPr>
      <t>Connection matched by SAM</t>
    </r>
    <r>
      <rPr>
        <sz val="11"/>
        <color rgb="FF006096"/>
        <rFont val="Roboto Condensed"/>
      </rPr>
      <t xml:space="preserve">
</t>
    </r>
    <r>
      <rPr>
        <sz val="11"/>
        <color rgb="FF006096"/>
        <rFont val="Roboto Condensed"/>
      </rPr>
      <t>Dynamic object resolution failure</t>
    </r>
    <r>
      <rPr>
        <sz val="11"/>
        <color rgb="FF006096"/>
        <rFont val="Roboto Condensed"/>
      </rPr>
      <t xml:space="preserve">
</t>
    </r>
    <r>
      <rPr>
        <sz val="11"/>
        <color rgb="FF006096"/>
        <rFont val="Roboto Condensed"/>
      </rPr>
      <t>Packet is incorrectly tagged</t>
    </r>
    <r>
      <rPr>
        <sz val="11"/>
        <color rgb="FF006096"/>
        <rFont val="Roboto Condensed"/>
      </rPr>
      <t xml:space="preserve">
</t>
    </r>
    <r>
      <rPr>
        <sz val="11"/>
        <color rgb="FF006096"/>
        <rFont val="Roboto Condensed"/>
      </rPr>
      <t>Packet tagging brute force attack</t>
    </r>
    <r>
      <rPr>
        <sz val="11"/>
        <color rgb="FF006096"/>
        <rFont val="Roboto Condensed"/>
      </rPr>
      <t xml:space="preserve">
</t>
    </r>
    <r>
      <rPr>
        <sz val="11"/>
        <color rgb="FF006096"/>
        <rFont val="Roboto Condensed"/>
      </rPr>
      <t>Verify Log every authenticated HTTP connection is enabled.</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</si>
  <si>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</si>
  <si>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</si>
  <si>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</si>
  <si>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</si>
  <si>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</si>
  <si>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</si>
  <si>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</si>
  <si>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</si>
  <si>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</si>
  <si>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</si>
  <si>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</si>
  <si>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</si>
  <si>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</si>
  <si>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</si>
  <si>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</si>
  <si>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</si>
  <si>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</si>
  <si>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</si>
  <si>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</si>
  <si>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</si>
  <si>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</si>
  <si>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</si>
  <si>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</si>
  <si>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</si>
  <si>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</si>
  <si>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</si>
  <si>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</si>
  <si>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</si>
  <si>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</si>
  <si>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Check Point Firewall Benchmark</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</si>
  <si>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</si>
  <si>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</si>
  <si>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</si>
  <si>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08 November 2023     </t>
    </r>
    <r>
      <rPr>
        <b/>
        <sz val="11"/>
        <color rgb="FF000000"/>
        <rFont val="Calibri"/>
      </rPr>
      <t>Recommendation Count:</t>
    </r>
    <r>
      <rPr>
        <sz val="11"/>
        <color rgb="FF000000"/>
        <rFont val="Calibri"/>
      </rPr>
      <t xml:space="preserve"> 60</t>
    </r>
  </si>
  <si>
    <t>Development Url:</t>
  </si>
  <si>
    <t>https://workbench.cisecurity.org/benchmarks/572</t>
  </si>
  <si>
    <t>Download Url:</t>
  </si>
  <si>
    <t>https://downloads.cisecurity.org/#/</t>
  </si>
  <si>
    <t>Guide Overview:</t>
  </si>
  <si>
    <r>
      <rPr>
        <sz val="11"/>
        <color rgb="FF000000"/>
        <rFont val="Calibri"/>
      </rPr>
      <t>This benchmark, CIS Check Point Firewall Benchmark, provides prescriptive guidance for establishing a secure configuration posture for Check Point Firewall. This guide was tested against Check Point Firewall.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</si>
  <si>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</si>
  <si>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Check Point Firewall.</t>
    </r>
  </si>
  <si>
    <t>Profiles:</t>
  </si>
  <si>
    <r>
      <rPr>
        <b/>
        <sz val="11"/>
        <color rgb="FF240458"/>
        <rFont val="Calibri"/>
      </rPr>
      <t>Level 1</t>
    </r>
  </si>
  <si>
    <r>
      <rPr>
        <sz val="11"/>
        <color rgb="FF000000"/>
        <rFont val="Calibri"/>
      </rPr>
      <t>Items in this profile apply to Check Point Firewall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</si>
  <si>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</si>
  <si>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apply to Check Point Firewall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</si>
  <si>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</si>
  <si>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</si>
  <si>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</si>
  <si>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</si>
  <si>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</si>
  <si>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</si>
  <si>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</si>
  <si>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</si>
  <si>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</si>
  <si>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</si>
  <si>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</si>
  <si>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</si>
  <si>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</si>
  <si>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</si>
  <si>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</si>
  <si>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</si>
  <si>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</si>
  <si>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CIS Check Point Firewall Benchmark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</si>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</sst>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9"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0" fillId="4" borderId="11" xfId="0" applyNumberFormat="1" applyFont="1" applyFill="1" applyBorder="1" applyAlignment="1" applyProtection="1">
      <alignment horizontal="left"/>
    </xf>
    <xf numFmtId="0" fontId="10" fillId="4" borderId="11" xfId="0" applyNumberFormat="1" applyFont="1" applyFill="1" applyBorder="1" applyAlignment="1" applyProtection="1">
      <alignment horizontal="center"/>
    </xf>
    <xf numFmtId="164" fontId="10" fillId="4" borderId="11" xfId="0" applyNumberFormat="1" applyFont="1" applyFill="1" applyBorder="1" applyAlignment="1" applyProtection="1">
      <alignment horizontal="center"/>
    </xf>
    <xf numFmtId="0" fontId="11" fillId="3" borderId="0" xfId="0" applyNumberFormat="1" applyFont="1" applyFill="1" applyProtection="1"/>
    <xf numFmtId="0" fontId="9"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3" fillId="3" borderId="0" xfId="0" applyNumberFormat="1" applyFont="1" applyFill="1" applyProtection="1"/>
    <xf numFmtId="0" fontId="14" fillId="3" borderId="13" xfId="0" applyNumberFormat="1" applyFont="1" applyFill="1" applyBorder="1" applyAlignment="1" applyProtection="1">
      <alignment horizontal="right" vertical="center"/>
    </xf>
    <xf numFmtId="0" fontId="15"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9" fillId="2" borderId="11" xfId="0" applyNumberFormat="1" applyFont="1" applyFill="1" applyBorder="1" applyAlignment="1" applyProtection="1">
      <alignment horizontal="center" vertical="center" wrapText="1"/>
    </xf>
    <xf numFmtId="0" fontId="16"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9"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8" fillId="14" borderId="11" xfId="0" applyNumberFormat="1" applyFont="1" applyFill="1" applyBorder="1" applyAlignment="1" applyProtection="1">
      <alignment horizontal="center" vertical="center" wrapText="1"/>
    </xf>
    <xf numFmtId="0" fontId="18" fillId="15" borderId="11" xfId="0" applyNumberFormat="1" applyFont="1" applyFill="1" applyBorder="1" applyAlignment="1" applyProtection="1">
      <alignment horizontal="center" vertical="center" wrapText="1"/>
    </xf>
    <xf numFmtId="0" fontId="18" fillId="16" borderId="11" xfId="0" applyNumberFormat="1" applyFont="1" applyFill="1" applyBorder="1" applyAlignment="1" applyProtection="1">
      <alignment horizontal="center" vertical="center" wrapText="1"/>
    </xf>
    <xf numFmtId="0" fontId="18" fillId="17" borderId="11" xfId="0" applyNumberFormat="1" applyFont="1" applyFill="1" applyBorder="1" applyAlignment="1" applyProtection="1">
      <alignment horizontal="center" vertical="center" wrapText="1"/>
    </xf>
    <xf numFmtId="0" fontId="18" fillId="18" borderId="11" xfId="0" applyNumberFormat="1" applyFont="1" applyFill="1" applyBorder="1" applyAlignment="1" applyProtection="1">
      <alignment horizontal="center" vertical="center" wrapText="1"/>
    </xf>
    <xf numFmtId="0" fontId="18" fillId="19" borderId="11" xfId="0" applyNumberFormat="1" applyFont="1" applyFill="1" applyBorder="1" applyAlignment="1" applyProtection="1">
      <alignment horizontal="center" vertical="center" wrapText="1"/>
    </xf>
    <xf numFmtId="0" fontId="19"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0"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9"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9"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2" fillId="3" borderId="0" xfId="0" applyNumberFormat="1" applyFont="1" applyFill="1" applyAlignment="1" applyProtection="1">
      <alignment vertical="top" wrapText="1"/>
    </xf>
    <xf numFmtId="3" fontId="17"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7"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9"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3">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268-483E-AD66-A31FE6330FE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268-483E-AD66-A31FE6330FE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60</c:v>
                </c:pt>
              </c:numCache>
            </c:numRef>
          </c:val>
          <c:extLst>
            <c:ext xmlns:c16="http://schemas.microsoft.com/office/drawing/2014/chart" uri="{C3380CC4-5D6E-409C-BE32-E72D297353CC}">
              <c16:uniqueId val="{00000002-1268-483E-AD66-A31FE6330FE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90BC-4CAB-9AFF-7E55E1AD47C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90BC-4CAB-9AFF-7E55E1AD47C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42</c:v>
                </c:pt>
                <c:pt idx="1">
                  <c:v>18</c:v>
                </c:pt>
              </c:numCache>
            </c:numRef>
          </c:val>
          <c:extLst>
            <c:ext xmlns:c16="http://schemas.microsoft.com/office/drawing/2014/chart" uri="{C3380CC4-5D6E-409C-BE32-E72D297353CC}">
              <c16:uniqueId val="{00000002-90BC-4CAB-9AFF-7E55E1AD47C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E4C-4CEF-B09F-736968C7593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E4C-4CEF-B09F-736968C7593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60</c:v>
                </c:pt>
              </c:numCache>
            </c:numRef>
          </c:val>
          <c:extLst>
            <c:ext xmlns:c16="http://schemas.microsoft.com/office/drawing/2014/chart" uri="{C3380CC4-5D6E-409C-BE32-E72D297353CC}">
              <c16:uniqueId val="{00000002-CE4C-4CEF-B09F-736968C7593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B616-4872-9B20-99EFD2BD7E2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B616-4872-9B20-99EFD2BD7E2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57</c:v>
                </c:pt>
                <c:pt idx="1">
                  <c:v>3</c:v>
                </c:pt>
              </c:numCache>
            </c:numRef>
          </c:val>
          <c:extLst>
            <c:ext xmlns:c16="http://schemas.microsoft.com/office/drawing/2014/chart" uri="{C3380CC4-5D6E-409C-BE32-E72D297353CC}">
              <c16:uniqueId val="{00000002-B616-4872-9B20-99EFD2BD7E2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FA0-4351-A6BD-D5047CFCACD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FA0-4351-A6BD-D5047CFCACD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60</c:v>
                </c:pt>
              </c:numCache>
            </c:numRef>
          </c:val>
          <c:extLst>
            <c:ext xmlns:c16="http://schemas.microsoft.com/office/drawing/2014/chart" uri="{C3380CC4-5D6E-409C-BE32-E72D297353CC}">
              <c16:uniqueId val="{00000002-EFA0-4351-A6BD-D5047CFCACD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1D2-4667-8ABC-D289D249362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1D2-4667-8ABC-D289D249362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60</c:v>
                </c:pt>
              </c:numCache>
            </c:numRef>
          </c:val>
          <c:extLst>
            <c:ext xmlns:c16="http://schemas.microsoft.com/office/drawing/2014/chart" uri="{C3380CC4-5D6E-409C-BE32-E72D297353CC}">
              <c16:uniqueId val="{00000002-71D2-4667-8ABC-D289D249362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E26-4749-80CB-E6AD514B1A2B}"/>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E26-4749-80CB-E6AD514B1A2B}"/>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E26-4749-80CB-E6AD514B1A2B}"/>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E26-4749-80CB-E6AD514B1A2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690-4B8A-958C-FEB43B0425B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syayg">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2c4x4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meeec2">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ejpxqx">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153ee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vkfex5">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dq5ykv">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wy0jvj">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61">
  <autoFilter ref="A1:Q6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57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358</v>
      </c>
    </row>
    <row r="3" spans="2:3" ht="15" customHeight="1" x14ac:dyDescent="0.35"/>
    <row r="4" spans="2:3" ht="58" x14ac:dyDescent="0.35">
      <c r="B4" s="20" t="s">
        <v>359</v>
      </c>
      <c r="C4" s="21" t="s">
        <v>360</v>
      </c>
    </row>
    <row r="5" spans="2:3" x14ac:dyDescent="0.35">
      <c r="C5" s="21" t="s">
        <v>361</v>
      </c>
    </row>
    <row r="6" spans="2:3" x14ac:dyDescent="0.35">
      <c r="C6" s="18" t="s">
        <v>362</v>
      </c>
    </row>
    <row r="7" spans="2:3" ht="10" customHeight="1" x14ac:dyDescent="0.35"/>
    <row r="8" spans="2:3" ht="232" x14ac:dyDescent="0.35">
      <c r="B8" s="22" t="s">
        <v>363</v>
      </c>
      <c r="C8" s="21" t="s">
        <v>364</v>
      </c>
    </row>
    <row r="9" spans="2:3" ht="10" customHeight="1" x14ac:dyDescent="0.35"/>
    <row r="10" spans="2:3" ht="35" customHeight="1" x14ac:dyDescent="0.35">
      <c r="B10" s="22" t="s">
        <v>365</v>
      </c>
      <c r="C10" s="21" t="s">
        <v>366</v>
      </c>
    </row>
    <row r="11" spans="2:3" ht="75" customHeight="1" x14ac:dyDescent="0.35">
      <c r="B11" s="18" t="s">
        <v>25</v>
      </c>
      <c r="C11" s="21" t="s">
        <v>367</v>
      </c>
    </row>
    <row r="12" spans="2:3" ht="47" customHeight="1" x14ac:dyDescent="0.35">
      <c r="B12" s="18" t="s">
        <v>25</v>
      </c>
      <c r="C12" s="21" t="s">
        <v>368</v>
      </c>
    </row>
    <row r="13" spans="2:3" ht="35" customHeight="1" x14ac:dyDescent="0.35">
      <c r="B13" s="18" t="s">
        <v>25</v>
      </c>
      <c r="C13" s="21" t="s">
        <v>369</v>
      </c>
    </row>
    <row r="14" spans="2:3" ht="32" customHeight="1" x14ac:dyDescent="0.35">
      <c r="B14" s="18" t="s">
        <v>25</v>
      </c>
      <c r="C14" s="21" t="s">
        <v>370</v>
      </c>
    </row>
    <row r="15" spans="2:3" ht="30" customHeight="1" x14ac:dyDescent="0.35">
      <c r="B15" s="18" t="s">
        <v>25</v>
      </c>
      <c r="C15" s="21" t="s">
        <v>371</v>
      </c>
    </row>
    <row r="16" spans="2:3" ht="10" customHeight="1" x14ac:dyDescent="0.35"/>
    <row r="17" spans="1:3" ht="145" customHeight="1" x14ac:dyDescent="0.35">
      <c r="B17" s="22" t="s">
        <v>372</v>
      </c>
      <c r="C17" s="21" t="s">
        <v>373</v>
      </c>
    </row>
    <row r="18" spans="1:3" ht="10" customHeight="1" x14ac:dyDescent="0.35"/>
    <row r="19" spans="1:3" ht="3" customHeight="1" x14ac:dyDescent="0.35">
      <c r="B19" s="23"/>
      <c r="C19" s="23"/>
    </row>
    <row r="20" spans="1:3" ht="12" customHeight="1" x14ac:dyDescent="0.35"/>
    <row r="21" spans="1:3" ht="35" customHeight="1" x14ac:dyDescent="0.35">
      <c r="A21" s="25"/>
      <c r="B21" s="26" t="s">
        <v>374</v>
      </c>
      <c r="C21" s="27" t="s">
        <v>375</v>
      </c>
    </row>
    <row r="22" spans="1:3" ht="18" customHeight="1" x14ac:dyDescent="0.35">
      <c r="A22" s="25"/>
      <c r="B22" s="25" t="s">
        <v>25</v>
      </c>
      <c r="C22" s="27" t="s">
        <v>376</v>
      </c>
    </row>
    <row r="23" spans="1:3" ht="18" customHeight="1" x14ac:dyDescent="0.35">
      <c r="A23" s="25"/>
      <c r="B23" s="25" t="s">
        <v>25</v>
      </c>
      <c r="C23" s="27" t="s">
        <v>377</v>
      </c>
    </row>
    <row r="24" spans="1:3" ht="18" customHeight="1" x14ac:dyDescent="0.35">
      <c r="A24" s="25"/>
      <c r="B24" s="25" t="s">
        <v>25</v>
      </c>
      <c r="C24" s="27" t="s">
        <v>378</v>
      </c>
    </row>
    <row r="25" spans="1:3" ht="18" customHeight="1" x14ac:dyDescent="0.35">
      <c r="A25" s="25"/>
      <c r="B25" s="25" t="s">
        <v>25</v>
      </c>
      <c r="C25" s="27" t="s">
        <v>379</v>
      </c>
    </row>
    <row r="26" spans="1:3" ht="18" customHeight="1" x14ac:dyDescent="0.35">
      <c r="A26" s="25"/>
      <c r="B26" s="25" t="s">
        <v>25</v>
      </c>
      <c r="C26" s="27" t="s">
        <v>380</v>
      </c>
    </row>
    <row r="27" spans="1:3" ht="18" customHeight="1" x14ac:dyDescent="0.35">
      <c r="A27" s="25"/>
      <c r="B27" s="25" t="s">
        <v>25</v>
      </c>
      <c r="C27" s="27" t="s">
        <v>381</v>
      </c>
    </row>
    <row r="28" spans="1:3" ht="18" customHeight="1" x14ac:dyDescent="0.35">
      <c r="A28" s="25"/>
      <c r="B28" s="25" t="s">
        <v>25</v>
      </c>
      <c r="C28" s="27" t="s">
        <v>382</v>
      </c>
    </row>
    <row r="29" spans="1:3" ht="18" customHeight="1" x14ac:dyDescent="0.35">
      <c r="A29" s="25"/>
      <c r="B29" s="25" t="s">
        <v>25</v>
      </c>
      <c r="C29" s="27" t="s">
        <v>383</v>
      </c>
    </row>
    <row r="30" spans="1:3" ht="44" customHeight="1" x14ac:dyDescent="0.35">
      <c r="A30" s="25"/>
      <c r="B30" s="25" t="s">
        <v>25</v>
      </c>
      <c r="C30" s="28" t="s">
        <v>384</v>
      </c>
    </row>
    <row r="31" spans="1:3" ht="10" customHeight="1" x14ac:dyDescent="0.35"/>
    <row r="32" spans="1:3" ht="3" customHeight="1" x14ac:dyDescent="0.35">
      <c r="B32" s="23"/>
      <c r="C32" s="23"/>
    </row>
    <row r="33" spans="2:3" ht="12" customHeight="1" x14ac:dyDescent="0.35"/>
    <row r="34" spans="2:3" ht="24" customHeight="1" x14ac:dyDescent="0.35">
      <c r="B34" s="29" t="s">
        <v>385</v>
      </c>
      <c r="C34" s="30" t="s">
        <v>386</v>
      </c>
    </row>
    <row r="35" spans="2:3" ht="18.5" x14ac:dyDescent="0.35">
      <c r="B35" s="29" t="s">
        <v>387</v>
      </c>
      <c r="C35" s="31" t="s">
        <v>388</v>
      </c>
    </row>
    <row r="36" spans="2:3" ht="27" customHeight="1" x14ac:dyDescent="0.35">
      <c r="B36" s="32" t="s">
        <v>389</v>
      </c>
      <c r="C36" s="24" t="s">
        <v>390</v>
      </c>
    </row>
    <row r="37" spans="2:3" x14ac:dyDescent="0.35">
      <c r="B37" s="29" t="s">
        <v>391</v>
      </c>
      <c r="C37" s="33" t="s">
        <v>392</v>
      </c>
    </row>
    <row r="38" spans="2:3" x14ac:dyDescent="0.35">
      <c r="B38" s="29" t="s">
        <v>393</v>
      </c>
      <c r="C38" s="33" t="s">
        <v>394</v>
      </c>
    </row>
    <row r="39" spans="2:3" ht="10" customHeight="1" x14ac:dyDescent="0.35"/>
    <row r="40" spans="2:3" ht="29" x14ac:dyDescent="0.35">
      <c r="B40" s="29" t="s">
        <v>395</v>
      </c>
      <c r="C40" s="34" t="s">
        <v>396</v>
      </c>
    </row>
    <row r="42" spans="2:3" ht="43.5" x14ac:dyDescent="0.35">
      <c r="B42" s="29" t="s">
        <v>397</v>
      </c>
      <c r="C42" s="21" t="s">
        <v>398</v>
      </c>
    </row>
    <row r="43" spans="2:3" ht="10" customHeight="1" x14ac:dyDescent="0.35"/>
    <row r="44" spans="2:3" x14ac:dyDescent="0.35">
      <c r="B44" s="29" t="s">
        <v>399</v>
      </c>
      <c r="C44" s="35" t="s">
        <v>400</v>
      </c>
    </row>
    <row r="45" spans="2:3" ht="72.5" x14ac:dyDescent="0.35">
      <c r="C45" s="21" t="s">
        <v>401</v>
      </c>
    </row>
    <row r="47" spans="2:3" x14ac:dyDescent="0.35">
      <c r="C47" s="35" t="s">
        <v>402</v>
      </c>
    </row>
    <row r="48" spans="2:3" ht="87" x14ac:dyDescent="0.35">
      <c r="C48" s="21" t="s">
        <v>403</v>
      </c>
    </row>
    <row r="49" spans="2:3" ht="10" customHeight="1" x14ac:dyDescent="0.35"/>
    <row r="50" spans="2:3" ht="3" customHeight="1" x14ac:dyDescent="0.35">
      <c r="B50" s="23"/>
      <c r="C50" s="23"/>
    </row>
    <row r="51" spans="2:3" ht="12" customHeight="1" x14ac:dyDescent="0.35"/>
    <row r="52" spans="2:3" ht="130.5" x14ac:dyDescent="0.35">
      <c r="B52" s="20" t="s">
        <v>404</v>
      </c>
      <c r="C52" s="21" t="s">
        <v>405</v>
      </c>
    </row>
    <row r="53" spans="2:3" ht="6" customHeight="1" x14ac:dyDescent="0.35"/>
    <row r="54" spans="2:3" ht="217.5" x14ac:dyDescent="0.35">
      <c r="C54" s="21" t="s">
        <v>406</v>
      </c>
    </row>
    <row r="55" spans="2:3" ht="6" customHeight="1" x14ac:dyDescent="0.35"/>
    <row r="56" spans="2:3" ht="43.5" x14ac:dyDescent="0.35">
      <c r="C56" s="21" t="s">
        <v>407</v>
      </c>
    </row>
    <row r="57" spans="2:3" ht="10" customHeight="1" x14ac:dyDescent="0.35"/>
    <row r="58" spans="2:3" ht="3" customHeight="1" x14ac:dyDescent="0.35">
      <c r="B58" s="23"/>
      <c r="C58" s="23"/>
    </row>
    <row r="59" spans="2:3" ht="12" customHeight="1" x14ac:dyDescent="0.35"/>
    <row r="60" spans="2:3" ht="145" x14ac:dyDescent="0.35">
      <c r="B60" s="20" t="s">
        <v>408</v>
      </c>
      <c r="C60" s="21" t="s">
        <v>409</v>
      </c>
    </row>
    <row r="61" spans="2:3" ht="6" customHeight="1" x14ac:dyDescent="0.35"/>
    <row r="62" spans="2:3" ht="203" x14ac:dyDescent="0.35">
      <c r="C62" s="21" t="s">
        <v>410</v>
      </c>
    </row>
    <row r="63" spans="2:3" ht="6" customHeight="1" x14ac:dyDescent="0.35"/>
    <row r="64" spans="2:3" ht="43.5" x14ac:dyDescent="0.35">
      <c r="C64" s="21" t="s">
        <v>411</v>
      </c>
    </row>
    <row r="65" spans="2:3" ht="10" customHeight="1" x14ac:dyDescent="0.35"/>
    <row r="66" spans="2:3" ht="3" customHeight="1" x14ac:dyDescent="0.35">
      <c r="B66" s="23"/>
      <c r="C66" s="23"/>
    </row>
    <row r="67" spans="2:3" ht="12" customHeight="1" x14ac:dyDescent="0.35"/>
    <row r="68" spans="2:3" ht="101.5" x14ac:dyDescent="0.35">
      <c r="B68" s="20" t="s">
        <v>412</v>
      </c>
      <c r="C68" s="21" t="s">
        <v>413</v>
      </c>
    </row>
    <row r="69" spans="2:3" ht="6" customHeight="1" x14ac:dyDescent="0.35"/>
    <row r="70" spans="2:3" ht="145" x14ac:dyDescent="0.35">
      <c r="C70" s="21" t="s">
        <v>414</v>
      </c>
    </row>
    <row r="71" spans="2:3" ht="6" customHeight="1" x14ac:dyDescent="0.35"/>
    <row r="72" spans="2:3" ht="43.5" x14ac:dyDescent="0.35">
      <c r="C72" s="21" t="s">
        <v>415</v>
      </c>
    </row>
    <row r="76" spans="2:3" ht="32" customHeight="1" x14ac:dyDescent="0.35">
      <c r="B76" s="78" t="s">
        <v>357</v>
      </c>
      <c r="C76" s="78"/>
    </row>
  </sheetData>
  <sheetProtection password="90EA" sheet="1"/>
  <mergeCells count="1">
    <mergeCell ref="B76:C76"/>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76"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79" t="s">
        <v>416</v>
      </c>
      <c r="C2" s="80"/>
      <c r="D2" s="80"/>
      <c r="E2" s="80"/>
      <c r="F2" s="80"/>
      <c r="G2" s="80"/>
      <c r="H2" s="80"/>
      <c r="I2" s="80"/>
    </row>
    <row r="4" spans="2:15" ht="18.5" x14ac:dyDescent="0.45">
      <c r="B4" s="37" t="s">
        <v>417</v>
      </c>
    </row>
    <row r="5" spans="2:15" x14ac:dyDescent="0.35">
      <c r="B5" s="39" t="s">
        <v>25</v>
      </c>
      <c r="C5" s="39" t="s">
        <v>418</v>
      </c>
      <c r="D5" s="39" t="s">
        <v>419</v>
      </c>
      <c r="F5" s="81" t="s">
        <v>420</v>
      </c>
      <c r="G5" s="81"/>
      <c r="H5" s="81"/>
      <c r="I5" s="82" t="s">
        <v>421</v>
      </c>
      <c r="J5" s="82"/>
      <c r="K5" s="82"/>
      <c r="L5" s="82"/>
      <c r="M5" s="82"/>
      <c r="N5" s="82"/>
      <c r="O5" s="82"/>
    </row>
    <row r="6" spans="2:15" x14ac:dyDescent="0.35">
      <c r="B6" s="45" t="s">
        <v>422</v>
      </c>
      <c r="C6" s="46">
        <v>60</v>
      </c>
      <c r="D6" s="47" t="s">
        <v>25</v>
      </c>
      <c r="F6" s="81" t="s">
        <v>423</v>
      </c>
      <c r="G6" s="81"/>
      <c r="H6" s="81"/>
      <c r="I6" s="83" t="s">
        <v>424</v>
      </c>
      <c r="J6" s="83"/>
      <c r="K6" s="83"/>
      <c r="L6" s="83"/>
      <c r="M6" s="83"/>
      <c r="N6" s="83"/>
      <c r="O6" s="83"/>
    </row>
    <row r="7" spans="2:15" x14ac:dyDescent="0.35">
      <c r="B7" s="48" t="s">
        <v>425</v>
      </c>
      <c r="C7" s="49">
        <f>C6-C8-C9</f>
        <v>60</v>
      </c>
      <c r="D7" s="50">
        <f>IF(C6&gt;0,C7/C6,0)</f>
        <v>1</v>
      </c>
      <c r="F7" s="81" t="s">
        <v>426</v>
      </c>
      <c r="G7" s="81"/>
      <c r="H7" s="81"/>
      <c r="I7" s="83" t="s">
        <v>424</v>
      </c>
      <c r="J7" s="83"/>
      <c r="K7" s="83"/>
      <c r="L7" s="83"/>
      <c r="M7" s="83"/>
      <c r="N7" s="83"/>
      <c r="O7" s="83"/>
    </row>
    <row r="8" spans="2:15" x14ac:dyDescent="0.35">
      <c r="B8" s="41" t="s">
        <v>427</v>
      </c>
      <c r="C8" s="42">
        <f>COUNTIF('Recommendations'!I:I,"Risk Accepted")</f>
        <v>0</v>
      </c>
      <c r="D8" s="43">
        <f>IF(C6&gt;0,C8/C6,0)</f>
        <v>0</v>
      </c>
      <c r="F8" s="81" t="s">
        <v>428</v>
      </c>
      <c r="G8" s="81"/>
      <c r="H8" s="81"/>
      <c r="I8" s="83" t="s">
        <v>424</v>
      </c>
      <c r="J8" s="83"/>
      <c r="K8" s="83"/>
      <c r="L8" s="83"/>
      <c r="M8" s="83"/>
      <c r="N8" s="83"/>
      <c r="O8" s="83"/>
    </row>
    <row r="9" spans="2:15" x14ac:dyDescent="0.35">
      <c r="B9" s="41" t="s">
        <v>429</v>
      </c>
      <c r="C9" s="42">
        <f>COUNTIF('Recommendations'!I:I,"N/A")</f>
        <v>0</v>
      </c>
      <c r="D9" s="43">
        <f>IF(C6&gt;0,C9/C6,0)</f>
        <v>0</v>
      </c>
      <c r="F9" s="81" t="s">
        <v>430</v>
      </c>
      <c r="G9" s="81"/>
      <c r="H9" s="81"/>
      <c r="I9" s="83" t="s">
        <v>424</v>
      </c>
      <c r="J9" s="83"/>
      <c r="K9" s="83"/>
      <c r="L9" s="83"/>
      <c r="M9" s="83"/>
      <c r="N9" s="83"/>
      <c r="O9" s="83"/>
    </row>
    <row r="12" spans="2:15" ht="18.5" x14ac:dyDescent="0.45">
      <c r="B12" s="37" t="s">
        <v>431</v>
      </c>
    </row>
    <row r="14" spans="2:15" x14ac:dyDescent="0.35">
      <c r="B14" s="51" t="s">
        <v>432</v>
      </c>
    </row>
    <row r="15" spans="2:15" x14ac:dyDescent="0.35">
      <c r="B15" s="39" t="s">
        <v>25</v>
      </c>
      <c r="C15" s="39" t="s">
        <v>433</v>
      </c>
      <c r="D15" s="39" t="s">
        <v>434</v>
      </c>
      <c r="E15" s="39" t="s">
        <v>435</v>
      </c>
      <c r="F15" s="39" t="s">
        <v>436</v>
      </c>
    </row>
    <row r="16" spans="2:15" x14ac:dyDescent="0.35">
      <c r="B16" s="41" t="s">
        <v>437</v>
      </c>
      <c r="C16" s="42">
        <f>COUNTIF('Recommendations'!P:P,"Resolved")</f>
        <v>0</v>
      </c>
      <c r="D16" s="42">
        <f>COUNTIF('Recommendations'!P:P,"Testing")</f>
        <v>0</v>
      </c>
      <c r="E16" s="42">
        <f>COUNTIF('Recommendations'!P:P,"Outstanding")</f>
        <v>60</v>
      </c>
      <c r="F16" s="42">
        <f>SUM(C16:E16)</f>
        <v>60</v>
      </c>
    </row>
    <row r="18" spans="2:6" x14ac:dyDescent="0.35">
      <c r="B18" s="51" t="s">
        <v>438</v>
      </c>
    </row>
    <row r="19" spans="2:6" x14ac:dyDescent="0.35">
      <c r="B19" s="52" t="s">
        <v>25</v>
      </c>
      <c r="C19" s="52" t="s">
        <v>433</v>
      </c>
      <c r="D19" s="52" t="s">
        <v>434</v>
      </c>
      <c r="E19" s="52" t="s">
        <v>435</v>
      </c>
      <c r="F19" s="52" t="s">
        <v>25</v>
      </c>
    </row>
    <row r="20" spans="2:6" x14ac:dyDescent="0.35">
      <c r="B20" s="41" t="s">
        <v>437</v>
      </c>
      <c r="C20" s="43">
        <f>IF(F16&gt;0, C16/F16, 0)</f>
        <v>0</v>
      </c>
      <c r="D20" s="43">
        <f>IF(F16&gt;0, D16/F16, 0)</f>
        <v>0</v>
      </c>
      <c r="E20" s="43">
        <f>IF(F16&gt;0, E16/F16, 0)</f>
        <v>1</v>
      </c>
      <c r="F20" s="44" t="s">
        <v>25</v>
      </c>
    </row>
    <row r="25" spans="2:6" ht="18.5" x14ac:dyDescent="0.45">
      <c r="B25" s="37" t="s">
        <v>439</v>
      </c>
    </row>
    <row r="27" spans="2:6" x14ac:dyDescent="0.35">
      <c r="B27" s="51" t="s">
        <v>432</v>
      </c>
    </row>
    <row r="28" spans="2:6" x14ac:dyDescent="0.35">
      <c r="B28" s="39" t="s">
        <v>4</v>
      </c>
      <c r="C28" s="39" t="s">
        <v>433</v>
      </c>
      <c r="D28" s="39" t="s">
        <v>434</v>
      </c>
      <c r="E28" s="39" t="s">
        <v>435</v>
      </c>
      <c r="F28" s="39" t="s">
        <v>436</v>
      </c>
    </row>
    <row r="29" spans="2:6" x14ac:dyDescent="0.35">
      <c r="B29" s="41" t="s">
        <v>21</v>
      </c>
      <c r="C29" s="42">
        <f>COUNTIFS('Recommendations'!E:E,"Level 1",'Recommendations'!P:P,"=Resolved")</f>
        <v>0</v>
      </c>
      <c r="D29" s="42">
        <f>COUNTIFS('Recommendations'!E:E,"=Level 1",'Recommendations'!P:P,"=Testing")</f>
        <v>0</v>
      </c>
      <c r="E29" s="42">
        <f>COUNTIFS('Recommendations'!E:E,"=Level 1",'Recommendations'!P:P,"=Outstanding")</f>
        <v>42</v>
      </c>
      <c r="F29" s="42">
        <f>SUM(C29:E29)</f>
        <v>42</v>
      </c>
    </row>
    <row r="30" spans="2:6" x14ac:dyDescent="0.35">
      <c r="B30" s="41" t="s">
        <v>233</v>
      </c>
      <c r="C30" s="42">
        <f>COUNTIFS('Recommendations'!E:E,"Level 2",'Recommendations'!P:P,"=Resolved")</f>
        <v>0</v>
      </c>
      <c r="D30" s="42">
        <f>COUNTIFS('Recommendations'!E:E,"=Level 2",'Recommendations'!P:P,"=Testing")</f>
        <v>0</v>
      </c>
      <c r="E30" s="42">
        <f>COUNTIFS('Recommendations'!E:E,"=Level 2",'Recommendations'!P:P,"=Outstanding")</f>
        <v>18</v>
      </c>
      <c r="F30" s="42">
        <f>SUM(C30:E30)</f>
        <v>18</v>
      </c>
    </row>
    <row r="32" spans="2:6" x14ac:dyDescent="0.35">
      <c r="B32" s="51" t="s">
        <v>438</v>
      </c>
    </row>
    <row r="33" spans="2:6" x14ac:dyDescent="0.35">
      <c r="B33" s="52" t="s">
        <v>4</v>
      </c>
      <c r="C33" s="52" t="s">
        <v>433</v>
      </c>
      <c r="D33" s="52" t="s">
        <v>434</v>
      </c>
      <c r="E33" s="52" t="s">
        <v>435</v>
      </c>
      <c r="F33" s="52" t="s">
        <v>25</v>
      </c>
    </row>
    <row r="34" spans="2:6" x14ac:dyDescent="0.35">
      <c r="B34" s="41" t="s">
        <v>21</v>
      </c>
      <c r="C34" s="43">
        <f>IF(F29&gt;0, C29/F29, 0)</f>
        <v>0</v>
      </c>
      <c r="D34" s="43">
        <f>IF(F29&gt;0, D29/F29, 0)</f>
        <v>0</v>
      </c>
      <c r="E34" s="43">
        <f>IF(F29&gt;0, E29/F29, 0)</f>
        <v>1</v>
      </c>
      <c r="F34" s="44" t="s">
        <v>25</v>
      </c>
    </row>
    <row r="35" spans="2:6" x14ac:dyDescent="0.35">
      <c r="B35" s="41" t="s">
        <v>233</v>
      </c>
      <c r="C35" s="43">
        <f>IF(F30&gt;0, C30/F30, 0)</f>
        <v>0</v>
      </c>
      <c r="D35" s="43">
        <f>IF(F30&gt;0, D30/F30, 0)</f>
        <v>0</v>
      </c>
      <c r="E35" s="43">
        <f>IF(F30&gt;0, E30/F30, 0)</f>
        <v>1</v>
      </c>
      <c r="F35" s="44" t="s">
        <v>25</v>
      </c>
    </row>
    <row r="40" spans="2:6" ht="18.5" x14ac:dyDescent="0.45">
      <c r="B40" s="37" t="s">
        <v>440</v>
      </c>
    </row>
    <row r="42" spans="2:6" x14ac:dyDescent="0.35">
      <c r="B42" s="51" t="s">
        <v>432</v>
      </c>
    </row>
    <row r="43" spans="2:6" x14ac:dyDescent="0.35">
      <c r="B43" s="39" t="s">
        <v>7</v>
      </c>
      <c r="C43" s="39" t="s">
        <v>433</v>
      </c>
      <c r="D43" s="39" t="s">
        <v>434</v>
      </c>
      <c r="E43" s="39" t="s">
        <v>435</v>
      </c>
      <c r="F43" s="39" t="s">
        <v>436</v>
      </c>
    </row>
    <row r="44" spans="2:6" x14ac:dyDescent="0.35">
      <c r="B44" s="41" t="s">
        <v>441</v>
      </c>
      <c r="C44" s="42">
        <f>COUNTIFS('Recommendations'!H:H,"Phase1",'Recommendations'!P:P,"=Resolved")</f>
        <v>0</v>
      </c>
      <c r="D44" s="42">
        <f>COUNTIFS('Recommendations'!H:H,"=Phase1",'Recommendations'!P:P,"=Testing")</f>
        <v>0</v>
      </c>
      <c r="E44" s="42">
        <f>COUNTIFS('Recommendations'!H:H,"=Phase1",'Recommendations'!P:P,"=Outstanding")</f>
        <v>0</v>
      </c>
      <c r="F44" s="42">
        <f t="shared" ref="F44:F49" si="0">SUM(C44:E44)</f>
        <v>0</v>
      </c>
    </row>
    <row r="45" spans="2:6" x14ac:dyDescent="0.35">
      <c r="B45" s="41" t="s">
        <v>442</v>
      </c>
      <c r="C45" s="42">
        <f>COUNTIFS('Recommendations'!H:H,"Phase2",'Recommendations'!P:P,"=Resolved")</f>
        <v>0</v>
      </c>
      <c r="D45" s="42">
        <f>COUNTIFS('Recommendations'!H:H,"=Phase2",'Recommendations'!P:P,"=Testing")</f>
        <v>0</v>
      </c>
      <c r="E45" s="42">
        <f>COUNTIFS('Recommendations'!H:H,"=Phase2",'Recommendations'!P:P,"=Outstanding")</f>
        <v>0</v>
      </c>
      <c r="F45" s="42">
        <f t="shared" si="0"/>
        <v>0</v>
      </c>
    </row>
    <row r="46" spans="2:6" x14ac:dyDescent="0.35">
      <c r="B46" s="41" t="s">
        <v>443</v>
      </c>
      <c r="C46" s="42">
        <f>COUNTIFS('Recommendations'!H:H,"Phase3",'Recommendations'!P:P,"=Resolved")</f>
        <v>0</v>
      </c>
      <c r="D46" s="42">
        <f>COUNTIFS('Recommendations'!H:H,"=Phase3",'Recommendations'!P:P,"=Testing")</f>
        <v>0</v>
      </c>
      <c r="E46" s="42">
        <f>COUNTIFS('Recommendations'!H:H,"=Phase3",'Recommendations'!P:P,"=Outstanding")</f>
        <v>0</v>
      </c>
      <c r="F46" s="42">
        <f t="shared" si="0"/>
        <v>0</v>
      </c>
    </row>
    <row r="47" spans="2:6" x14ac:dyDescent="0.35">
      <c r="B47" s="41" t="s">
        <v>444</v>
      </c>
      <c r="C47" s="42">
        <f>COUNTIFS('Recommendations'!H:H,"Phase4",'Recommendations'!P:P,"=Resolved")</f>
        <v>0</v>
      </c>
      <c r="D47" s="42">
        <f>COUNTIFS('Recommendations'!H:H,"=Phase4",'Recommendations'!P:P,"=Testing")</f>
        <v>0</v>
      </c>
      <c r="E47" s="42">
        <f>COUNTIFS('Recommendations'!H:H,"=Phase4",'Recommendations'!P:P,"=Outstanding")</f>
        <v>0</v>
      </c>
      <c r="F47" s="42">
        <f t="shared" si="0"/>
        <v>0</v>
      </c>
    </row>
    <row r="48" spans="2:6" x14ac:dyDescent="0.35">
      <c r="B48" s="41" t="s">
        <v>445</v>
      </c>
      <c r="C48" s="42">
        <f>COUNTIFS('Recommendations'!H:H,"Phase5",'Recommendations'!P:P,"=Resolved")</f>
        <v>0</v>
      </c>
      <c r="D48" s="42">
        <f>COUNTIFS('Recommendations'!H:H,"=Phase5",'Recommendations'!P:P,"=Testing")</f>
        <v>0</v>
      </c>
      <c r="E48" s="42">
        <f>COUNTIFS('Recommendations'!H:H,"=Phase5",'Recommendations'!P:P,"=Outstanding")</f>
        <v>0</v>
      </c>
      <c r="F48" s="42">
        <f t="shared" si="0"/>
        <v>0</v>
      </c>
    </row>
    <row r="49" spans="2:6" x14ac:dyDescent="0.35">
      <c r="B49" s="41" t="s">
        <v>24</v>
      </c>
      <c r="C49" s="42">
        <f>COUNTIFS('Recommendations'!H:H,"Pending",'Recommendations'!P:P,"=Resolved")</f>
        <v>0</v>
      </c>
      <c r="D49" s="42">
        <f>COUNTIFS('Recommendations'!H:H,"=Pending",'Recommendations'!P:P,"=Testing")</f>
        <v>0</v>
      </c>
      <c r="E49" s="42">
        <f>COUNTIFS('Recommendations'!H:H,"=Pending",'Recommendations'!P:P,"=Outstanding")</f>
        <v>60</v>
      </c>
      <c r="F49" s="42">
        <f t="shared" si="0"/>
        <v>60</v>
      </c>
    </row>
    <row r="51" spans="2:6" x14ac:dyDescent="0.35">
      <c r="B51" s="51" t="s">
        <v>438</v>
      </c>
    </row>
    <row r="52" spans="2:6" x14ac:dyDescent="0.35">
      <c r="B52" s="52" t="s">
        <v>7</v>
      </c>
      <c r="C52" s="52" t="s">
        <v>433</v>
      </c>
      <c r="D52" s="52" t="s">
        <v>434</v>
      </c>
      <c r="E52" s="52" t="s">
        <v>435</v>
      </c>
      <c r="F52" s="52" t="s">
        <v>25</v>
      </c>
    </row>
    <row r="53" spans="2:6" x14ac:dyDescent="0.35">
      <c r="B53" s="41" t="s">
        <v>441</v>
      </c>
      <c r="C53" s="43">
        <f t="shared" ref="C53:C58" si="1">IF(F44&gt;0, C44/F44, 0)</f>
        <v>0</v>
      </c>
      <c r="D53" s="43">
        <f t="shared" ref="D53:D58" si="2">IF(F44&gt;0, D44/F44, 0)</f>
        <v>0</v>
      </c>
      <c r="E53" s="43">
        <f t="shared" ref="E53:E58" si="3">IF(F44&gt;0, E44/F44, 0)</f>
        <v>0</v>
      </c>
      <c r="F53" s="44" t="s">
        <v>25</v>
      </c>
    </row>
    <row r="54" spans="2:6" x14ac:dyDescent="0.35">
      <c r="B54" s="41" t="s">
        <v>442</v>
      </c>
      <c r="C54" s="43">
        <f t="shared" si="1"/>
        <v>0</v>
      </c>
      <c r="D54" s="43">
        <f t="shared" si="2"/>
        <v>0</v>
      </c>
      <c r="E54" s="43">
        <f t="shared" si="3"/>
        <v>0</v>
      </c>
      <c r="F54" s="44" t="s">
        <v>25</v>
      </c>
    </row>
    <row r="55" spans="2:6" x14ac:dyDescent="0.35">
      <c r="B55" s="41" t="s">
        <v>443</v>
      </c>
      <c r="C55" s="43">
        <f t="shared" si="1"/>
        <v>0</v>
      </c>
      <c r="D55" s="43">
        <f t="shared" si="2"/>
        <v>0</v>
      </c>
      <c r="E55" s="43">
        <f t="shared" si="3"/>
        <v>0</v>
      </c>
      <c r="F55" s="44" t="s">
        <v>25</v>
      </c>
    </row>
    <row r="56" spans="2:6" x14ac:dyDescent="0.35">
      <c r="B56" s="41" t="s">
        <v>444</v>
      </c>
      <c r="C56" s="43">
        <f t="shared" si="1"/>
        <v>0</v>
      </c>
      <c r="D56" s="43">
        <f t="shared" si="2"/>
        <v>0</v>
      </c>
      <c r="E56" s="43">
        <f t="shared" si="3"/>
        <v>0</v>
      </c>
      <c r="F56" s="44" t="s">
        <v>25</v>
      </c>
    </row>
    <row r="57" spans="2:6" x14ac:dyDescent="0.35">
      <c r="B57" s="41" t="s">
        <v>445</v>
      </c>
      <c r="C57" s="43">
        <f t="shared" si="1"/>
        <v>0</v>
      </c>
      <c r="D57" s="43">
        <f t="shared" si="2"/>
        <v>0</v>
      </c>
      <c r="E57" s="43">
        <f t="shared" si="3"/>
        <v>0</v>
      </c>
      <c r="F57" s="44" t="s">
        <v>25</v>
      </c>
    </row>
    <row r="58" spans="2:6" x14ac:dyDescent="0.35">
      <c r="B58" s="41" t="s">
        <v>24</v>
      </c>
      <c r="C58" s="43">
        <f t="shared" si="1"/>
        <v>0</v>
      </c>
      <c r="D58" s="43">
        <f t="shared" si="2"/>
        <v>0</v>
      </c>
      <c r="E58" s="43">
        <f t="shared" si="3"/>
        <v>1</v>
      </c>
      <c r="F58" s="44" t="s">
        <v>25</v>
      </c>
    </row>
    <row r="63" spans="2:6" ht="18.5" x14ac:dyDescent="0.45">
      <c r="B63" s="37" t="s">
        <v>446</v>
      </c>
    </row>
    <row r="65" spans="2:6" x14ac:dyDescent="0.35">
      <c r="B65" s="51" t="s">
        <v>432</v>
      </c>
    </row>
    <row r="66" spans="2:6" x14ac:dyDescent="0.35">
      <c r="B66" s="39" t="s">
        <v>3</v>
      </c>
      <c r="C66" s="39" t="s">
        <v>433</v>
      </c>
      <c r="D66" s="39" t="s">
        <v>434</v>
      </c>
      <c r="E66" s="39" t="s">
        <v>435</v>
      </c>
      <c r="F66" s="39" t="s">
        <v>436</v>
      </c>
    </row>
    <row r="67" spans="2:6" x14ac:dyDescent="0.35">
      <c r="B67" s="41" t="s">
        <v>20</v>
      </c>
      <c r="C67" s="42">
        <f>COUNTIFS('Recommendations'!D:D,"Automated",'Recommendations'!P:P,"=Resolved")</f>
        <v>0</v>
      </c>
      <c r="D67" s="42">
        <f>COUNTIFS('Recommendations'!D:D,"=Automated",'Recommendations'!P:P,"=Testing")</f>
        <v>0</v>
      </c>
      <c r="E67" s="42">
        <f>COUNTIFS('Recommendations'!D:D,"=Automated",'Recommendations'!P:P,"=Outstanding")</f>
        <v>57</v>
      </c>
      <c r="F67" s="42">
        <f>SUM(C67:E67)</f>
        <v>57</v>
      </c>
    </row>
    <row r="68" spans="2:6" x14ac:dyDescent="0.35">
      <c r="B68" s="41" t="s">
        <v>205</v>
      </c>
      <c r="C68" s="42">
        <f>COUNTIFS('Recommendations'!D:D,"Manual",'Recommendations'!P:P,"=Resolved")</f>
        <v>0</v>
      </c>
      <c r="D68" s="42">
        <f>COUNTIFS('Recommendations'!D:D,"=Manual",'Recommendations'!P:P,"=Testing")</f>
        <v>0</v>
      </c>
      <c r="E68" s="42">
        <f>COUNTIFS('Recommendations'!D:D,"=Manual",'Recommendations'!P:P,"=Outstanding")</f>
        <v>3</v>
      </c>
      <c r="F68" s="42">
        <f>SUM(C68:E68)</f>
        <v>3</v>
      </c>
    </row>
    <row r="70" spans="2:6" x14ac:dyDescent="0.35">
      <c r="B70" s="51" t="s">
        <v>438</v>
      </c>
    </row>
    <row r="71" spans="2:6" x14ac:dyDescent="0.35">
      <c r="B71" s="52" t="s">
        <v>3</v>
      </c>
      <c r="C71" s="52" t="s">
        <v>433</v>
      </c>
      <c r="D71" s="52" t="s">
        <v>434</v>
      </c>
      <c r="E71" s="52" t="s">
        <v>435</v>
      </c>
      <c r="F71" s="52" t="s">
        <v>25</v>
      </c>
    </row>
    <row r="72" spans="2:6" x14ac:dyDescent="0.35">
      <c r="B72" s="41" t="s">
        <v>20</v>
      </c>
      <c r="C72" s="43">
        <f>IF(F67&gt;0, C67/F67, 0)</f>
        <v>0</v>
      </c>
      <c r="D72" s="43">
        <f>IF(F67&gt;0, D67/F67, 0)</f>
        <v>0</v>
      </c>
      <c r="E72" s="43">
        <f>IF(F67&gt;0, E67/F67, 0)</f>
        <v>1</v>
      </c>
      <c r="F72" s="44" t="s">
        <v>25</v>
      </c>
    </row>
    <row r="73" spans="2:6" x14ac:dyDescent="0.35">
      <c r="B73" s="41" t="s">
        <v>205</v>
      </c>
      <c r="C73" s="43">
        <f>IF(F68&gt;0, C68/F68, 0)</f>
        <v>0</v>
      </c>
      <c r="D73" s="43">
        <f>IF(F68&gt;0, D68/F68, 0)</f>
        <v>0</v>
      </c>
      <c r="E73" s="43">
        <f>IF(F68&gt;0, E68/F68, 0)</f>
        <v>1</v>
      </c>
      <c r="F73" s="44" t="s">
        <v>25</v>
      </c>
    </row>
    <row r="78" spans="2:6" ht="18.5" x14ac:dyDescent="0.45">
      <c r="B78" s="37" t="s">
        <v>447</v>
      </c>
    </row>
    <row r="80" spans="2:6" x14ac:dyDescent="0.35">
      <c r="B80" s="51" t="s">
        <v>432</v>
      </c>
    </row>
    <row r="81" spans="2:6" x14ac:dyDescent="0.35">
      <c r="B81" s="39" t="s">
        <v>5</v>
      </c>
      <c r="C81" s="39" t="s">
        <v>433</v>
      </c>
      <c r="D81" s="39" t="s">
        <v>434</v>
      </c>
      <c r="E81" s="39" t="s">
        <v>435</v>
      </c>
      <c r="F81" s="39" t="s">
        <v>436</v>
      </c>
    </row>
    <row r="82" spans="2:6" x14ac:dyDescent="0.35">
      <c r="B82" s="41" t="s">
        <v>448</v>
      </c>
      <c r="C82" s="42">
        <f>COUNTIFS('Recommendations'!F:F,"Must",'Recommendations'!P:P,"=Resolved")</f>
        <v>0</v>
      </c>
      <c r="D82" s="42">
        <f>COUNTIFS('Recommendations'!F:F,"=Must",'Recommendations'!P:P,"=Testing")</f>
        <v>0</v>
      </c>
      <c r="E82" s="42">
        <f>COUNTIFS('Recommendations'!F:F,"=Must",'Recommendations'!P:P,"=Outstanding")</f>
        <v>0</v>
      </c>
      <c r="F82" s="42">
        <f>SUM(C82:E82)</f>
        <v>0</v>
      </c>
    </row>
    <row r="83" spans="2:6" x14ac:dyDescent="0.35">
      <c r="B83" s="41" t="s">
        <v>449</v>
      </c>
      <c r="C83" s="42">
        <f>COUNTIFS('Recommendations'!F:F,"Should",'Recommendations'!P:P,"=Resolved")</f>
        <v>0</v>
      </c>
      <c r="D83" s="42">
        <f>COUNTIFS('Recommendations'!F:F,"=Should",'Recommendations'!P:P,"=Testing")</f>
        <v>0</v>
      </c>
      <c r="E83" s="42">
        <f>COUNTIFS('Recommendations'!F:F,"=Should",'Recommendations'!P:P,"=Outstanding")</f>
        <v>0</v>
      </c>
      <c r="F83" s="42">
        <f>SUM(C83:E83)</f>
        <v>0</v>
      </c>
    </row>
    <row r="84" spans="2:6" x14ac:dyDescent="0.35">
      <c r="B84" s="41" t="s">
        <v>450</v>
      </c>
      <c r="C84" s="42">
        <f>COUNTIFS('Recommendations'!F:F,"Could",'Recommendations'!P:P,"=Resolved")</f>
        <v>0</v>
      </c>
      <c r="D84" s="42">
        <f>COUNTIFS('Recommendations'!F:F,"=Could",'Recommendations'!P:P,"=Testing")</f>
        <v>0</v>
      </c>
      <c r="E84" s="42">
        <f>COUNTIFS('Recommendations'!F:F,"=Could",'Recommendations'!P:P,"=Outstanding")</f>
        <v>0</v>
      </c>
      <c r="F84" s="42">
        <f>SUM(C84:E84)</f>
        <v>0</v>
      </c>
    </row>
    <row r="85" spans="2:6" x14ac:dyDescent="0.35">
      <c r="B85" s="41" t="s">
        <v>451</v>
      </c>
      <c r="C85" s="42">
        <f>COUNTIFS('Recommendations'!F:F,"Won't",'Recommendations'!P:P,"=Resolved")</f>
        <v>0</v>
      </c>
      <c r="D85" s="42">
        <f>COUNTIFS('Recommendations'!F:F,"=Won't",'Recommendations'!P:P,"=Testing")</f>
        <v>0</v>
      </c>
      <c r="E85" s="42">
        <f>COUNTIFS('Recommendations'!F:F,"=Won't",'Recommendations'!P:P,"=Outstanding")</f>
        <v>0</v>
      </c>
      <c r="F85" s="42">
        <f>SUM(C85:E85)</f>
        <v>0</v>
      </c>
    </row>
    <row r="86" spans="2:6" x14ac:dyDescent="0.35">
      <c r="B86" s="41" t="s">
        <v>22</v>
      </c>
      <c r="C86" s="42">
        <f>COUNTIFS('Recommendations'!F:F,"Unassigned",'Recommendations'!P:P,"=Resolved")</f>
        <v>0</v>
      </c>
      <c r="D86" s="42">
        <f>COUNTIFS('Recommendations'!F:F,"=Unassigned",'Recommendations'!P:P,"=Testing")</f>
        <v>0</v>
      </c>
      <c r="E86" s="42">
        <f>COUNTIFS('Recommendations'!F:F,"=Unassigned",'Recommendations'!P:P,"=Outstanding")</f>
        <v>60</v>
      </c>
      <c r="F86" s="42">
        <f>SUM(C86:E86)</f>
        <v>60</v>
      </c>
    </row>
    <row r="88" spans="2:6" x14ac:dyDescent="0.35">
      <c r="B88" s="51" t="s">
        <v>438</v>
      </c>
    </row>
    <row r="89" spans="2:6" x14ac:dyDescent="0.35">
      <c r="B89" s="52" t="s">
        <v>5</v>
      </c>
      <c r="C89" s="52" t="s">
        <v>433</v>
      </c>
      <c r="D89" s="52" t="s">
        <v>434</v>
      </c>
      <c r="E89" s="52" t="s">
        <v>435</v>
      </c>
      <c r="F89" s="52" t="s">
        <v>25</v>
      </c>
    </row>
    <row r="90" spans="2:6" x14ac:dyDescent="0.35">
      <c r="B90" s="41" t="s">
        <v>448</v>
      </c>
      <c r="C90" s="43">
        <f>IF(F82&gt;0, C82/F82, 0)</f>
        <v>0</v>
      </c>
      <c r="D90" s="43">
        <f>IF(F82&gt;0, D82/F82, 0)</f>
        <v>0</v>
      </c>
      <c r="E90" s="43">
        <f>IF(F82&gt;0, E82/F82, 0)</f>
        <v>0</v>
      </c>
      <c r="F90" s="44" t="s">
        <v>25</v>
      </c>
    </row>
    <row r="91" spans="2:6" x14ac:dyDescent="0.35">
      <c r="B91" s="41" t="s">
        <v>449</v>
      </c>
      <c r="C91" s="43">
        <f>IF(F83&gt;0, C83/F83, 0)</f>
        <v>0</v>
      </c>
      <c r="D91" s="43">
        <f>IF(F83&gt;0, D83/F83, 0)</f>
        <v>0</v>
      </c>
      <c r="E91" s="43">
        <f>IF(F83&gt;0, E83/F83, 0)</f>
        <v>0</v>
      </c>
      <c r="F91" s="44" t="s">
        <v>25</v>
      </c>
    </row>
    <row r="92" spans="2:6" x14ac:dyDescent="0.35">
      <c r="B92" s="41" t="s">
        <v>450</v>
      </c>
      <c r="C92" s="43">
        <f>IF(F84&gt;0, C84/F84, 0)</f>
        <v>0</v>
      </c>
      <c r="D92" s="43">
        <f>IF(F84&gt;0, D84/F84, 0)</f>
        <v>0</v>
      </c>
      <c r="E92" s="43">
        <f>IF(F84&gt;0, E84/F84, 0)</f>
        <v>0</v>
      </c>
      <c r="F92" s="44" t="s">
        <v>25</v>
      </c>
    </row>
    <row r="93" spans="2:6" x14ac:dyDescent="0.35">
      <c r="B93" s="41" t="s">
        <v>451</v>
      </c>
      <c r="C93" s="43">
        <f>IF(F85&gt;0, C85/F85, 0)</f>
        <v>0</v>
      </c>
      <c r="D93" s="43">
        <f>IF(F85&gt;0, D85/F85, 0)</f>
        <v>0</v>
      </c>
      <c r="E93" s="43">
        <f>IF(F85&gt;0, E85/F85, 0)</f>
        <v>0</v>
      </c>
      <c r="F93" s="44" t="s">
        <v>25</v>
      </c>
    </row>
    <row r="94" spans="2:6" x14ac:dyDescent="0.35">
      <c r="B94" s="41" t="s">
        <v>22</v>
      </c>
      <c r="C94" s="43">
        <f>IF(F86&gt;0, C86/F86, 0)</f>
        <v>0</v>
      </c>
      <c r="D94" s="43">
        <f>IF(F86&gt;0, D86/F86, 0)</f>
        <v>0</v>
      </c>
      <c r="E94" s="43">
        <f>IF(F86&gt;0, E86/F86, 0)</f>
        <v>1</v>
      </c>
      <c r="F94" s="44" t="s">
        <v>25</v>
      </c>
    </row>
    <row r="99" spans="2:6" ht="18.5" x14ac:dyDescent="0.45">
      <c r="B99" s="37" t="s">
        <v>452</v>
      </c>
    </row>
    <row r="101" spans="2:6" x14ac:dyDescent="0.35">
      <c r="B101" s="51" t="s">
        <v>432</v>
      </c>
    </row>
    <row r="102" spans="2:6" x14ac:dyDescent="0.35">
      <c r="B102" s="39" t="s">
        <v>453</v>
      </c>
      <c r="C102" s="39" t="s">
        <v>433</v>
      </c>
      <c r="D102" s="39" t="s">
        <v>434</v>
      </c>
      <c r="E102" s="39" t="s">
        <v>435</v>
      </c>
      <c r="F102" s="39" t="s">
        <v>436</v>
      </c>
    </row>
    <row r="103" spans="2:6" x14ac:dyDescent="0.35">
      <c r="B103" s="41" t="s">
        <v>454</v>
      </c>
      <c r="C103" s="42">
        <f>COUNTIFS('Recommendations'!G:G,"Low",'Recommendations'!P:P,"=Resolved")</f>
        <v>0</v>
      </c>
      <c r="D103" s="42">
        <f>COUNTIFS('Recommendations'!G:G,"=Low",'Recommendations'!P:P,"=Testing")</f>
        <v>0</v>
      </c>
      <c r="E103" s="42">
        <f>COUNTIFS('Recommendations'!G:G,"=Low",'Recommendations'!P:P,"=Outstanding")</f>
        <v>0</v>
      </c>
      <c r="F103" s="42">
        <f>SUM(C103:E103)</f>
        <v>0</v>
      </c>
    </row>
    <row r="104" spans="2:6" x14ac:dyDescent="0.35">
      <c r="B104" s="41" t="s">
        <v>455</v>
      </c>
      <c r="C104" s="42">
        <f>COUNTIFS('Recommendations'!G:G,"Medium",'Recommendations'!P:P,"=Resolved")</f>
        <v>0</v>
      </c>
      <c r="D104" s="42">
        <f>COUNTIFS('Recommendations'!G:G,"=Medium",'Recommendations'!P:P,"=Testing")</f>
        <v>0</v>
      </c>
      <c r="E104" s="42">
        <f>COUNTIFS('Recommendations'!G:G,"=Medium",'Recommendations'!P:P,"=Outstanding")</f>
        <v>0</v>
      </c>
      <c r="F104" s="42">
        <f>SUM(C104:E104)</f>
        <v>0</v>
      </c>
    </row>
    <row r="105" spans="2:6" x14ac:dyDescent="0.35">
      <c r="B105" s="41" t="s">
        <v>456</v>
      </c>
      <c r="C105" s="42">
        <f>COUNTIFS('Recommendations'!G:G,"High",'Recommendations'!P:P,"=Resolved")</f>
        <v>0</v>
      </c>
      <c r="D105" s="42">
        <f>COUNTIFS('Recommendations'!G:G,"=High",'Recommendations'!P:P,"=Testing")</f>
        <v>0</v>
      </c>
      <c r="E105" s="42">
        <f>COUNTIFS('Recommendations'!G:G,"=High",'Recommendations'!P:P,"=Outstanding")</f>
        <v>0</v>
      </c>
      <c r="F105" s="42">
        <f>SUM(C105:E105)</f>
        <v>0</v>
      </c>
    </row>
    <row r="106" spans="2:6" x14ac:dyDescent="0.35">
      <c r="B106" s="41" t="s">
        <v>23</v>
      </c>
      <c r="C106" s="42">
        <f>COUNTIFS('Recommendations'!G:G,"Unassessed",'Recommendations'!P:P,"=Resolved")</f>
        <v>0</v>
      </c>
      <c r="D106" s="42">
        <f>COUNTIFS('Recommendations'!G:G,"=Unassessed",'Recommendations'!P:P,"=Testing")</f>
        <v>0</v>
      </c>
      <c r="E106" s="42">
        <f>COUNTIFS('Recommendations'!G:G,"=Unassessed",'Recommendations'!P:P,"=Outstanding")</f>
        <v>60</v>
      </c>
      <c r="F106" s="42">
        <f>SUM(C106:E106)</f>
        <v>60</v>
      </c>
    </row>
    <row r="108" spans="2:6" x14ac:dyDescent="0.35">
      <c r="B108" s="51" t="s">
        <v>438</v>
      </c>
    </row>
    <row r="109" spans="2:6" x14ac:dyDescent="0.35">
      <c r="B109" s="52" t="s">
        <v>453</v>
      </c>
      <c r="C109" s="52" t="s">
        <v>433</v>
      </c>
      <c r="D109" s="52" t="s">
        <v>434</v>
      </c>
      <c r="E109" s="52" t="s">
        <v>435</v>
      </c>
      <c r="F109" s="52" t="s">
        <v>25</v>
      </c>
    </row>
    <row r="110" spans="2:6" x14ac:dyDescent="0.35">
      <c r="B110" s="41" t="s">
        <v>454</v>
      </c>
      <c r="C110" s="43">
        <f>IF(F103&gt;0, C103/F103, 0)</f>
        <v>0</v>
      </c>
      <c r="D110" s="43">
        <f>IF(F103&gt;0, D103/F103, 0)</f>
        <v>0</v>
      </c>
      <c r="E110" s="43">
        <f>IF(F103&gt;0, E103/F103, 0)</f>
        <v>0</v>
      </c>
      <c r="F110" s="44" t="s">
        <v>25</v>
      </c>
    </row>
    <row r="111" spans="2:6" x14ac:dyDescent="0.35">
      <c r="B111" s="41" t="s">
        <v>455</v>
      </c>
      <c r="C111" s="43">
        <f>IF(F104&gt;0, C104/F104, 0)</f>
        <v>0</v>
      </c>
      <c r="D111" s="43">
        <f>IF(F104&gt;0, D104/F104, 0)</f>
        <v>0</v>
      </c>
      <c r="E111" s="43">
        <f>IF(F104&gt;0, E104/F104, 0)</f>
        <v>0</v>
      </c>
      <c r="F111" s="44" t="s">
        <v>25</v>
      </c>
    </row>
    <row r="112" spans="2:6" x14ac:dyDescent="0.35">
      <c r="B112" s="41" t="s">
        <v>456</v>
      </c>
      <c r="C112" s="43">
        <f>IF(F105&gt;0, C105/F105, 0)</f>
        <v>0</v>
      </c>
      <c r="D112" s="43">
        <f>IF(F105&gt;0, D105/F105, 0)</f>
        <v>0</v>
      </c>
      <c r="E112" s="43">
        <f>IF(F105&gt;0, E105/F105, 0)</f>
        <v>0</v>
      </c>
      <c r="F112" s="44" t="s">
        <v>25</v>
      </c>
    </row>
    <row r="113" spans="2:15" x14ac:dyDescent="0.35">
      <c r="B113" s="41" t="s">
        <v>23</v>
      </c>
      <c r="C113" s="43">
        <f>IF(F106&gt;0, C106/F106, 0)</f>
        <v>0</v>
      </c>
      <c r="D113" s="43">
        <f>IF(F106&gt;0, D106/F106, 0)</f>
        <v>0</v>
      </c>
      <c r="E113" s="43">
        <f>IF(F106&gt;0, E106/F106, 0)</f>
        <v>1</v>
      </c>
      <c r="F113" s="44" t="s">
        <v>25</v>
      </c>
    </row>
    <row r="118" spans="2:15" ht="18.5" x14ac:dyDescent="0.45">
      <c r="B118" s="37" t="s">
        <v>457</v>
      </c>
      <c r="J118" s="37" t="s">
        <v>458</v>
      </c>
    </row>
    <row r="119" spans="2:15" x14ac:dyDescent="0.35">
      <c r="B119" s="39" t="s">
        <v>7</v>
      </c>
      <c r="C119" s="84" t="s">
        <v>459</v>
      </c>
      <c r="D119" s="84"/>
      <c r="E119" s="39" t="s">
        <v>425</v>
      </c>
      <c r="F119" s="39" t="s">
        <v>433</v>
      </c>
      <c r="G119" s="84" t="s">
        <v>460</v>
      </c>
      <c r="H119" s="84"/>
      <c r="J119" s="39" t="s">
        <v>7</v>
      </c>
      <c r="K119" s="39" t="s">
        <v>448</v>
      </c>
      <c r="L119" s="39" t="s">
        <v>449</v>
      </c>
      <c r="M119" s="39" t="s">
        <v>450</v>
      </c>
      <c r="N119" s="39" t="s">
        <v>451</v>
      </c>
      <c r="O119" s="39" t="s">
        <v>22</v>
      </c>
    </row>
    <row r="120" spans="2:15" x14ac:dyDescent="0.35">
      <c r="B120" s="45" t="s">
        <v>441</v>
      </c>
      <c r="C120" s="85" t="s">
        <v>25</v>
      </c>
      <c r="D120" s="85"/>
      <c r="E120" s="42">
        <f>COUNTIF('Recommendations'!H:H,"Phase1")-COUNTIFS('Recommendations'!H:H,"Phase1",'Recommendations'!I:I,"Risk Accepted")-COUNTIFS('Recommendations'!H:H,"Phase1",'Recommendations'!I:I,"N/A")</f>
        <v>0</v>
      </c>
      <c r="F120" s="42">
        <f>COUNTIFS('Recommendations'!H:H,"Phase1",'Recommendations'!P:P,"Resolved")</f>
        <v>0</v>
      </c>
      <c r="G120" s="86">
        <f t="shared" ref="G120:G125" si="4">IF(E120&gt;0,F120/E120,0)</f>
        <v>0</v>
      </c>
      <c r="H120" s="86"/>
      <c r="J120" s="45" t="s">
        <v>441</v>
      </c>
      <c r="K120" s="42">
        <f>COUNTIFS('Recommendations'!H:H,"Phase1",'Recommendations'!F:F,"Must")</f>
        <v>0</v>
      </c>
      <c r="L120" s="42">
        <f>COUNTIFS('Recommendations'!H:H,"Phase1",'Recommendations'!F:F,"Should")</f>
        <v>0</v>
      </c>
      <c r="M120" s="42">
        <f>COUNTIFS('Recommendations'!H:H,"Phase1",'Recommendations'!F:F,"Could")</f>
        <v>0</v>
      </c>
      <c r="N120" s="42">
        <f>COUNTIFS('Recommendations'!H:H,"Phase1",'Recommendations'!F:F,"Won't")</f>
        <v>0</v>
      </c>
      <c r="O120" s="42">
        <f>COUNTIFS('Recommendations'!H:H,"Phase1",'Recommendations'!F:F,"Unassigned")</f>
        <v>0</v>
      </c>
    </row>
    <row r="121" spans="2:15" x14ac:dyDescent="0.35">
      <c r="B121" s="45" t="s">
        <v>442</v>
      </c>
      <c r="C121" s="85" t="s">
        <v>25</v>
      </c>
      <c r="D121" s="85"/>
      <c r="E121" s="42">
        <f>COUNTIF('Recommendations'!H:H,"Phase2")-COUNTIFS('Recommendations'!H:H,"Phase2",'Recommendations'!I:I,"Risk Accepted")-COUNTIFS('Recommendations'!H:H,"Phase2",'Recommendations'!I:I,"N/A")</f>
        <v>0</v>
      </c>
      <c r="F121" s="42">
        <f>COUNTIFS('Recommendations'!H:H,"Phase2",'Recommendations'!P:P,"Resolved")</f>
        <v>0</v>
      </c>
      <c r="G121" s="86">
        <f t="shared" si="4"/>
        <v>0</v>
      </c>
      <c r="H121" s="86"/>
      <c r="J121" s="45" t="s">
        <v>442</v>
      </c>
      <c r="K121" s="42">
        <f>COUNTIFS('Recommendations'!H:H,"Phase2",'Recommendations'!F:F,"Must")</f>
        <v>0</v>
      </c>
      <c r="L121" s="42">
        <f>COUNTIFS('Recommendations'!H:H,"Phase2",'Recommendations'!F:F,"Should")</f>
        <v>0</v>
      </c>
      <c r="M121" s="42">
        <f>COUNTIFS('Recommendations'!H:H,"Phase2",'Recommendations'!F:F,"Could")</f>
        <v>0</v>
      </c>
      <c r="N121" s="42">
        <f>COUNTIFS('Recommendations'!H:H,"Phase2",'Recommendations'!F:F,"Won't")</f>
        <v>0</v>
      </c>
      <c r="O121" s="42">
        <f>COUNTIFS('Recommendations'!H:H,"Phase2",'Recommendations'!F:F,"Unassigned")</f>
        <v>0</v>
      </c>
    </row>
    <row r="122" spans="2:15" x14ac:dyDescent="0.35">
      <c r="B122" s="45" t="s">
        <v>443</v>
      </c>
      <c r="C122" s="85" t="s">
        <v>25</v>
      </c>
      <c r="D122" s="85"/>
      <c r="E122" s="42">
        <f>COUNTIF('Recommendations'!H:H,"Phase3")-COUNTIFS('Recommendations'!H:H,"Phase3",'Recommendations'!I:I,"Risk Accepted")-COUNTIFS('Recommendations'!H:H,"Phase3",'Recommendations'!I:I,"N/A")</f>
        <v>0</v>
      </c>
      <c r="F122" s="42">
        <f>COUNTIFS('Recommendations'!H:H,"Phase3",'Recommendations'!P:P,"Resolved")</f>
        <v>0</v>
      </c>
      <c r="G122" s="86">
        <f t="shared" si="4"/>
        <v>0</v>
      </c>
      <c r="H122" s="86"/>
      <c r="J122" s="45" t="s">
        <v>443</v>
      </c>
      <c r="K122" s="42">
        <f>COUNTIFS('Recommendations'!H:H,"Phase3",'Recommendations'!F:F,"Must")</f>
        <v>0</v>
      </c>
      <c r="L122" s="42">
        <f>COUNTIFS('Recommendations'!H:H,"Phase3",'Recommendations'!F:F,"Should")</f>
        <v>0</v>
      </c>
      <c r="M122" s="42">
        <f>COUNTIFS('Recommendations'!H:H,"Phase3",'Recommendations'!F:F,"Could")</f>
        <v>0</v>
      </c>
      <c r="N122" s="42">
        <f>COUNTIFS('Recommendations'!H:H,"Phase3",'Recommendations'!F:F,"Won't")</f>
        <v>0</v>
      </c>
      <c r="O122" s="42">
        <f>COUNTIFS('Recommendations'!H:H,"Phase3",'Recommendations'!F:F,"Unassigned")</f>
        <v>0</v>
      </c>
    </row>
    <row r="123" spans="2:15" x14ac:dyDescent="0.35">
      <c r="B123" s="45" t="s">
        <v>444</v>
      </c>
      <c r="C123" s="85" t="s">
        <v>25</v>
      </c>
      <c r="D123" s="85"/>
      <c r="E123" s="42">
        <f>COUNTIF('Recommendations'!H:H,"Phase4")-COUNTIFS('Recommendations'!H:H,"Phase4",'Recommendations'!I:I,"Risk Accepted")-COUNTIFS('Recommendations'!H:H,"Phase4",'Recommendations'!I:I,"N/A")</f>
        <v>0</v>
      </c>
      <c r="F123" s="42">
        <f>COUNTIFS('Recommendations'!H:H,"Phase4",'Recommendations'!P:P,"Resolved")</f>
        <v>0</v>
      </c>
      <c r="G123" s="86">
        <f t="shared" si="4"/>
        <v>0</v>
      </c>
      <c r="H123" s="86"/>
      <c r="J123" s="45" t="s">
        <v>444</v>
      </c>
      <c r="K123" s="42">
        <f>COUNTIFS('Recommendations'!H:H,"Phase4",'Recommendations'!F:F,"Must")</f>
        <v>0</v>
      </c>
      <c r="L123" s="42">
        <f>COUNTIFS('Recommendations'!H:H,"Phase4",'Recommendations'!F:F,"Should")</f>
        <v>0</v>
      </c>
      <c r="M123" s="42">
        <f>COUNTIFS('Recommendations'!H:H,"Phase4",'Recommendations'!F:F,"Could")</f>
        <v>0</v>
      </c>
      <c r="N123" s="42">
        <f>COUNTIFS('Recommendations'!H:H,"Phase4",'Recommendations'!F:F,"Won't")</f>
        <v>0</v>
      </c>
      <c r="O123" s="42">
        <f>COUNTIFS('Recommendations'!H:H,"Phase4",'Recommendations'!F:F,"Unassigned")</f>
        <v>0</v>
      </c>
    </row>
    <row r="124" spans="2:15" x14ac:dyDescent="0.35">
      <c r="B124" s="45" t="s">
        <v>445</v>
      </c>
      <c r="C124" s="85" t="s">
        <v>25</v>
      </c>
      <c r="D124" s="85"/>
      <c r="E124" s="42">
        <f>COUNTIF('Recommendations'!H:H,"Phase5")-COUNTIFS('Recommendations'!H:H,"Phase5",'Recommendations'!I:I,"Risk Accepted")-COUNTIFS('Recommendations'!H:H,"Phase5",'Recommendations'!I:I,"N/A")</f>
        <v>0</v>
      </c>
      <c r="F124" s="42">
        <f>COUNTIFS('Recommendations'!H:H,"Phase5",'Recommendations'!P:P,"Resolved")</f>
        <v>0</v>
      </c>
      <c r="G124" s="86">
        <f t="shared" si="4"/>
        <v>0</v>
      </c>
      <c r="H124" s="86"/>
      <c r="J124" s="45" t="s">
        <v>445</v>
      </c>
      <c r="K124" s="42">
        <f>COUNTIFS('Recommendations'!H:H,"Phase5",'Recommendations'!F:F,"Must")</f>
        <v>0</v>
      </c>
      <c r="L124" s="42">
        <f>COUNTIFS('Recommendations'!H:H,"Phase5",'Recommendations'!F:F,"Should")</f>
        <v>0</v>
      </c>
      <c r="M124" s="42">
        <f>COUNTIFS('Recommendations'!H:H,"Phase5",'Recommendations'!F:F,"Could")</f>
        <v>0</v>
      </c>
      <c r="N124" s="42">
        <f>COUNTIFS('Recommendations'!H:H,"Phase5",'Recommendations'!F:F,"Won't")</f>
        <v>0</v>
      </c>
      <c r="O124" s="42">
        <f>COUNTIFS('Recommendations'!H:H,"Phase5",'Recommendations'!F:F,"Unassigned")</f>
        <v>0</v>
      </c>
    </row>
    <row r="125" spans="2:15" x14ac:dyDescent="0.35">
      <c r="B125" s="45" t="s">
        <v>24</v>
      </c>
      <c r="C125" s="85" t="s">
        <v>25</v>
      </c>
      <c r="D125" s="85"/>
      <c r="E125" s="42">
        <f>COUNTIF('Recommendations'!H:H,"Pending")-COUNTIFS('Recommendations'!H:H,"Pending",'Recommendations'!I:I,"Risk Accepted")-COUNTIFS('Recommendations'!H:H,"Pending",'Recommendations'!I:I,"N/A")</f>
        <v>60</v>
      </c>
      <c r="F125" s="42">
        <f>COUNTIFS('Recommendations'!H:H,"Pending",'Recommendations'!P:P,"Resolved")</f>
        <v>0</v>
      </c>
      <c r="G125" s="86">
        <f t="shared" si="4"/>
        <v>0</v>
      </c>
      <c r="H125" s="86"/>
      <c r="J125" s="45" t="s">
        <v>24</v>
      </c>
      <c r="K125" s="42">
        <f>COUNTIFS('Recommendations'!H:H,"Pending",'Recommendations'!F:F,"Must")</f>
        <v>0</v>
      </c>
      <c r="L125" s="42">
        <f>COUNTIFS('Recommendations'!H:H,"Pending",'Recommendations'!F:F,"Should")</f>
        <v>0</v>
      </c>
      <c r="M125" s="42">
        <f>COUNTIFS('Recommendations'!H:H,"Pending",'Recommendations'!F:F,"Could")</f>
        <v>0</v>
      </c>
      <c r="N125" s="42">
        <f>COUNTIFS('Recommendations'!H:H,"Pending",'Recommendations'!F:F,"Won't")</f>
        <v>0</v>
      </c>
      <c r="O125" s="42">
        <f>COUNTIFS('Recommendations'!H:H,"Pending",'Recommendations'!F:F,"Unassigned")</f>
        <v>60</v>
      </c>
    </row>
    <row r="132" spans="2:24" ht="21" x14ac:dyDescent="0.5">
      <c r="B132" s="37" t="s">
        <v>461</v>
      </c>
      <c r="P132" s="54" t="s">
        <v>462</v>
      </c>
    </row>
    <row r="134" spans="2:24" ht="60" customHeight="1" x14ac:dyDescent="0.35">
      <c r="B134" s="87" t="s">
        <v>463</v>
      </c>
      <c r="C134" s="80"/>
      <c r="D134" s="80"/>
      <c r="E134" s="80"/>
      <c r="F134" s="80"/>
      <c r="P134" s="87" t="s">
        <v>464</v>
      </c>
      <c r="Q134" s="80"/>
      <c r="R134" s="80"/>
      <c r="S134" s="80"/>
      <c r="T134" s="80"/>
      <c r="U134" s="80"/>
      <c r="V134" s="80"/>
      <c r="W134" s="80"/>
    </row>
    <row r="136" spans="2:24" ht="30" customHeight="1" x14ac:dyDescent="0.35">
      <c r="P136" s="55" t="s">
        <v>465</v>
      </c>
      <c r="Q136" s="56">
        <f>C16</f>
        <v>0</v>
      </c>
      <c r="R136" s="57"/>
      <c r="S136" s="56">
        <f>C82</f>
        <v>0</v>
      </c>
      <c r="T136" s="57"/>
      <c r="U136" s="56">
        <f>C83</f>
        <v>0</v>
      </c>
      <c r="V136" s="57"/>
      <c r="W136" s="56">
        <f>C84</f>
        <v>0</v>
      </c>
      <c r="X136" s="57"/>
    </row>
    <row r="137" spans="2:24" ht="35" customHeight="1" x14ac:dyDescent="0.35">
      <c r="P137" s="58" t="s">
        <v>466</v>
      </c>
      <c r="Q137" s="58" t="s">
        <v>467</v>
      </c>
      <c r="R137" s="58" t="s">
        <v>468</v>
      </c>
      <c r="S137" s="58" t="s">
        <v>469</v>
      </c>
      <c r="T137" s="58" t="s">
        <v>470</v>
      </c>
      <c r="U137" s="58" t="s">
        <v>471</v>
      </c>
      <c r="V137" s="58" t="s">
        <v>472</v>
      </c>
      <c r="W137" s="58" t="s">
        <v>473</v>
      </c>
      <c r="X137" s="58" t="s">
        <v>474</v>
      </c>
    </row>
    <row r="138" spans="2:24" x14ac:dyDescent="0.35">
      <c r="O138" s="59" t="s">
        <v>475</v>
      </c>
      <c r="P138" s="60" t="s">
        <v>476</v>
      </c>
      <c r="Q138" s="61">
        <v>0</v>
      </c>
      <c r="R138" s="62">
        <f>IF(Dashboard!F16&gt;0, Q138/Dashboard!F16, "")</f>
        <v>0</v>
      </c>
      <c r="S138" s="61">
        <v>0</v>
      </c>
      <c r="T138" s="62" t="str">
        <f>IF(AND(NOT(ISBLANK(S138)),Dashboard!F82&gt;0), S138/Dashboard!F82, "")</f>
        <v/>
      </c>
      <c r="U138" s="61">
        <v>0</v>
      </c>
      <c r="V138" s="62" t="str">
        <f>IF(AND(NOT(ISBLANK(U138)),Dashboard!F83&gt;0), U138/Dashboard!F83, "")</f>
        <v/>
      </c>
      <c r="W138" s="61">
        <v>0</v>
      </c>
      <c r="X138" s="62" t="str">
        <f>IF(AND(NOT(ISBLANK(W138)),Dashboard!F84&gt;0), W138/Dashboard!F84, "")</f>
        <v/>
      </c>
    </row>
    <row r="139" spans="2:24" x14ac:dyDescent="0.35">
      <c r="P139" s="53"/>
      <c r="Q139" s="40"/>
      <c r="R139" s="43" t="str">
        <f>IF(AND(NOT(ISBLANK(Q139)),Dashboard!F16&gt;0), Q139/Dashboard!F16, "")</f>
        <v/>
      </c>
      <c r="S139" s="40"/>
      <c r="T139" s="43" t="str">
        <f>IF(AND(NOT(ISBLANK(S139)),Dashboard!F82&gt;0), S139/Dashboard!F82, "")</f>
        <v/>
      </c>
      <c r="U139" s="40"/>
      <c r="V139" s="43" t="str">
        <f>IF(AND(NOT(ISBLANK(U139)),Dashboard!F83&gt;0), U139/Dashboard!F83, "")</f>
        <v/>
      </c>
      <c r="W139" s="40"/>
      <c r="X139" s="43" t="str">
        <f>IF(AND(NOT(ISBLANK(W139)),Dashboard!F84&gt;0), W139/Dashboard!F84, "")</f>
        <v/>
      </c>
    </row>
    <row r="140" spans="2:24" x14ac:dyDescent="0.35">
      <c r="P140" s="53"/>
      <c r="Q140" s="40"/>
      <c r="R140" s="43" t="str">
        <f>IF(AND(NOT(ISBLANK(Q140)),Dashboard!F16&gt;0), Q140/Dashboard!F16, "")</f>
        <v/>
      </c>
      <c r="S140" s="40"/>
      <c r="T140" s="43" t="str">
        <f>IF(AND(NOT(ISBLANK(S140)),Dashboard!F82&gt;0), S140/Dashboard!F82, "")</f>
        <v/>
      </c>
      <c r="U140" s="40"/>
      <c r="V140" s="43" t="str">
        <f>IF(AND(NOT(ISBLANK(U140)),Dashboard!F83&gt;0), U140/Dashboard!F83, "")</f>
        <v/>
      </c>
      <c r="W140" s="40"/>
      <c r="X140" s="43" t="str">
        <f>IF(AND(NOT(ISBLANK(W140)),Dashboard!F84&gt;0), W140/Dashboard!F84, "")</f>
        <v/>
      </c>
    </row>
    <row r="141" spans="2:24" x14ac:dyDescent="0.35">
      <c r="P141" s="53"/>
      <c r="Q141" s="40"/>
      <c r="R141" s="43" t="str">
        <f>IF(AND(NOT(ISBLANK(Q141)),Dashboard!F16&gt;0), Q141/Dashboard!F16, "")</f>
        <v/>
      </c>
      <c r="S141" s="40"/>
      <c r="T141" s="43" t="str">
        <f>IF(AND(NOT(ISBLANK(S141)),Dashboard!F82&gt;0), S141/Dashboard!F82, "")</f>
        <v/>
      </c>
      <c r="U141" s="40"/>
      <c r="V141" s="43" t="str">
        <f>IF(AND(NOT(ISBLANK(U141)),Dashboard!F83&gt;0), U141/Dashboard!F83, "")</f>
        <v/>
      </c>
      <c r="W141" s="40"/>
      <c r="X141" s="43" t="str">
        <f>IF(AND(NOT(ISBLANK(W141)),Dashboard!F84&gt;0), W141/Dashboard!F84, "")</f>
        <v/>
      </c>
    </row>
    <row r="142" spans="2:24" x14ac:dyDescent="0.35">
      <c r="P142" s="53"/>
      <c r="Q142" s="40"/>
      <c r="R142" s="43" t="str">
        <f>IF(AND(NOT(ISBLANK(Q142)),Dashboard!F16&gt;0), Q142/Dashboard!F16, "")</f>
        <v/>
      </c>
      <c r="S142" s="40"/>
      <c r="T142" s="43" t="str">
        <f>IF(AND(NOT(ISBLANK(S142)),Dashboard!F82&gt;0), S142/Dashboard!F82, "")</f>
        <v/>
      </c>
      <c r="U142" s="40"/>
      <c r="V142" s="43" t="str">
        <f>IF(AND(NOT(ISBLANK(U142)),Dashboard!F83&gt;0), U142/Dashboard!F83, "")</f>
        <v/>
      </c>
      <c r="W142" s="40"/>
      <c r="X142" s="43" t="str">
        <f>IF(AND(NOT(ISBLANK(W142)),Dashboard!F84&gt;0), W142/Dashboard!F84, "")</f>
        <v/>
      </c>
    </row>
    <row r="143" spans="2:24" x14ac:dyDescent="0.35">
      <c r="P143" s="53"/>
      <c r="Q143" s="40"/>
      <c r="R143" s="43" t="str">
        <f>IF(AND(NOT(ISBLANK(Q143)),Dashboard!F16&gt;0), Q143/Dashboard!F16, "")</f>
        <v/>
      </c>
      <c r="S143" s="40"/>
      <c r="T143" s="43" t="str">
        <f>IF(AND(NOT(ISBLANK(S143)),Dashboard!F82&gt;0), S143/Dashboard!F82, "")</f>
        <v/>
      </c>
      <c r="U143" s="40"/>
      <c r="V143" s="43" t="str">
        <f>IF(AND(NOT(ISBLANK(U143)),Dashboard!F83&gt;0), U143/Dashboard!F83, "")</f>
        <v/>
      </c>
      <c r="W143" s="40"/>
      <c r="X143" s="43" t="str">
        <f>IF(AND(NOT(ISBLANK(W143)),Dashboard!F84&gt;0), W143/Dashboard!F84, "")</f>
        <v/>
      </c>
    </row>
    <row r="144" spans="2:24" x14ac:dyDescent="0.35">
      <c r="P144" s="53"/>
      <c r="Q144" s="40"/>
      <c r="R144" s="43" t="str">
        <f>IF(AND(NOT(ISBLANK(Q144)),Dashboard!F16&gt;0), Q144/Dashboard!F16, "")</f>
        <v/>
      </c>
      <c r="S144" s="40"/>
      <c r="T144" s="43" t="str">
        <f>IF(AND(NOT(ISBLANK(S144)),Dashboard!F82&gt;0), S144/Dashboard!F82, "")</f>
        <v/>
      </c>
      <c r="U144" s="40"/>
      <c r="V144" s="43" t="str">
        <f>IF(AND(NOT(ISBLANK(U144)),Dashboard!F83&gt;0), U144/Dashboard!F83, "")</f>
        <v/>
      </c>
      <c r="W144" s="40"/>
      <c r="X144" s="43" t="str">
        <f>IF(AND(NOT(ISBLANK(W144)),Dashboard!F84&gt;0), W144/Dashboard!F84, "")</f>
        <v/>
      </c>
    </row>
    <row r="145" spans="16:24" x14ac:dyDescent="0.35">
      <c r="P145" s="53"/>
      <c r="Q145" s="40"/>
      <c r="R145" s="43" t="str">
        <f>IF(AND(NOT(ISBLANK(Q145)),Dashboard!F16&gt;0), Q145/Dashboard!F16, "")</f>
        <v/>
      </c>
      <c r="S145" s="40"/>
      <c r="T145" s="43" t="str">
        <f>IF(AND(NOT(ISBLANK(S145)),Dashboard!F82&gt;0), S145/Dashboard!F82, "")</f>
        <v/>
      </c>
      <c r="U145" s="40"/>
      <c r="V145" s="43" t="str">
        <f>IF(AND(NOT(ISBLANK(U145)),Dashboard!F83&gt;0), U145/Dashboard!F83, "")</f>
        <v/>
      </c>
      <c r="W145" s="40"/>
      <c r="X145" s="43" t="str">
        <f>IF(AND(NOT(ISBLANK(W145)),Dashboard!F84&gt;0), W145/Dashboard!F84, "")</f>
        <v/>
      </c>
    </row>
    <row r="146" spans="16:24" x14ac:dyDescent="0.35">
      <c r="P146" s="53"/>
      <c r="Q146" s="40"/>
      <c r="R146" s="43" t="str">
        <f>IF(AND(NOT(ISBLANK(Q146)),Dashboard!F16&gt;0), Q146/Dashboard!F16, "")</f>
        <v/>
      </c>
      <c r="S146" s="40"/>
      <c r="T146" s="43" t="str">
        <f>IF(AND(NOT(ISBLANK(S146)),Dashboard!F82&gt;0), S146/Dashboard!F82, "")</f>
        <v/>
      </c>
      <c r="U146" s="40"/>
      <c r="V146" s="43" t="str">
        <f>IF(AND(NOT(ISBLANK(U146)),Dashboard!F83&gt;0), U146/Dashboard!F83, "")</f>
        <v/>
      </c>
      <c r="W146" s="40"/>
      <c r="X146" s="43" t="str">
        <f>IF(AND(NOT(ISBLANK(W146)),Dashboard!F84&gt;0), W146/Dashboard!F84, "")</f>
        <v/>
      </c>
    </row>
    <row r="147" spans="16:24" x14ac:dyDescent="0.35">
      <c r="P147" s="53"/>
      <c r="Q147" s="40"/>
      <c r="R147" s="43" t="str">
        <f>IF(AND(NOT(ISBLANK(Q147)),Dashboard!F16&gt;0), Q147/Dashboard!F16, "")</f>
        <v/>
      </c>
      <c r="S147" s="40"/>
      <c r="T147" s="43" t="str">
        <f>IF(AND(NOT(ISBLANK(S147)),Dashboard!F82&gt;0), S147/Dashboard!F82, "")</f>
        <v/>
      </c>
      <c r="U147" s="40"/>
      <c r="V147" s="43" t="str">
        <f>IF(AND(NOT(ISBLANK(U147)),Dashboard!F83&gt;0), U147/Dashboard!F83, "")</f>
        <v/>
      </c>
      <c r="W147" s="40"/>
      <c r="X147" s="43" t="str">
        <f>IF(AND(NOT(ISBLANK(W147)),Dashboard!F84&gt;0), W147/Dashboard!F84, "")</f>
        <v/>
      </c>
    </row>
    <row r="148" spans="16:24" x14ac:dyDescent="0.35">
      <c r="P148" s="53"/>
      <c r="Q148" s="40"/>
      <c r="R148" s="43" t="str">
        <f>IF(AND(NOT(ISBLANK(Q148)),Dashboard!F16&gt;0), Q148/Dashboard!F16, "")</f>
        <v/>
      </c>
      <c r="S148" s="40"/>
      <c r="T148" s="43" t="str">
        <f>IF(AND(NOT(ISBLANK(S148)),Dashboard!F82&gt;0), S148/Dashboard!F82, "")</f>
        <v/>
      </c>
      <c r="U148" s="40"/>
      <c r="V148" s="43" t="str">
        <f>IF(AND(NOT(ISBLANK(U148)),Dashboard!F83&gt;0), U148/Dashboard!F83, "")</f>
        <v/>
      </c>
      <c r="W148" s="40"/>
      <c r="X148" s="43" t="str">
        <f>IF(AND(NOT(ISBLANK(W148)),Dashboard!F84&gt;0), W148/Dashboard!F84, "")</f>
        <v/>
      </c>
    </row>
    <row r="149" spans="16:24" x14ac:dyDescent="0.35">
      <c r="P149" s="53"/>
      <c r="Q149" s="40"/>
      <c r="R149" s="43" t="str">
        <f>IF(AND(NOT(ISBLANK(Q149)),Dashboard!F16&gt;0), Q149/Dashboard!F16, "")</f>
        <v/>
      </c>
      <c r="S149" s="40"/>
      <c r="T149" s="43" t="str">
        <f>IF(AND(NOT(ISBLANK(S149)),Dashboard!F82&gt;0), S149/Dashboard!F82, "")</f>
        <v/>
      </c>
      <c r="U149" s="40"/>
      <c r="V149" s="43" t="str">
        <f>IF(AND(NOT(ISBLANK(U149)),Dashboard!F83&gt;0), U149/Dashboard!F83, "")</f>
        <v/>
      </c>
      <c r="W149" s="40"/>
      <c r="X149" s="43" t="str">
        <f>IF(AND(NOT(ISBLANK(W149)),Dashboard!F84&gt;0), W149/Dashboard!F84, "")</f>
        <v/>
      </c>
    </row>
    <row r="150" spans="16:24" x14ac:dyDescent="0.35">
      <c r="P150" s="53"/>
      <c r="Q150" s="40"/>
      <c r="R150" s="43" t="str">
        <f>IF(AND(NOT(ISBLANK(Q150)),Dashboard!F16&gt;0), Q150/Dashboard!F16, "")</f>
        <v/>
      </c>
      <c r="S150" s="40"/>
      <c r="T150" s="43" t="str">
        <f>IF(AND(NOT(ISBLANK(S150)),Dashboard!F82&gt;0), S150/Dashboard!F82, "")</f>
        <v/>
      </c>
      <c r="U150" s="40"/>
      <c r="V150" s="43" t="str">
        <f>IF(AND(NOT(ISBLANK(U150)),Dashboard!F83&gt;0), U150/Dashboard!F83, "")</f>
        <v/>
      </c>
      <c r="W150" s="40"/>
      <c r="X150" s="43" t="str">
        <f>IF(AND(NOT(ISBLANK(W150)),Dashboard!F84&gt;0), W150/Dashboard!F84, "")</f>
        <v/>
      </c>
    </row>
    <row r="151" spans="16:24" x14ac:dyDescent="0.35">
      <c r="P151" s="53"/>
      <c r="Q151" s="40"/>
      <c r="R151" s="43" t="str">
        <f>IF(AND(NOT(ISBLANK(Q151)),Dashboard!F16&gt;0), Q151/Dashboard!F16, "")</f>
        <v/>
      </c>
      <c r="S151" s="40"/>
      <c r="T151" s="43" t="str">
        <f>IF(AND(NOT(ISBLANK(S151)),Dashboard!F82&gt;0), S151/Dashboard!F82, "")</f>
        <v/>
      </c>
      <c r="U151" s="40"/>
      <c r="V151" s="43" t="str">
        <f>IF(AND(NOT(ISBLANK(U151)),Dashboard!F83&gt;0), U151/Dashboard!F83, "")</f>
        <v/>
      </c>
      <c r="W151" s="40"/>
      <c r="X151" s="43" t="str">
        <f>IF(AND(NOT(ISBLANK(W151)),Dashboard!F84&gt;0), W151/Dashboard!F84, "")</f>
        <v/>
      </c>
    </row>
    <row r="152" spans="16:24" x14ac:dyDescent="0.35">
      <c r="P152" s="53"/>
      <c r="Q152" s="40"/>
      <c r="R152" s="43" t="str">
        <f>IF(AND(NOT(ISBLANK(Q152)),Dashboard!F16&gt;0), Q152/Dashboard!F16, "")</f>
        <v/>
      </c>
      <c r="S152" s="40"/>
      <c r="T152" s="43" t="str">
        <f>IF(AND(NOT(ISBLANK(S152)),Dashboard!F82&gt;0), S152/Dashboard!F82, "")</f>
        <v/>
      </c>
      <c r="U152" s="40"/>
      <c r="V152" s="43" t="str">
        <f>IF(AND(NOT(ISBLANK(U152)),Dashboard!F83&gt;0), U152/Dashboard!F83, "")</f>
        <v/>
      </c>
      <c r="W152" s="40"/>
      <c r="X152" s="43" t="str">
        <f>IF(AND(NOT(ISBLANK(W152)),Dashboard!F84&gt;0), W152/Dashboard!F84, "")</f>
        <v/>
      </c>
    </row>
    <row r="153" spans="16:24" x14ac:dyDescent="0.35">
      <c r="P153" s="53"/>
      <c r="Q153" s="40"/>
      <c r="R153" s="43" t="str">
        <f>IF(AND(NOT(ISBLANK(Q153)),Dashboard!F16&gt;0), Q153/Dashboard!F16, "")</f>
        <v/>
      </c>
      <c r="S153" s="40"/>
      <c r="T153" s="43" t="str">
        <f>IF(AND(NOT(ISBLANK(S153)),Dashboard!F82&gt;0), S153/Dashboard!F82, "")</f>
        <v/>
      </c>
      <c r="U153" s="40"/>
      <c r="V153" s="43" t="str">
        <f>IF(AND(NOT(ISBLANK(U153)),Dashboard!F83&gt;0), U153/Dashboard!F83, "")</f>
        <v/>
      </c>
      <c r="W153" s="40"/>
      <c r="X153" s="43" t="str">
        <f>IF(AND(NOT(ISBLANK(W153)),Dashboard!F84&gt;0), W153/Dashboard!F84, "")</f>
        <v/>
      </c>
    </row>
    <row r="154" spans="16:24" x14ac:dyDescent="0.35">
      <c r="P154" s="53"/>
      <c r="Q154" s="40"/>
      <c r="R154" s="43" t="str">
        <f>IF(AND(NOT(ISBLANK(Q154)),Dashboard!F16&gt;0), Q154/Dashboard!F16, "")</f>
        <v/>
      </c>
      <c r="S154" s="40"/>
      <c r="T154" s="43" t="str">
        <f>IF(AND(NOT(ISBLANK(S154)),Dashboard!F82&gt;0), S154/Dashboard!F82, "")</f>
        <v/>
      </c>
      <c r="U154" s="40"/>
      <c r="V154" s="43" t="str">
        <f>IF(AND(NOT(ISBLANK(U154)),Dashboard!F83&gt;0), U154/Dashboard!F83, "")</f>
        <v/>
      </c>
      <c r="W154" s="40"/>
      <c r="X154" s="43" t="str">
        <f>IF(AND(NOT(ISBLANK(W154)),Dashboard!F84&gt;0), W154/Dashboard!F84, "")</f>
        <v/>
      </c>
    </row>
    <row r="155" spans="16:24" x14ac:dyDescent="0.35">
      <c r="P155" s="53"/>
      <c r="Q155" s="40"/>
      <c r="R155" s="43" t="str">
        <f>IF(AND(NOT(ISBLANK(Q155)),Dashboard!F16&gt;0), Q155/Dashboard!F16, "")</f>
        <v/>
      </c>
      <c r="S155" s="40"/>
      <c r="T155" s="43" t="str">
        <f>IF(AND(NOT(ISBLANK(S155)),Dashboard!F82&gt;0), S155/Dashboard!F82, "")</f>
        <v/>
      </c>
      <c r="U155" s="40"/>
      <c r="V155" s="43" t="str">
        <f>IF(AND(NOT(ISBLANK(U155)),Dashboard!F83&gt;0), U155/Dashboard!F83, "")</f>
        <v/>
      </c>
      <c r="W155" s="40"/>
      <c r="X155" s="43" t="str">
        <f>IF(AND(NOT(ISBLANK(W155)),Dashboard!F84&gt;0), W155/Dashboard!F84, "")</f>
        <v/>
      </c>
    </row>
    <row r="156" spans="16:24" x14ac:dyDescent="0.35">
      <c r="P156" s="53"/>
      <c r="Q156" s="40"/>
      <c r="R156" s="43" t="str">
        <f>IF(AND(NOT(ISBLANK(Q156)),Dashboard!F16&gt;0), Q156/Dashboard!F16, "")</f>
        <v/>
      </c>
      <c r="S156" s="40"/>
      <c r="T156" s="43" t="str">
        <f>IF(AND(NOT(ISBLANK(S156)),Dashboard!F82&gt;0), S156/Dashboard!F82, "")</f>
        <v/>
      </c>
      <c r="U156" s="40"/>
      <c r="V156" s="43" t="str">
        <f>IF(AND(NOT(ISBLANK(U156)),Dashboard!F83&gt;0), U156/Dashboard!F83, "")</f>
        <v/>
      </c>
      <c r="W156" s="40"/>
      <c r="X156" s="43" t="str">
        <f>IF(AND(NOT(ISBLANK(W156)),Dashboard!F84&gt;0), W156/Dashboard!F84, "")</f>
        <v/>
      </c>
    </row>
    <row r="157" spans="16:24" x14ac:dyDescent="0.35">
      <c r="P157" s="53"/>
      <c r="Q157" s="40"/>
      <c r="R157" s="43" t="str">
        <f>IF(AND(NOT(ISBLANK(Q157)),Dashboard!F16&gt;0), Q157/Dashboard!F16, "")</f>
        <v/>
      </c>
      <c r="S157" s="40"/>
      <c r="T157" s="43" t="str">
        <f>IF(AND(NOT(ISBLANK(S157)),Dashboard!F82&gt;0), S157/Dashboard!F82, "")</f>
        <v/>
      </c>
      <c r="U157" s="40"/>
      <c r="V157" s="43" t="str">
        <f>IF(AND(NOT(ISBLANK(U157)),Dashboard!F83&gt;0), U157/Dashboard!F83, "")</f>
        <v/>
      </c>
      <c r="W157" s="40"/>
      <c r="X157" s="43" t="str">
        <f>IF(AND(NOT(ISBLANK(W157)),Dashboard!F84&gt;0), W157/Dashboard!F84, "")</f>
        <v/>
      </c>
    </row>
    <row r="158" spans="16:24" x14ac:dyDescent="0.35">
      <c r="P158" s="53"/>
      <c r="Q158" s="40"/>
      <c r="R158" s="43" t="str">
        <f>IF(AND(NOT(ISBLANK(Q158)),Dashboard!F16&gt;0), Q158/Dashboard!F16, "")</f>
        <v/>
      </c>
      <c r="S158" s="40"/>
      <c r="T158" s="43" t="str">
        <f>IF(AND(NOT(ISBLANK(S158)),Dashboard!F82&gt;0), S158/Dashboard!F82, "")</f>
        <v/>
      </c>
      <c r="U158" s="40"/>
      <c r="V158" s="43" t="str">
        <f>IF(AND(NOT(ISBLANK(U158)),Dashboard!F83&gt;0), U158/Dashboard!F83, "")</f>
        <v/>
      </c>
      <c r="W158" s="40"/>
      <c r="X158" s="43" t="str">
        <f>IF(AND(NOT(ISBLANK(W158)),Dashboard!F84&gt;0), W158/Dashboard!F84, "")</f>
        <v/>
      </c>
    </row>
    <row r="159" spans="16:24" x14ac:dyDescent="0.35">
      <c r="P159" s="53"/>
      <c r="Q159" s="40"/>
      <c r="R159" s="43" t="str">
        <f>IF(AND(NOT(ISBLANK(Q159)),Dashboard!F16&gt;0), Q159/Dashboard!F16, "")</f>
        <v/>
      </c>
      <c r="S159" s="40"/>
      <c r="T159" s="43" t="str">
        <f>IF(AND(NOT(ISBLANK(S159)),Dashboard!F82&gt;0), S159/Dashboard!F82, "")</f>
        <v/>
      </c>
      <c r="U159" s="40"/>
      <c r="V159" s="43" t="str">
        <f>IF(AND(NOT(ISBLANK(U159)),Dashboard!F83&gt;0), U159/Dashboard!F83, "")</f>
        <v/>
      </c>
      <c r="W159" s="40"/>
      <c r="X159" s="43" t="str">
        <f>IF(AND(NOT(ISBLANK(W159)),Dashboard!F84&gt;0), W159/Dashboard!F84, "")</f>
        <v/>
      </c>
    </row>
    <row r="160" spans="16:24" x14ac:dyDescent="0.35">
      <c r="P160" s="53"/>
      <c r="Q160" s="40"/>
      <c r="R160" s="43" t="str">
        <f>IF(AND(NOT(ISBLANK(Q160)),Dashboard!F16&gt;0), Q160/Dashboard!F16, "")</f>
        <v/>
      </c>
      <c r="S160" s="40"/>
      <c r="T160" s="43" t="str">
        <f>IF(AND(NOT(ISBLANK(S160)),Dashboard!F82&gt;0), S160/Dashboard!F82, "")</f>
        <v/>
      </c>
      <c r="U160" s="40"/>
      <c r="V160" s="43" t="str">
        <f>IF(AND(NOT(ISBLANK(U160)),Dashboard!F83&gt;0), U160/Dashboard!F83, "")</f>
        <v/>
      </c>
      <c r="W160" s="40"/>
      <c r="X160" s="43" t="str">
        <f>IF(AND(NOT(ISBLANK(W160)),Dashboard!F84&gt;0), W160/Dashboard!F84, "")</f>
        <v/>
      </c>
    </row>
    <row r="161" spans="2:24" x14ac:dyDescent="0.35">
      <c r="P161" s="53"/>
      <c r="Q161" s="40"/>
      <c r="R161" s="43" t="str">
        <f>IF(AND(NOT(ISBLANK(Q161)),Dashboard!F16&gt;0), Q161/Dashboard!F16, "")</f>
        <v/>
      </c>
      <c r="S161" s="40"/>
      <c r="T161" s="43" t="str">
        <f>IF(AND(NOT(ISBLANK(S161)),Dashboard!F82&gt;0), S161/Dashboard!F82, "")</f>
        <v/>
      </c>
      <c r="U161" s="40"/>
      <c r="V161" s="43" t="str">
        <f>IF(AND(NOT(ISBLANK(U161)),Dashboard!F83&gt;0), U161/Dashboard!F83, "")</f>
        <v/>
      </c>
      <c r="W161" s="40"/>
      <c r="X161" s="43" t="str">
        <f>IF(AND(NOT(ISBLANK(W161)),Dashboard!F84&gt;0), W161/Dashboard!F84, "")</f>
        <v/>
      </c>
    </row>
    <row r="162" spans="2:24" x14ac:dyDescent="0.35">
      <c r="P162" s="53"/>
      <c r="Q162" s="40"/>
      <c r="R162" s="43" t="str">
        <f>IF(AND(NOT(ISBLANK(Q162)),Dashboard!F16&gt;0), Q162/Dashboard!F16, "")</f>
        <v/>
      </c>
      <c r="S162" s="40"/>
      <c r="T162" s="43" t="str">
        <f>IF(AND(NOT(ISBLANK(S162)),Dashboard!F82&gt;0), S162/Dashboard!F82, "")</f>
        <v/>
      </c>
      <c r="U162" s="40"/>
      <c r="V162" s="43" t="str">
        <f>IF(AND(NOT(ISBLANK(U162)),Dashboard!F83&gt;0), U162/Dashboard!F83, "")</f>
        <v/>
      </c>
      <c r="W162" s="40"/>
      <c r="X162" s="43" t="str">
        <f>IF(AND(NOT(ISBLANK(W162)),Dashboard!F84&gt;0), W162/Dashboard!F84, "")</f>
        <v/>
      </c>
    </row>
    <row r="163" spans="2:24" x14ac:dyDescent="0.35">
      <c r="P163" s="53"/>
      <c r="Q163" s="40"/>
      <c r="R163" s="43" t="str">
        <f>IF(AND(NOT(ISBLANK(Q163)),Dashboard!F16&gt;0), Q163/Dashboard!F16, "")</f>
        <v/>
      </c>
      <c r="S163" s="40"/>
      <c r="T163" s="43" t="str">
        <f>IF(AND(NOT(ISBLANK(S163)),Dashboard!F82&gt;0), S163/Dashboard!F82, "")</f>
        <v/>
      </c>
      <c r="U163" s="40"/>
      <c r="V163" s="43" t="str">
        <f>IF(AND(NOT(ISBLANK(U163)),Dashboard!F83&gt;0), U163/Dashboard!F83, "")</f>
        <v/>
      </c>
      <c r="W163" s="40"/>
      <c r="X163" s="43" t="str">
        <f>IF(AND(NOT(ISBLANK(W163)),Dashboard!F84&gt;0), W163/Dashboard!F84, "")</f>
        <v/>
      </c>
    </row>
    <row r="164" spans="2:24" x14ac:dyDescent="0.35">
      <c r="P164" s="53"/>
      <c r="Q164" s="40"/>
      <c r="R164" s="43" t="str">
        <f>IF(AND(NOT(ISBLANK(Q164)),Dashboard!F16&gt;0), Q164/Dashboard!F16, "")</f>
        <v/>
      </c>
      <c r="S164" s="40"/>
      <c r="T164" s="43" t="str">
        <f>IF(AND(NOT(ISBLANK(S164)),Dashboard!F82&gt;0), S164/Dashboard!F82, "")</f>
        <v/>
      </c>
      <c r="U164" s="40"/>
      <c r="V164" s="43" t="str">
        <f>IF(AND(NOT(ISBLANK(U164)),Dashboard!F83&gt;0), U164/Dashboard!F83, "")</f>
        <v/>
      </c>
      <c r="W164" s="40"/>
      <c r="X164" s="43" t="str">
        <f>IF(AND(NOT(ISBLANK(W164)),Dashboard!F84&gt;0), W164/Dashboard!F84, "")</f>
        <v/>
      </c>
    </row>
    <row r="165" spans="2:24" x14ac:dyDescent="0.35">
      <c r="P165" s="53"/>
      <c r="Q165" s="40"/>
      <c r="R165" s="43" t="str">
        <f>IF(AND(NOT(ISBLANK(Q165)),Dashboard!F16&gt;0), Q165/Dashboard!F16, "")</f>
        <v/>
      </c>
      <c r="S165" s="40"/>
      <c r="T165" s="43" t="str">
        <f>IF(AND(NOT(ISBLANK(S165)),Dashboard!F82&gt;0), S165/Dashboard!F82, "")</f>
        <v/>
      </c>
      <c r="U165" s="40"/>
      <c r="V165" s="43" t="str">
        <f>IF(AND(NOT(ISBLANK(U165)),Dashboard!F83&gt;0), U165/Dashboard!F83, "")</f>
        <v/>
      </c>
      <c r="W165" s="40"/>
      <c r="X165" s="43" t="str">
        <f>IF(AND(NOT(ISBLANK(W165)),Dashboard!F84&gt;0), W165/Dashboard!F84, "")</f>
        <v/>
      </c>
    </row>
    <row r="166" spans="2:24" x14ac:dyDescent="0.35">
      <c r="P166" s="53"/>
      <c r="Q166" s="40"/>
      <c r="R166" s="43" t="str">
        <f>IF(AND(NOT(ISBLANK(Q166)),Dashboard!F16&gt;0), Q166/Dashboard!F16, "")</f>
        <v/>
      </c>
      <c r="S166" s="40"/>
      <c r="T166" s="43" t="str">
        <f>IF(AND(NOT(ISBLANK(S166)),Dashboard!F82&gt;0), S166/Dashboard!F82, "")</f>
        <v/>
      </c>
      <c r="U166" s="40"/>
      <c r="V166" s="43" t="str">
        <f>IF(AND(NOT(ISBLANK(U166)),Dashboard!F83&gt;0), U166/Dashboard!F83, "")</f>
        <v/>
      </c>
      <c r="W166" s="40"/>
      <c r="X166" s="43" t="str">
        <f>IF(AND(NOT(ISBLANK(W166)),Dashboard!F84&gt;0), W166/Dashboard!F84, "")</f>
        <v/>
      </c>
    </row>
    <row r="167" spans="2:24" x14ac:dyDescent="0.35">
      <c r="P167" s="53"/>
      <c r="Q167" s="40"/>
      <c r="R167" s="43" t="str">
        <f>IF(AND(NOT(ISBLANK(Q167)),Dashboard!F16&gt;0), Q167/Dashboard!F16, "")</f>
        <v/>
      </c>
      <c r="S167" s="40"/>
      <c r="T167" s="43" t="str">
        <f>IF(AND(NOT(ISBLANK(S167)),Dashboard!F82&gt;0), S167/Dashboard!F82, "")</f>
        <v/>
      </c>
      <c r="U167" s="40"/>
      <c r="V167" s="43" t="str">
        <f>IF(AND(NOT(ISBLANK(U167)),Dashboard!F83&gt;0), U167/Dashboard!F83, "")</f>
        <v/>
      </c>
      <c r="W167" s="40"/>
      <c r="X167" s="43" t="str">
        <f>IF(AND(NOT(ISBLANK(W167)),Dashboard!F84&gt;0), W167/Dashboard!F84, "")</f>
        <v/>
      </c>
    </row>
    <row r="168" spans="2:24" x14ac:dyDescent="0.35">
      <c r="P168" s="53"/>
      <c r="Q168" s="40"/>
      <c r="R168" s="43" t="str">
        <f>IF(AND(NOT(ISBLANK(Q168)),Dashboard!F16&gt;0), Q168/Dashboard!F16, "")</f>
        <v/>
      </c>
      <c r="S168" s="40"/>
      <c r="T168" s="43" t="str">
        <f>IF(AND(NOT(ISBLANK(S168)),Dashboard!F82&gt;0), S168/Dashboard!F82, "")</f>
        <v/>
      </c>
      <c r="U168" s="40"/>
      <c r="V168" s="43" t="str">
        <f>IF(AND(NOT(ISBLANK(U168)),Dashboard!F83&gt;0), U168/Dashboard!F83, "")</f>
        <v/>
      </c>
      <c r="W168" s="40"/>
      <c r="X168" s="43" t="str">
        <f>IF(AND(NOT(ISBLANK(W168)),Dashboard!F84&gt;0), W168/Dashboard!F84, "")</f>
        <v/>
      </c>
    </row>
    <row r="173" spans="2:24" ht="21" x14ac:dyDescent="0.5">
      <c r="B173" s="37" t="s">
        <v>477</v>
      </c>
      <c r="P173" s="54" t="s">
        <v>478</v>
      </c>
    </row>
    <row r="175" spans="2:24" ht="45" customHeight="1" x14ac:dyDescent="0.35">
      <c r="B175" s="87" t="s">
        <v>479</v>
      </c>
      <c r="C175" s="80"/>
      <c r="D175" s="80"/>
      <c r="E175" s="80"/>
      <c r="F175" s="80"/>
      <c r="P175" s="87" t="s">
        <v>480</v>
      </c>
      <c r="Q175" s="80"/>
      <c r="R175" s="80"/>
      <c r="S175" s="80"/>
      <c r="T175" s="80"/>
      <c r="U175" s="80"/>
    </row>
    <row r="176" spans="2:24" ht="35" customHeight="1" x14ac:dyDescent="0.35">
      <c r="P176" s="84" t="s">
        <v>481</v>
      </c>
      <c r="Q176" s="84"/>
      <c r="R176" s="84" t="s">
        <v>482</v>
      </c>
      <c r="S176" s="84"/>
      <c r="T176" s="84"/>
    </row>
    <row r="177" spans="16:22" ht="30" customHeight="1" x14ac:dyDescent="0.35">
      <c r="P177" s="88">
        <v>0</v>
      </c>
      <c r="Q177" s="89"/>
      <c r="R177" s="90" t="s">
        <v>483</v>
      </c>
      <c r="S177" s="91"/>
      <c r="T177" s="91"/>
    </row>
    <row r="180" spans="16:22" ht="25" customHeight="1" x14ac:dyDescent="0.35">
      <c r="P180" s="63" t="s">
        <v>466</v>
      </c>
      <c r="Q180" s="63" t="s">
        <v>484</v>
      </c>
      <c r="R180" s="63" t="s">
        <v>485</v>
      </c>
      <c r="S180" s="92" t="s">
        <v>9</v>
      </c>
      <c r="T180" s="92"/>
      <c r="U180" s="92"/>
      <c r="V180" s="80"/>
    </row>
    <row r="181" spans="16:22" ht="20" customHeight="1" x14ac:dyDescent="0.35">
      <c r="P181" s="65"/>
      <c r="Q181" s="66"/>
      <c r="R181" s="67" t="str">
        <f>IF(AND(NOT(ISBLANK(Q181)), Dashboard!$P177&gt;0), Q181/Dashboard!$P177, "")</f>
        <v/>
      </c>
      <c r="S181" s="93"/>
      <c r="T181" s="94"/>
      <c r="U181" s="94"/>
      <c r="V181" s="94"/>
    </row>
    <row r="182" spans="16:22" ht="20" customHeight="1" x14ac:dyDescent="0.35">
      <c r="P182" s="65"/>
      <c r="Q182" s="66"/>
      <c r="R182" s="67" t="str">
        <f>IF(AND(NOT(ISBLANK(Q182)), Dashboard!$P177&gt;0), Q182/Dashboard!$P177, "")</f>
        <v/>
      </c>
      <c r="S182" s="93"/>
      <c r="T182" s="94"/>
      <c r="U182" s="94"/>
      <c r="V182" s="94"/>
    </row>
    <row r="183" spans="16:22" ht="20" customHeight="1" x14ac:dyDescent="0.35">
      <c r="P183" s="65"/>
      <c r="Q183" s="66"/>
      <c r="R183" s="67" t="str">
        <f>IF(AND(NOT(ISBLANK(Q183)), Dashboard!$P177&gt;0), Q183/Dashboard!$P177, "")</f>
        <v/>
      </c>
      <c r="S183" s="93"/>
      <c r="T183" s="94"/>
      <c r="U183" s="94"/>
      <c r="V183" s="94"/>
    </row>
    <row r="184" spans="16:22" ht="20" customHeight="1" x14ac:dyDescent="0.35">
      <c r="P184" s="65"/>
      <c r="Q184" s="66"/>
      <c r="R184" s="67" t="str">
        <f>IF(AND(NOT(ISBLANK(Q184)), Dashboard!$P177&gt;0), Q184/Dashboard!$P177, "")</f>
        <v/>
      </c>
      <c r="S184" s="93"/>
      <c r="T184" s="94"/>
      <c r="U184" s="94"/>
      <c r="V184" s="94"/>
    </row>
    <row r="185" spans="16:22" ht="20" customHeight="1" x14ac:dyDescent="0.35">
      <c r="P185" s="65"/>
      <c r="Q185" s="66"/>
      <c r="R185" s="67" t="str">
        <f>IF(AND(NOT(ISBLANK(Q185)), Dashboard!$P177&gt;0), Q185/Dashboard!$P177, "")</f>
        <v/>
      </c>
      <c r="S185" s="93"/>
      <c r="T185" s="94"/>
      <c r="U185" s="94"/>
      <c r="V185" s="94"/>
    </row>
    <row r="186" spans="16:22" ht="20" customHeight="1" x14ac:dyDescent="0.35">
      <c r="P186" s="65"/>
      <c r="Q186" s="66"/>
      <c r="R186" s="67" t="str">
        <f>IF(AND(NOT(ISBLANK(Q186)), Dashboard!$P177&gt;0), Q186/Dashboard!$P177, "")</f>
        <v/>
      </c>
      <c r="S186" s="93"/>
      <c r="T186" s="94"/>
      <c r="U186" s="94"/>
      <c r="V186" s="94"/>
    </row>
    <row r="187" spans="16:22" ht="20" customHeight="1" x14ac:dyDescent="0.35">
      <c r="P187" s="65"/>
      <c r="Q187" s="66"/>
      <c r="R187" s="67" t="str">
        <f>IF(AND(NOT(ISBLANK(Q187)), Dashboard!$P177&gt;0), Q187/Dashboard!$P177, "")</f>
        <v/>
      </c>
      <c r="S187" s="93"/>
      <c r="T187" s="94"/>
      <c r="U187" s="94"/>
      <c r="V187" s="94"/>
    </row>
    <row r="188" spans="16:22" ht="20" customHeight="1" x14ac:dyDescent="0.35">
      <c r="P188" s="65"/>
      <c r="Q188" s="66"/>
      <c r="R188" s="67" t="str">
        <f>IF(AND(NOT(ISBLANK(Q188)), Dashboard!$P177&gt;0), Q188/Dashboard!$P177, "")</f>
        <v/>
      </c>
      <c r="S188" s="93"/>
      <c r="T188" s="94"/>
      <c r="U188" s="94"/>
      <c r="V188" s="94"/>
    </row>
    <row r="189" spans="16:22" ht="20" customHeight="1" x14ac:dyDescent="0.35">
      <c r="P189" s="65"/>
      <c r="Q189" s="66"/>
      <c r="R189" s="67" t="str">
        <f>IF(AND(NOT(ISBLANK(Q189)), Dashboard!$P177&gt;0), Q189/Dashboard!$P177, "")</f>
        <v/>
      </c>
      <c r="S189" s="93"/>
      <c r="T189" s="94"/>
      <c r="U189" s="94"/>
      <c r="V189" s="94"/>
    </row>
    <row r="190" spans="16:22" ht="20" customHeight="1" x14ac:dyDescent="0.35">
      <c r="P190" s="65"/>
      <c r="Q190" s="66"/>
      <c r="R190" s="67" t="str">
        <f>IF(AND(NOT(ISBLANK(Q190)), Dashboard!$P177&gt;0), Q190/Dashboard!$P177, "")</f>
        <v/>
      </c>
      <c r="S190" s="93"/>
      <c r="T190" s="94"/>
      <c r="U190" s="94"/>
      <c r="V190" s="94"/>
    </row>
    <row r="191" spans="16:22" ht="20" customHeight="1" x14ac:dyDescent="0.35">
      <c r="P191" s="65"/>
      <c r="Q191" s="66"/>
      <c r="R191" s="67" t="str">
        <f>IF(AND(NOT(ISBLANK(Q191)), Dashboard!$P177&gt;0), Q191/Dashboard!$P177, "")</f>
        <v/>
      </c>
      <c r="S191" s="93"/>
      <c r="T191" s="94"/>
      <c r="U191" s="94"/>
      <c r="V191" s="94"/>
    </row>
    <row r="192" spans="16:22" ht="20" customHeight="1" x14ac:dyDescent="0.35">
      <c r="P192" s="65"/>
      <c r="Q192" s="66"/>
      <c r="R192" s="67" t="str">
        <f>IF(AND(NOT(ISBLANK(Q192)), Dashboard!$P177&gt;0), Q192/Dashboard!$P177, "")</f>
        <v/>
      </c>
      <c r="S192" s="93"/>
      <c r="T192" s="94"/>
      <c r="U192" s="94"/>
      <c r="V192" s="94"/>
    </row>
    <row r="193" spans="2:22" ht="20" customHeight="1" x14ac:dyDescent="0.35">
      <c r="P193" s="65"/>
      <c r="Q193" s="66"/>
      <c r="R193" s="67" t="str">
        <f>IF(AND(NOT(ISBLANK(Q193)), Dashboard!$P177&gt;0), Q193/Dashboard!$P177, "")</f>
        <v/>
      </c>
      <c r="S193" s="93"/>
      <c r="T193" s="94"/>
      <c r="U193" s="94"/>
      <c r="V193" s="94"/>
    </row>
    <row r="194" spans="2:22" ht="20" customHeight="1" x14ac:dyDescent="0.35">
      <c r="P194" s="65"/>
      <c r="Q194" s="66"/>
      <c r="R194" s="67" t="str">
        <f>IF(AND(NOT(ISBLANK(Q194)), Dashboard!$P177&gt;0), Q194/Dashboard!$P177, "")</f>
        <v/>
      </c>
      <c r="S194" s="93"/>
      <c r="T194" s="94"/>
      <c r="U194" s="94"/>
      <c r="V194" s="94"/>
    </row>
    <row r="195" spans="2:22" ht="20" customHeight="1" x14ac:dyDescent="0.35">
      <c r="P195" s="65"/>
      <c r="Q195" s="66"/>
      <c r="R195" s="67" t="str">
        <f>IF(AND(NOT(ISBLANK(Q195)), Dashboard!$P177&gt;0), Q195/Dashboard!$P177, "")</f>
        <v/>
      </c>
      <c r="S195" s="93"/>
      <c r="T195" s="94"/>
      <c r="U195" s="94"/>
      <c r="V195" s="94"/>
    </row>
    <row r="196" spans="2:22" ht="20" customHeight="1" x14ac:dyDescent="0.35">
      <c r="P196" s="65"/>
      <c r="Q196" s="66"/>
      <c r="R196" s="67" t="str">
        <f>IF(AND(NOT(ISBLANK(Q196)), Dashboard!$P177&gt;0), Q196/Dashboard!$P177, "")</f>
        <v/>
      </c>
      <c r="S196" s="93"/>
      <c r="T196" s="94"/>
      <c r="U196" s="94"/>
      <c r="V196" s="94"/>
    </row>
    <row r="197" spans="2:22" ht="20" customHeight="1" x14ac:dyDescent="0.35">
      <c r="P197" s="65"/>
      <c r="Q197" s="66"/>
      <c r="R197" s="67" t="str">
        <f>IF(AND(NOT(ISBLANK(Q197)), Dashboard!$P177&gt;0), Q197/Dashboard!$P177, "")</f>
        <v/>
      </c>
      <c r="S197" s="93"/>
      <c r="T197" s="94"/>
      <c r="U197" s="94"/>
      <c r="V197" s="94"/>
    </row>
    <row r="198" spans="2:22" ht="20" customHeight="1" x14ac:dyDescent="0.35">
      <c r="P198" s="65"/>
      <c r="Q198" s="66"/>
      <c r="R198" s="67" t="str">
        <f>IF(AND(NOT(ISBLANK(Q198)), Dashboard!$P177&gt;0), Q198/Dashboard!$P177, "")</f>
        <v/>
      </c>
      <c r="S198" s="93"/>
      <c r="T198" s="94"/>
      <c r="U198" s="94"/>
      <c r="V198" s="94"/>
    </row>
    <row r="199" spans="2:22" ht="20" customHeight="1" x14ac:dyDescent="0.35">
      <c r="P199" s="65"/>
      <c r="Q199" s="66"/>
      <c r="R199" s="67" t="str">
        <f>IF(AND(NOT(ISBLANK(Q199)), Dashboard!$P177&gt;0), Q199/Dashboard!$P177, "")</f>
        <v/>
      </c>
      <c r="S199" s="93"/>
      <c r="T199" s="94"/>
      <c r="U199" s="94"/>
      <c r="V199" s="94"/>
    </row>
    <row r="200" spans="2:22" ht="20" customHeight="1" x14ac:dyDescent="0.35">
      <c r="P200" s="65"/>
      <c r="Q200" s="66"/>
      <c r="R200" s="67" t="str">
        <f>IF(AND(NOT(ISBLANK(Q200)), Dashboard!$P177&gt;0), Q200/Dashboard!$P177, "")</f>
        <v/>
      </c>
      <c r="S200" s="93"/>
      <c r="T200" s="94"/>
      <c r="U200" s="94"/>
      <c r="V200" s="94"/>
    </row>
    <row r="204" spans="2:22" ht="32" customHeight="1" x14ac:dyDescent="0.35">
      <c r="B204" s="78" t="s">
        <v>357</v>
      </c>
      <c r="C204" s="78"/>
      <c r="D204" s="78"/>
      <c r="E204" s="78"/>
      <c r="F204" s="78"/>
      <c r="G204" s="78"/>
      <c r="H204" s="78"/>
      <c r="I204" s="7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2" priority="1" operator="greaterThanOrEqual">
      <formula>0.9</formula>
    </cfRule>
    <cfRule type="cellIs" dxfId="31" priority="2" operator="greaterThanOrEqual">
      <formula>0.5</formula>
    </cfRule>
    <cfRule type="cellIs" dxfId="30" priority="3" operator="lessThan">
      <formula>0.5</formula>
    </cfRule>
  </conditionalFormatting>
  <conditionalFormatting sqref="G120:H125">
    <cfRule type="expression" dxfId="29" priority="4">
      <formula>$G120&gt;=0.8</formula>
    </cfRule>
    <cfRule type="expression" dxfId="28" priority="5">
      <formula>AND($G120&gt;=0.5,$G120&lt;0.8)</formula>
    </cfRule>
    <cfRule type="expression" dxfId="27" priority="6">
      <formula>$G120&lt;0.5</formula>
    </cfRule>
  </conditionalFormatting>
  <conditionalFormatting sqref="K120:K125">
    <cfRule type="cellIs" dxfId="26" priority="7" operator="greaterThan">
      <formula>0</formula>
    </cfRule>
  </conditionalFormatting>
  <conditionalFormatting sqref="L120:L125">
    <cfRule type="cellIs" dxfId="25" priority="8" operator="greaterThan">
      <formula>0</formula>
    </cfRule>
  </conditionalFormatting>
  <conditionalFormatting sqref="M120:M125">
    <cfRule type="cellIs" dxfId="24" priority="9" operator="greaterThan">
      <formula>0</formula>
    </cfRule>
  </conditionalFormatting>
  <conditionalFormatting sqref="N120:N125">
    <cfRule type="cellIs" dxfId="23"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61"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t="s">
        <v>35</v>
      </c>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c r="N4" s="5" t="s">
        <v>40</v>
      </c>
      <c r="O4" s="5" t="s">
        <v>41</v>
      </c>
      <c r="P4" s="4" t="str">
        <f t="shared" si="0"/>
        <v>Outstanding</v>
      </c>
      <c r="Q4" s="13" t="s">
        <v>25</v>
      </c>
    </row>
    <row r="5" spans="1:17" ht="60" customHeight="1" x14ac:dyDescent="0.35">
      <c r="A5" s="11" t="s">
        <v>17</v>
      </c>
      <c r="B5" s="2" t="s">
        <v>42</v>
      </c>
      <c r="C5" s="1" t="s">
        <v>43</v>
      </c>
      <c r="D5" s="3" t="s">
        <v>20</v>
      </c>
      <c r="E5" s="3" t="s">
        <v>21</v>
      </c>
      <c r="F5" s="4" t="s">
        <v>22</v>
      </c>
      <c r="G5" s="4" t="s">
        <v>23</v>
      </c>
      <c r="H5" s="4" t="s">
        <v>24</v>
      </c>
      <c r="I5" s="4" t="s">
        <v>25</v>
      </c>
      <c r="J5" s="5" t="s">
        <v>25</v>
      </c>
      <c r="K5" s="5" t="s">
        <v>44</v>
      </c>
      <c r="L5" s="5" t="s">
        <v>45</v>
      </c>
      <c r="M5" s="5"/>
      <c r="N5" s="5" t="s">
        <v>46</v>
      </c>
      <c r="O5" s="5" t="s">
        <v>35</v>
      </c>
      <c r="P5" s="4" t="str">
        <f t="shared" si="0"/>
        <v>Outstanding</v>
      </c>
      <c r="Q5" s="13" t="s">
        <v>25</v>
      </c>
    </row>
    <row r="6" spans="1:17" ht="60" customHeight="1" x14ac:dyDescent="0.35">
      <c r="A6" s="11" t="s">
        <v>17</v>
      </c>
      <c r="B6" s="2" t="s">
        <v>47</v>
      </c>
      <c r="C6" s="1" t="s">
        <v>48</v>
      </c>
      <c r="D6" s="3" t="s">
        <v>20</v>
      </c>
      <c r="E6" s="3" t="s">
        <v>21</v>
      </c>
      <c r="F6" s="4" t="s">
        <v>22</v>
      </c>
      <c r="G6" s="4" t="s">
        <v>23</v>
      </c>
      <c r="H6" s="4" t="s">
        <v>24</v>
      </c>
      <c r="I6" s="4" t="s">
        <v>25</v>
      </c>
      <c r="J6" s="5" t="s">
        <v>25</v>
      </c>
      <c r="K6" s="5" t="s">
        <v>49</v>
      </c>
      <c r="L6" s="5" t="s">
        <v>50</v>
      </c>
      <c r="M6" s="5"/>
      <c r="N6" s="5" t="s">
        <v>51</v>
      </c>
      <c r="O6" s="5" t="s">
        <v>52</v>
      </c>
      <c r="P6" s="4" t="str">
        <f t="shared" si="0"/>
        <v>Outstanding</v>
      </c>
      <c r="Q6" s="13" t="s">
        <v>25</v>
      </c>
    </row>
    <row r="7" spans="1:17" ht="60" customHeight="1" x14ac:dyDescent="0.35">
      <c r="A7" s="11" t="s">
        <v>17</v>
      </c>
      <c r="B7" s="2" t="s">
        <v>53</v>
      </c>
      <c r="C7" s="1" t="s">
        <v>54</v>
      </c>
      <c r="D7" s="3" t="s">
        <v>20</v>
      </c>
      <c r="E7" s="3" t="s">
        <v>21</v>
      </c>
      <c r="F7" s="4" t="s">
        <v>22</v>
      </c>
      <c r="G7" s="4" t="s">
        <v>23</v>
      </c>
      <c r="H7" s="4" t="s">
        <v>24</v>
      </c>
      <c r="I7" s="4" t="s">
        <v>25</v>
      </c>
      <c r="J7" s="5" t="s">
        <v>25</v>
      </c>
      <c r="K7" s="5" t="s">
        <v>55</v>
      </c>
      <c r="L7" s="5" t="s">
        <v>56</v>
      </c>
      <c r="M7" s="5"/>
      <c r="N7" s="5" t="s">
        <v>57</v>
      </c>
      <c r="O7" s="5" t="s">
        <v>58</v>
      </c>
      <c r="P7" s="4" t="str">
        <f t="shared" si="0"/>
        <v>Outstanding</v>
      </c>
      <c r="Q7" s="13" t="s">
        <v>25</v>
      </c>
    </row>
    <row r="8" spans="1:17" ht="60" customHeight="1" x14ac:dyDescent="0.35">
      <c r="A8" s="11" t="s">
        <v>17</v>
      </c>
      <c r="B8" s="2" t="s">
        <v>59</v>
      </c>
      <c r="C8" s="1" t="s">
        <v>60</v>
      </c>
      <c r="D8" s="3" t="s">
        <v>20</v>
      </c>
      <c r="E8" s="3" t="s">
        <v>21</v>
      </c>
      <c r="F8" s="4" t="s">
        <v>22</v>
      </c>
      <c r="G8" s="4" t="s">
        <v>23</v>
      </c>
      <c r="H8" s="4" t="s">
        <v>24</v>
      </c>
      <c r="I8" s="4" t="s">
        <v>25</v>
      </c>
      <c r="J8" s="5" t="s">
        <v>25</v>
      </c>
      <c r="K8" s="5" t="s">
        <v>61</v>
      </c>
      <c r="L8" s="5" t="s">
        <v>62</v>
      </c>
      <c r="M8" s="5"/>
      <c r="N8" s="5" t="s">
        <v>63</v>
      </c>
      <c r="O8" s="5" t="s">
        <v>64</v>
      </c>
      <c r="P8" s="4" t="str">
        <f t="shared" si="0"/>
        <v>Outstanding</v>
      </c>
      <c r="Q8" s="13" t="s">
        <v>25</v>
      </c>
    </row>
    <row r="9" spans="1:17" ht="60" customHeight="1" x14ac:dyDescent="0.35">
      <c r="A9" s="11" t="s">
        <v>17</v>
      </c>
      <c r="B9" s="2" t="s">
        <v>65</v>
      </c>
      <c r="C9" s="1" t="s">
        <v>66</v>
      </c>
      <c r="D9" s="3" t="s">
        <v>20</v>
      </c>
      <c r="E9" s="3" t="s">
        <v>21</v>
      </c>
      <c r="F9" s="4" t="s">
        <v>22</v>
      </c>
      <c r="G9" s="4" t="s">
        <v>23</v>
      </c>
      <c r="H9" s="4" t="s">
        <v>24</v>
      </c>
      <c r="I9" s="4" t="s">
        <v>25</v>
      </c>
      <c r="J9" s="5" t="s">
        <v>25</v>
      </c>
      <c r="K9" s="5" t="s">
        <v>67</v>
      </c>
      <c r="L9" s="5" t="s">
        <v>68</v>
      </c>
      <c r="M9" s="5"/>
      <c r="N9" s="5" t="s">
        <v>69</v>
      </c>
      <c r="O9" s="5" t="s">
        <v>70</v>
      </c>
      <c r="P9" s="4" t="str">
        <f t="shared" si="0"/>
        <v>Outstanding</v>
      </c>
      <c r="Q9" s="13" t="s">
        <v>25</v>
      </c>
    </row>
    <row r="10" spans="1:17" ht="60" customHeight="1" x14ac:dyDescent="0.35">
      <c r="A10" s="11" t="s">
        <v>17</v>
      </c>
      <c r="B10" s="2" t="s">
        <v>71</v>
      </c>
      <c r="C10" s="1" t="s">
        <v>72</v>
      </c>
      <c r="D10" s="3" t="s">
        <v>20</v>
      </c>
      <c r="E10" s="3" t="s">
        <v>21</v>
      </c>
      <c r="F10" s="4" t="s">
        <v>22</v>
      </c>
      <c r="G10" s="4" t="s">
        <v>23</v>
      </c>
      <c r="H10" s="4" t="s">
        <v>24</v>
      </c>
      <c r="I10" s="4" t="s">
        <v>25</v>
      </c>
      <c r="J10" s="5" t="s">
        <v>25</v>
      </c>
      <c r="K10" s="5" t="s">
        <v>73</v>
      </c>
      <c r="L10" s="5" t="s">
        <v>74</v>
      </c>
      <c r="M10" s="5"/>
      <c r="N10" s="5" t="s">
        <v>75</v>
      </c>
      <c r="O10" s="5" t="s">
        <v>76</v>
      </c>
      <c r="P10" s="4" t="str">
        <f t="shared" si="0"/>
        <v>Outstanding</v>
      </c>
      <c r="Q10" s="13" t="s">
        <v>25</v>
      </c>
    </row>
    <row r="11" spans="1:17" ht="60" customHeight="1" x14ac:dyDescent="0.35">
      <c r="A11" s="11" t="s">
        <v>17</v>
      </c>
      <c r="B11" s="2" t="s">
        <v>77</v>
      </c>
      <c r="C11" s="1" t="s">
        <v>78</v>
      </c>
      <c r="D11" s="3" t="s">
        <v>20</v>
      </c>
      <c r="E11" s="3" t="s">
        <v>21</v>
      </c>
      <c r="F11" s="4" t="s">
        <v>22</v>
      </c>
      <c r="G11" s="4" t="s">
        <v>23</v>
      </c>
      <c r="H11" s="4" t="s">
        <v>24</v>
      </c>
      <c r="I11" s="4" t="s">
        <v>25</v>
      </c>
      <c r="J11" s="5" t="s">
        <v>25</v>
      </c>
      <c r="K11" s="5" t="s">
        <v>79</v>
      </c>
      <c r="L11" s="5" t="s">
        <v>80</v>
      </c>
      <c r="M11" s="5"/>
      <c r="N11" s="5" t="s">
        <v>81</v>
      </c>
      <c r="O11" s="5" t="s">
        <v>70</v>
      </c>
      <c r="P11" s="4" t="str">
        <f t="shared" si="0"/>
        <v>Outstanding</v>
      </c>
      <c r="Q11" s="13" t="s">
        <v>25</v>
      </c>
    </row>
    <row r="12" spans="1:17" ht="60" customHeight="1" x14ac:dyDescent="0.35">
      <c r="A12" s="11" t="s">
        <v>17</v>
      </c>
      <c r="B12" s="2" t="s">
        <v>82</v>
      </c>
      <c r="C12" s="1" t="s">
        <v>83</v>
      </c>
      <c r="D12" s="3" t="s">
        <v>20</v>
      </c>
      <c r="E12" s="3" t="s">
        <v>21</v>
      </c>
      <c r="F12" s="4" t="s">
        <v>22</v>
      </c>
      <c r="G12" s="4" t="s">
        <v>23</v>
      </c>
      <c r="H12" s="4" t="s">
        <v>24</v>
      </c>
      <c r="I12" s="4" t="s">
        <v>25</v>
      </c>
      <c r="J12" s="5" t="s">
        <v>25</v>
      </c>
      <c r="K12" s="5" t="s">
        <v>84</v>
      </c>
      <c r="L12" s="5" t="s">
        <v>85</v>
      </c>
      <c r="M12" s="5"/>
      <c r="N12" s="5" t="s">
        <v>86</v>
      </c>
      <c r="O12" s="5" t="s">
        <v>87</v>
      </c>
      <c r="P12" s="4" t="str">
        <f t="shared" si="0"/>
        <v>Outstanding</v>
      </c>
      <c r="Q12" s="13" t="s">
        <v>25</v>
      </c>
    </row>
    <row r="13" spans="1:17" ht="60" customHeight="1" x14ac:dyDescent="0.35">
      <c r="A13" s="11" t="s">
        <v>17</v>
      </c>
      <c r="B13" s="2" t="s">
        <v>88</v>
      </c>
      <c r="C13" s="1" t="s">
        <v>89</v>
      </c>
      <c r="D13" s="3" t="s">
        <v>20</v>
      </c>
      <c r="E13" s="3" t="s">
        <v>21</v>
      </c>
      <c r="F13" s="4" t="s">
        <v>22</v>
      </c>
      <c r="G13" s="4" t="s">
        <v>23</v>
      </c>
      <c r="H13" s="4" t="s">
        <v>24</v>
      </c>
      <c r="I13" s="4" t="s">
        <v>25</v>
      </c>
      <c r="J13" s="5" t="s">
        <v>25</v>
      </c>
      <c r="K13" s="5" t="s">
        <v>90</v>
      </c>
      <c r="L13" s="5" t="s">
        <v>91</v>
      </c>
      <c r="M13" s="5"/>
      <c r="N13" s="5" t="s">
        <v>92</v>
      </c>
      <c r="O13" s="5" t="s">
        <v>93</v>
      </c>
      <c r="P13" s="4" t="str">
        <f t="shared" si="0"/>
        <v>Outstanding</v>
      </c>
      <c r="Q13" s="13" t="s">
        <v>25</v>
      </c>
    </row>
    <row r="14" spans="1:17" ht="60" customHeight="1" x14ac:dyDescent="0.35">
      <c r="A14" s="11" t="s">
        <v>17</v>
      </c>
      <c r="B14" s="2" t="s">
        <v>94</v>
      </c>
      <c r="C14" s="1" t="s">
        <v>95</v>
      </c>
      <c r="D14" s="3" t="s">
        <v>20</v>
      </c>
      <c r="E14" s="3" t="s">
        <v>21</v>
      </c>
      <c r="F14" s="4" t="s">
        <v>22</v>
      </c>
      <c r="G14" s="4" t="s">
        <v>23</v>
      </c>
      <c r="H14" s="4" t="s">
        <v>24</v>
      </c>
      <c r="I14" s="4" t="s">
        <v>25</v>
      </c>
      <c r="J14" s="5" t="s">
        <v>25</v>
      </c>
      <c r="K14" s="5" t="s">
        <v>96</v>
      </c>
      <c r="L14" s="5" t="s">
        <v>97</v>
      </c>
      <c r="M14" s="5"/>
      <c r="N14" s="5" t="s">
        <v>98</v>
      </c>
      <c r="O14" s="5" t="s">
        <v>99</v>
      </c>
      <c r="P14" s="4" t="str">
        <f t="shared" si="0"/>
        <v>Outstanding</v>
      </c>
      <c r="Q14" s="13" t="s">
        <v>25</v>
      </c>
    </row>
    <row r="15" spans="1:17" ht="60" customHeight="1" x14ac:dyDescent="0.35">
      <c r="A15" s="11" t="s">
        <v>100</v>
      </c>
      <c r="B15" s="2" t="s">
        <v>101</v>
      </c>
      <c r="C15" s="1" t="s">
        <v>102</v>
      </c>
      <c r="D15" s="3" t="s">
        <v>20</v>
      </c>
      <c r="E15" s="3" t="s">
        <v>21</v>
      </c>
      <c r="F15" s="4" t="s">
        <v>22</v>
      </c>
      <c r="G15" s="4" t="s">
        <v>23</v>
      </c>
      <c r="H15" s="4" t="s">
        <v>24</v>
      </c>
      <c r="I15" s="4" t="s">
        <v>25</v>
      </c>
      <c r="J15" s="5" t="s">
        <v>25</v>
      </c>
      <c r="K15" s="5" t="s">
        <v>103</v>
      </c>
      <c r="L15" s="5" t="s">
        <v>104</v>
      </c>
      <c r="M15" s="5"/>
      <c r="N15" s="5" t="s">
        <v>105</v>
      </c>
      <c r="O15" s="5"/>
      <c r="P15" s="4" t="str">
        <f t="shared" si="0"/>
        <v>Outstanding</v>
      </c>
      <c r="Q15" s="13" t="s">
        <v>25</v>
      </c>
    </row>
    <row r="16" spans="1:17" ht="60" customHeight="1" x14ac:dyDescent="0.35">
      <c r="A16" s="11" t="s">
        <v>100</v>
      </c>
      <c r="B16" s="2" t="s">
        <v>106</v>
      </c>
      <c r="C16" s="1" t="s">
        <v>107</v>
      </c>
      <c r="D16" s="3" t="s">
        <v>20</v>
      </c>
      <c r="E16" s="3" t="s">
        <v>21</v>
      </c>
      <c r="F16" s="4" t="s">
        <v>22</v>
      </c>
      <c r="G16" s="4" t="s">
        <v>23</v>
      </c>
      <c r="H16" s="4" t="s">
        <v>24</v>
      </c>
      <c r="I16" s="4" t="s">
        <v>25</v>
      </c>
      <c r="J16" s="5" t="s">
        <v>25</v>
      </c>
      <c r="K16" s="5" t="s">
        <v>108</v>
      </c>
      <c r="L16" s="5" t="s">
        <v>109</v>
      </c>
      <c r="M16" s="5"/>
      <c r="N16" s="5" t="s">
        <v>110</v>
      </c>
      <c r="O16" s="5"/>
      <c r="P16" s="4" t="str">
        <f t="shared" si="0"/>
        <v>Outstanding</v>
      </c>
      <c r="Q16" s="13" t="s">
        <v>25</v>
      </c>
    </row>
    <row r="17" spans="1:17" ht="60" customHeight="1" x14ac:dyDescent="0.35">
      <c r="A17" s="11" t="s">
        <v>100</v>
      </c>
      <c r="B17" s="2" t="s">
        <v>111</v>
      </c>
      <c r="C17" s="1" t="s">
        <v>112</v>
      </c>
      <c r="D17" s="3" t="s">
        <v>20</v>
      </c>
      <c r="E17" s="3" t="s">
        <v>21</v>
      </c>
      <c r="F17" s="4" t="s">
        <v>22</v>
      </c>
      <c r="G17" s="4" t="s">
        <v>23</v>
      </c>
      <c r="H17" s="4" t="s">
        <v>24</v>
      </c>
      <c r="I17" s="4" t="s">
        <v>25</v>
      </c>
      <c r="J17" s="5" t="s">
        <v>25</v>
      </c>
      <c r="K17" s="5" t="s">
        <v>113</v>
      </c>
      <c r="L17" s="5" t="s">
        <v>114</v>
      </c>
      <c r="M17" s="5"/>
      <c r="N17" s="5" t="s">
        <v>115</v>
      </c>
      <c r="O17" s="5" t="s">
        <v>116</v>
      </c>
      <c r="P17" s="4" t="str">
        <f t="shared" si="0"/>
        <v>Outstanding</v>
      </c>
      <c r="Q17" s="13" t="s">
        <v>25</v>
      </c>
    </row>
    <row r="18" spans="1:17" ht="60" customHeight="1" x14ac:dyDescent="0.35">
      <c r="A18" s="11" t="s">
        <v>100</v>
      </c>
      <c r="B18" s="2" t="s">
        <v>117</v>
      </c>
      <c r="C18" s="1" t="s">
        <v>118</v>
      </c>
      <c r="D18" s="3" t="s">
        <v>20</v>
      </c>
      <c r="E18" s="3" t="s">
        <v>21</v>
      </c>
      <c r="F18" s="4" t="s">
        <v>22</v>
      </c>
      <c r="G18" s="4" t="s">
        <v>23</v>
      </c>
      <c r="H18" s="4" t="s">
        <v>24</v>
      </c>
      <c r="I18" s="4" t="s">
        <v>25</v>
      </c>
      <c r="J18" s="5" t="s">
        <v>25</v>
      </c>
      <c r="K18" s="5" t="s">
        <v>119</v>
      </c>
      <c r="L18" s="5" t="s">
        <v>120</v>
      </c>
      <c r="M18" s="5"/>
      <c r="N18" s="5" t="s">
        <v>121</v>
      </c>
      <c r="O18" s="5" t="s">
        <v>122</v>
      </c>
      <c r="P18" s="4" t="str">
        <f t="shared" si="0"/>
        <v>Outstanding</v>
      </c>
      <c r="Q18" s="13" t="s">
        <v>25</v>
      </c>
    </row>
    <row r="19" spans="1:17" ht="60" customHeight="1" x14ac:dyDescent="0.35">
      <c r="A19" s="11" t="s">
        <v>100</v>
      </c>
      <c r="B19" s="2" t="s">
        <v>123</v>
      </c>
      <c r="C19" s="1" t="s">
        <v>124</v>
      </c>
      <c r="D19" s="3" t="s">
        <v>20</v>
      </c>
      <c r="E19" s="3" t="s">
        <v>21</v>
      </c>
      <c r="F19" s="4" t="s">
        <v>22</v>
      </c>
      <c r="G19" s="4" t="s">
        <v>23</v>
      </c>
      <c r="H19" s="4" t="s">
        <v>24</v>
      </c>
      <c r="I19" s="4" t="s">
        <v>25</v>
      </c>
      <c r="J19" s="5" t="s">
        <v>25</v>
      </c>
      <c r="K19" s="5" t="s">
        <v>125</v>
      </c>
      <c r="L19" s="5" t="s">
        <v>126</v>
      </c>
      <c r="M19" s="5"/>
      <c r="N19" s="5" t="s">
        <v>127</v>
      </c>
      <c r="O19" s="5" t="s">
        <v>122</v>
      </c>
      <c r="P19" s="4" t="str">
        <f t="shared" si="0"/>
        <v>Outstanding</v>
      </c>
      <c r="Q19" s="13" t="s">
        <v>25</v>
      </c>
    </row>
    <row r="20" spans="1:17" ht="60" customHeight="1" x14ac:dyDescent="0.35">
      <c r="A20" s="11" t="s">
        <v>100</v>
      </c>
      <c r="B20" s="2" t="s">
        <v>128</v>
      </c>
      <c r="C20" s="1" t="s">
        <v>129</v>
      </c>
      <c r="D20" s="3" t="s">
        <v>20</v>
      </c>
      <c r="E20" s="3" t="s">
        <v>21</v>
      </c>
      <c r="F20" s="4" t="s">
        <v>22</v>
      </c>
      <c r="G20" s="4" t="s">
        <v>23</v>
      </c>
      <c r="H20" s="4" t="s">
        <v>24</v>
      </c>
      <c r="I20" s="4" t="s">
        <v>25</v>
      </c>
      <c r="J20" s="5" t="s">
        <v>25</v>
      </c>
      <c r="K20" s="5" t="s">
        <v>130</v>
      </c>
      <c r="L20" s="5" t="s">
        <v>131</v>
      </c>
      <c r="M20" s="5"/>
      <c r="N20" s="5" t="s">
        <v>132</v>
      </c>
      <c r="O20" s="5" t="s">
        <v>133</v>
      </c>
      <c r="P20" s="4" t="str">
        <f t="shared" si="0"/>
        <v>Outstanding</v>
      </c>
      <c r="Q20" s="13" t="s">
        <v>25</v>
      </c>
    </row>
    <row r="21" spans="1:17" ht="60" customHeight="1" x14ac:dyDescent="0.35">
      <c r="A21" s="11" t="s">
        <v>100</v>
      </c>
      <c r="B21" s="2" t="s">
        <v>134</v>
      </c>
      <c r="C21" s="1" t="s">
        <v>135</v>
      </c>
      <c r="D21" s="3" t="s">
        <v>20</v>
      </c>
      <c r="E21" s="3" t="s">
        <v>21</v>
      </c>
      <c r="F21" s="4" t="s">
        <v>22</v>
      </c>
      <c r="G21" s="4" t="s">
        <v>23</v>
      </c>
      <c r="H21" s="4" t="s">
        <v>24</v>
      </c>
      <c r="I21" s="4" t="s">
        <v>25</v>
      </c>
      <c r="J21" s="5" t="s">
        <v>25</v>
      </c>
      <c r="K21" s="5" t="s">
        <v>136</v>
      </c>
      <c r="L21" s="5" t="s">
        <v>137</v>
      </c>
      <c r="M21" s="5"/>
      <c r="N21" s="5" t="s">
        <v>138</v>
      </c>
      <c r="O21" s="5" t="s">
        <v>139</v>
      </c>
      <c r="P21" s="4" t="str">
        <f t="shared" si="0"/>
        <v>Outstanding</v>
      </c>
      <c r="Q21" s="13" t="s">
        <v>25</v>
      </c>
    </row>
    <row r="22" spans="1:17" ht="60" customHeight="1" x14ac:dyDescent="0.35">
      <c r="A22" s="11" t="s">
        <v>100</v>
      </c>
      <c r="B22" s="2" t="s">
        <v>140</v>
      </c>
      <c r="C22" s="1" t="s">
        <v>141</v>
      </c>
      <c r="D22" s="3" t="s">
        <v>20</v>
      </c>
      <c r="E22" s="3" t="s">
        <v>21</v>
      </c>
      <c r="F22" s="4" t="s">
        <v>22</v>
      </c>
      <c r="G22" s="4" t="s">
        <v>23</v>
      </c>
      <c r="H22" s="4" t="s">
        <v>24</v>
      </c>
      <c r="I22" s="4" t="s">
        <v>25</v>
      </c>
      <c r="J22" s="5" t="s">
        <v>25</v>
      </c>
      <c r="K22" s="5" t="s">
        <v>142</v>
      </c>
      <c r="L22" s="5" t="s">
        <v>143</v>
      </c>
      <c r="M22" s="5"/>
      <c r="N22" s="5" t="s">
        <v>144</v>
      </c>
      <c r="O22" s="5"/>
      <c r="P22" s="4" t="str">
        <f t="shared" si="0"/>
        <v>Outstanding</v>
      </c>
      <c r="Q22" s="13" t="s">
        <v>25</v>
      </c>
    </row>
    <row r="23" spans="1:17" ht="60" customHeight="1" x14ac:dyDescent="0.35">
      <c r="A23" s="11" t="s">
        <v>100</v>
      </c>
      <c r="B23" s="2" t="s">
        <v>145</v>
      </c>
      <c r="C23" s="1" t="s">
        <v>146</v>
      </c>
      <c r="D23" s="3" t="s">
        <v>20</v>
      </c>
      <c r="E23" s="3" t="s">
        <v>21</v>
      </c>
      <c r="F23" s="4" t="s">
        <v>22</v>
      </c>
      <c r="G23" s="4" t="s">
        <v>23</v>
      </c>
      <c r="H23" s="4" t="s">
        <v>24</v>
      </c>
      <c r="I23" s="4" t="s">
        <v>25</v>
      </c>
      <c r="J23" s="5" t="s">
        <v>25</v>
      </c>
      <c r="K23" s="5" t="s">
        <v>147</v>
      </c>
      <c r="L23" s="5" t="s">
        <v>148</v>
      </c>
      <c r="M23" s="5"/>
      <c r="N23" s="5" t="s">
        <v>149</v>
      </c>
      <c r="O23" s="5" t="s">
        <v>150</v>
      </c>
      <c r="P23" s="4" t="str">
        <f t="shared" si="0"/>
        <v>Outstanding</v>
      </c>
      <c r="Q23" s="13" t="s">
        <v>25</v>
      </c>
    </row>
    <row r="24" spans="1:17" ht="60" customHeight="1" x14ac:dyDescent="0.35">
      <c r="A24" s="11" t="s">
        <v>100</v>
      </c>
      <c r="B24" s="2" t="s">
        <v>151</v>
      </c>
      <c r="C24" s="1" t="s">
        <v>152</v>
      </c>
      <c r="D24" s="3" t="s">
        <v>20</v>
      </c>
      <c r="E24" s="3" t="s">
        <v>21</v>
      </c>
      <c r="F24" s="4" t="s">
        <v>22</v>
      </c>
      <c r="G24" s="4" t="s">
        <v>23</v>
      </c>
      <c r="H24" s="4" t="s">
        <v>24</v>
      </c>
      <c r="I24" s="4" t="s">
        <v>25</v>
      </c>
      <c r="J24" s="5" t="s">
        <v>25</v>
      </c>
      <c r="K24" s="5" t="s">
        <v>153</v>
      </c>
      <c r="L24" s="5" t="s">
        <v>154</v>
      </c>
      <c r="M24" s="5"/>
      <c r="N24" s="5" t="s">
        <v>155</v>
      </c>
      <c r="O24" s="5" t="s">
        <v>156</v>
      </c>
      <c r="P24" s="4" t="str">
        <f t="shared" si="0"/>
        <v>Outstanding</v>
      </c>
      <c r="Q24" s="13" t="s">
        <v>25</v>
      </c>
    </row>
    <row r="25" spans="1:17" ht="60" customHeight="1" x14ac:dyDescent="0.35">
      <c r="A25" s="11" t="s">
        <v>157</v>
      </c>
      <c r="B25" s="2" t="s">
        <v>158</v>
      </c>
      <c r="C25" s="1" t="s">
        <v>159</v>
      </c>
      <c r="D25" s="3" t="s">
        <v>20</v>
      </c>
      <c r="E25" s="3" t="s">
        <v>21</v>
      </c>
      <c r="F25" s="4" t="s">
        <v>22</v>
      </c>
      <c r="G25" s="4" t="s">
        <v>23</v>
      </c>
      <c r="H25" s="4" t="s">
        <v>24</v>
      </c>
      <c r="I25" s="4" t="s">
        <v>25</v>
      </c>
      <c r="J25" s="5" t="s">
        <v>25</v>
      </c>
      <c r="K25" s="5" t="s">
        <v>160</v>
      </c>
      <c r="L25" s="5" t="s">
        <v>161</v>
      </c>
      <c r="M25" s="5"/>
      <c r="N25" s="5" t="s">
        <v>162</v>
      </c>
      <c r="O25" s="5" t="s">
        <v>163</v>
      </c>
      <c r="P25" s="4" t="str">
        <f t="shared" si="0"/>
        <v>Outstanding</v>
      </c>
      <c r="Q25" s="13" t="s">
        <v>25</v>
      </c>
    </row>
    <row r="26" spans="1:17" ht="60" customHeight="1" x14ac:dyDescent="0.35">
      <c r="A26" s="11" t="s">
        <v>157</v>
      </c>
      <c r="B26" s="2" t="s">
        <v>164</v>
      </c>
      <c r="C26" s="1" t="s">
        <v>165</v>
      </c>
      <c r="D26" s="3" t="s">
        <v>20</v>
      </c>
      <c r="E26" s="3" t="s">
        <v>21</v>
      </c>
      <c r="F26" s="4" t="s">
        <v>22</v>
      </c>
      <c r="G26" s="4" t="s">
        <v>23</v>
      </c>
      <c r="H26" s="4" t="s">
        <v>24</v>
      </c>
      <c r="I26" s="4" t="s">
        <v>25</v>
      </c>
      <c r="J26" s="5" t="s">
        <v>25</v>
      </c>
      <c r="K26" s="5" t="s">
        <v>166</v>
      </c>
      <c r="L26" s="5" t="s">
        <v>167</v>
      </c>
      <c r="M26" s="5"/>
      <c r="N26" s="5" t="s">
        <v>168</v>
      </c>
      <c r="O26" s="5" t="s">
        <v>133</v>
      </c>
      <c r="P26" s="4" t="str">
        <f t="shared" si="0"/>
        <v>Outstanding</v>
      </c>
      <c r="Q26" s="13" t="s">
        <v>25</v>
      </c>
    </row>
    <row r="27" spans="1:17" ht="60" customHeight="1" x14ac:dyDescent="0.35">
      <c r="A27" s="11" t="s">
        <v>157</v>
      </c>
      <c r="B27" s="2" t="s">
        <v>169</v>
      </c>
      <c r="C27" s="1" t="s">
        <v>170</v>
      </c>
      <c r="D27" s="3" t="s">
        <v>20</v>
      </c>
      <c r="E27" s="3" t="s">
        <v>21</v>
      </c>
      <c r="F27" s="4" t="s">
        <v>22</v>
      </c>
      <c r="G27" s="4" t="s">
        <v>23</v>
      </c>
      <c r="H27" s="4" t="s">
        <v>24</v>
      </c>
      <c r="I27" s="4" t="s">
        <v>25</v>
      </c>
      <c r="J27" s="5" t="s">
        <v>25</v>
      </c>
      <c r="K27" s="5" t="s">
        <v>171</v>
      </c>
      <c r="L27" s="5" t="s">
        <v>172</v>
      </c>
      <c r="M27" s="5"/>
      <c r="N27" s="5" t="s">
        <v>173</v>
      </c>
      <c r="O27" s="5" t="s">
        <v>133</v>
      </c>
      <c r="P27" s="4" t="str">
        <f t="shared" si="0"/>
        <v>Outstanding</v>
      </c>
      <c r="Q27" s="13" t="s">
        <v>25</v>
      </c>
    </row>
    <row r="28" spans="1:17" ht="60" customHeight="1" x14ac:dyDescent="0.35">
      <c r="A28" s="11" t="s">
        <v>157</v>
      </c>
      <c r="B28" s="2" t="s">
        <v>174</v>
      </c>
      <c r="C28" s="1" t="s">
        <v>175</v>
      </c>
      <c r="D28" s="3" t="s">
        <v>20</v>
      </c>
      <c r="E28" s="3" t="s">
        <v>21</v>
      </c>
      <c r="F28" s="4" t="s">
        <v>22</v>
      </c>
      <c r="G28" s="4" t="s">
        <v>23</v>
      </c>
      <c r="H28" s="4" t="s">
        <v>24</v>
      </c>
      <c r="I28" s="4" t="s">
        <v>25</v>
      </c>
      <c r="J28" s="5" t="s">
        <v>25</v>
      </c>
      <c r="K28" s="5" t="s">
        <v>176</v>
      </c>
      <c r="L28" s="5" t="s">
        <v>177</v>
      </c>
      <c r="M28" s="5"/>
      <c r="N28" s="5" t="s">
        <v>178</v>
      </c>
      <c r="O28" s="5" t="s">
        <v>133</v>
      </c>
      <c r="P28" s="4" t="str">
        <f t="shared" si="0"/>
        <v>Outstanding</v>
      </c>
      <c r="Q28" s="13" t="s">
        <v>25</v>
      </c>
    </row>
    <row r="29" spans="1:17" ht="60" customHeight="1" x14ac:dyDescent="0.35">
      <c r="A29" s="11" t="s">
        <v>179</v>
      </c>
      <c r="B29" s="2" t="s">
        <v>180</v>
      </c>
      <c r="C29" s="1" t="s">
        <v>181</v>
      </c>
      <c r="D29" s="3" t="s">
        <v>20</v>
      </c>
      <c r="E29" s="3" t="s">
        <v>21</v>
      </c>
      <c r="F29" s="4" t="s">
        <v>22</v>
      </c>
      <c r="G29" s="4" t="s">
        <v>23</v>
      </c>
      <c r="H29" s="4" t="s">
        <v>24</v>
      </c>
      <c r="I29" s="4" t="s">
        <v>25</v>
      </c>
      <c r="J29" s="5" t="s">
        <v>25</v>
      </c>
      <c r="K29" s="5" t="s">
        <v>182</v>
      </c>
      <c r="L29" s="5" t="s">
        <v>183</v>
      </c>
      <c r="M29" s="5"/>
      <c r="N29" s="5" t="s">
        <v>184</v>
      </c>
      <c r="O29" s="5" t="s">
        <v>185</v>
      </c>
      <c r="P29" s="4" t="str">
        <f t="shared" si="0"/>
        <v>Outstanding</v>
      </c>
      <c r="Q29" s="13" t="s">
        <v>25</v>
      </c>
    </row>
    <row r="30" spans="1:17" ht="60" customHeight="1" x14ac:dyDescent="0.35">
      <c r="A30" s="11" t="s">
        <v>179</v>
      </c>
      <c r="B30" s="2" t="s">
        <v>186</v>
      </c>
      <c r="C30" s="1" t="s">
        <v>187</v>
      </c>
      <c r="D30" s="3" t="s">
        <v>20</v>
      </c>
      <c r="E30" s="3" t="s">
        <v>21</v>
      </c>
      <c r="F30" s="4" t="s">
        <v>22</v>
      </c>
      <c r="G30" s="4" t="s">
        <v>23</v>
      </c>
      <c r="H30" s="4" t="s">
        <v>24</v>
      </c>
      <c r="I30" s="4" t="s">
        <v>25</v>
      </c>
      <c r="J30" s="5" t="s">
        <v>25</v>
      </c>
      <c r="K30" s="5" t="s">
        <v>188</v>
      </c>
      <c r="L30" s="5" t="s">
        <v>189</v>
      </c>
      <c r="M30" s="5"/>
      <c r="N30" s="5" t="s">
        <v>190</v>
      </c>
      <c r="O30" s="5" t="s">
        <v>191</v>
      </c>
      <c r="P30" s="4" t="str">
        <f t="shared" si="0"/>
        <v>Outstanding</v>
      </c>
      <c r="Q30" s="13" t="s">
        <v>25</v>
      </c>
    </row>
    <row r="31" spans="1:17" ht="60" customHeight="1" x14ac:dyDescent="0.35">
      <c r="A31" s="11" t="s">
        <v>192</v>
      </c>
      <c r="B31" s="2" t="s">
        <v>193</v>
      </c>
      <c r="C31" s="1" t="s">
        <v>194</v>
      </c>
      <c r="D31" s="3" t="s">
        <v>20</v>
      </c>
      <c r="E31" s="3" t="s">
        <v>21</v>
      </c>
      <c r="F31" s="4" t="s">
        <v>22</v>
      </c>
      <c r="G31" s="4" t="s">
        <v>23</v>
      </c>
      <c r="H31" s="4" t="s">
        <v>24</v>
      </c>
      <c r="I31" s="4" t="s">
        <v>25</v>
      </c>
      <c r="J31" s="5" t="s">
        <v>25</v>
      </c>
      <c r="K31" s="5" t="s">
        <v>195</v>
      </c>
      <c r="L31" s="5" t="s">
        <v>196</v>
      </c>
      <c r="M31" s="5"/>
      <c r="N31" s="5" t="s">
        <v>197</v>
      </c>
      <c r="O31" s="5" t="s">
        <v>133</v>
      </c>
      <c r="P31" s="4" t="str">
        <f t="shared" si="0"/>
        <v>Outstanding</v>
      </c>
      <c r="Q31" s="13" t="s">
        <v>25</v>
      </c>
    </row>
    <row r="32" spans="1:17" ht="60" customHeight="1" x14ac:dyDescent="0.35">
      <c r="A32" s="11" t="s">
        <v>192</v>
      </c>
      <c r="B32" s="2" t="s">
        <v>198</v>
      </c>
      <c r="C32" s="1" t="s">
        <v>199</v>
      </c>
      <c r="D32" s="3" t="s">
        <v>20</v>
      </c>
      <c r="E32" s="3" t="s">
        <v>21</v>
      </c>
      <c r="F32" s="4" t="s">
        <v>22</v>
      </c>
      <c r="G32" s="4" t="s">
        <v>23</v>
      </c>
      <c r="H32" s="4" t="s">
        <v>24</v>
      </c>
      <c r="I32" s="4" t="s">
        <v>25</v>
      </c>
      <c r="J32" s="5" t="s">
        <v>25</v>
      </c>
      <c r="K32" s="5" t="s">
        <v>200</v>
      </c>
      <c r="L32" s="5" t="s">
        <v>201</v>
      </c>
      <c r="M32" s="5"/>
      <c r="N32" s="5" t="s">
        <v>202</v>
      </c>
      <c r="O32" s="5" t="s">
        <v>133</v>
      </c>
      <c r="P32" s="4" t="str">
        <f t="shared" si="0"/>
        <v>Outstanding</v>
      </c>
      <c r="Q32" s="13" t="s">
        <v>25</v>
      </c>
    </row>
    <row r="33" spans="1:17" ht="60" customHeight="1" x14ac:dyDescent="0.35">
      <c r="A33" s="11" t="s">
        <v>192</v>
      </c>
      <c r="B33" s="2" t="s">
        <v>203</v>
      </c>
      <c r="C33" s="1" t="s">
        <v>204</v>
      </c>
      <c r="D33" s="3" t="s">
        <v>205</v>
      </c>
      <c r="E33" s="3" t="s">
        <v>21</v>
      </c>
      <c r="F33" s="4" t="s">
        <v>22</v>
      </c>
      <c r="G33" s="4" t="s">
        <v>23</v>
      </c>
      <c r="H33" s="4" t="s">
        <v>24</v>
      </c>
      <c r="I33" s="4" t="s">
        <v>25</v>
      </c>
      <c r="J33" s="5" t="s">
        <v>25</v>
      </c>
      <c r="K33" s="5" t="s">
        <v>206</v>
      </c>
      <c r="L33" s="5" t="s">
        <v>207</v>
      </c>
      <c r="M33" s="5"/>
      <c r="N33" s="5" t="s">
        <v>208</v>
      </c>
      <c r="O33" s="5"/>
      <c r="P33" s="4" t="str">
        <f t="shared" si="0"/>
        <v>Outstanding</v>
      </c>
      <c r="Q33" s="13" t="s">
        <v>25</v>
      </c>
    </row>
    <row r="34" spans="1:17" ht="60" customHeight="1" x14ac:dyDescent="0.35">
      <c r="A34" s="11" t="s">
        <v>209</v>
      </c>
      <c r="B34" s="2" t="s">
        <v>210</v>
      </c>
      <c r="C34" s="1" t="s">
        <v>211</v>
      </c>
      <c r="D34" s="3" t="s">
        <v>20</v>
      </c>
      <c r="E34" s="3" t="s">
        <v>21</v>
      </c>
      <c r="F34" s="4" t="s">
        <v>22</v>
      </c>
      <c r="G34" s="4" t="s">
        <v>23</v>
      </c>
      <c r="H34" s="4" t="s">
        <v>24</v>
      </c>
      <c r="I34" s="4" t="s">
        <v>25</v>
      </c>
      <c r="J34" s="5" t="s">
        <v>25</v>
      </c>
      <c r="K34" s="5" t="s">
        <v>212</v>
      </c>
      <c r="L34" s="5" t="s">
        <v>213</v>
      </c>
      <c r="M34" s="5"/>
      <c r="N34" s="5" t="s">
        <v>214</v>
      </c>
      <c r="O34" s="5" t="s">
        <v>93</v>
      </c>
      <c r="P34" s="4" t="str">
        <f t="shared" si="0"/>
        <v>Outstanding</v>
      </c>
      <c r="Q34" s="13" t="s">
        <v>25</v>
      </c>
    </row>
    <row r="35" spans="1:17" ht="60" customHeight="1" x14ac:dyDescent="0.35">
      <c r="A35" s="11" t="s">
        <v>209</v>
      </c>
      <c r="B35" s="2" t="s">
        <v>215</v>
      </c>
      <c r="C35" s="1" t="s">
        <v>216</v>
      </c>
      <c r="D35" s="3" t="s">
        <v>20</v>
      </c>
      <c r="E35" s="3" t="s">
        <v>21</v>
      </c>
      <c r="F35" s="4" t="s">
        <v>22</v>
      </c>
      <c r="G35" s="4" t="s">
        <v>23</v>
      </c>
      <c r="H35" s="4" t="s">
        <v>24</v>
      </c>
      <c r="I35" s="4" t="s">
        <v>25</v>
      </c>
      <c r="J35" s="5" t="s">
        <v>25</v>
      </c>
      <c r="K35" s="5" t="s">
        <v>217</v>
      </c>
      <c r="L35" s="5" t="s">
        <v>218</v>
      </c>
      <c r="M35" s="5"/>
      <c r="N35" s="5" t="s">
        <v>219</v>
      </c>
      <c r="O35" s="5" t="s">
        <v>93</v>
      </c>
      <c r="P35" s="4" t="str">
        <f t="shared" si="0"/>
        <v>Outstanding</v>
      </c>
      <c r="Q35" s="13" t="s">
        <v>25</v>
      </c>
    </row>
    <row r="36" spans="1:17" ht="60" customHeight="1" x14ac:dyDescent="0.35">
      <c r="A36" s="11" t="s">
        <v>209</v>
      </c>
      <c r="B36" s="2" t="s">
        <v>220</v>
      </c>
      <c r="C36" s="1" t="s">
        <v>221</v>
      </c>
      <c r="D36" s="3" t="s">
        <v>20</v>
      </c>
      <c r="E36" s="3" t="s">
        <v>21</v>
      </c>
      <c r="F36" s="4" t="s">
        <v>22</v>
      </c>
      <c r="G36" s="4" t="s">
        <v>23</v>
      </c>
      <c r="H36" s="4" t="s">
        <v>24</v>
      </c>
      <c r="I36" s="4" t="s">
        <v>25</v>
      </c>
      <c r="J36" s="5" t="s">
        <v>25</v>
      </c>
      <c r="K36" s="5" t="s">
        <v>222</v>
      </c>
      <c r="L36" s="5" t="s">
        <v>223</v>
      </c>
      <c r="M36" s="5"/>
      <c r="N36" s="5" t="s">
        <v>224</v>
      </c>
      <c r="O36" s="5" t="s">
        <v>225</v>
      </c>
      <c r="P36" s="4" t="str">
        <f t="shared" si="0"/>
        <v>Outstanding</v>
      </c>
      <c r="Q36" s="13" t="s">
        <v>25</v>
      </c>
    </row>
    <row r="37" spans="1:17" ht="60" customHeight="1" x14ac:dyDescent="0.35">
      <c r="A37" s="11" t="s">
        <v>209</v>
      </c>
      <c r="B37" s="2" t="s">
        <v>226</v>
      </c>
      <c r="C37" s="1" t="s">
        <v>227</v>
      </c>
      <c r="D37" s="3" t="s">
        <v>20</v>
      </c>
      <c r="E37" s="3" t="s">
        <v>21</v>
      </c>
      <c r="F37" s="4" t="s">
        <v>22</v>
      </c>
      <c r="G37" s="4" t="s">
        <v>23</v>
      </c>
      <c r="H37" s="4" t="s">
        <v>24</v>
      </c>
      <c r="I37" s="4" t="s">
        <v>25</v>
      </c>
      <c r="J37" s="5" t="s">
        <v>25</v>
      </c>
      <c r="K37" s="5" t="s">
        <v>228</v>
      </c>
      <c r="L37" s="5" t="s">
        <v>229</v>
      </c>
      <c r="M37" s="5"/>
      <c r="N37" s="5" t="s">
        <v>230</v>
      </c>
      <c r="O37" s="5" t="s">
        <v>133</v>
      </c>
      <c r="P37" s="4" t="str">
        <f t="shared" si="0"/>
        <v>Outstanding</v>
      </c>
      <c r="Q37" s="13" t="s">
        <v>25</v>
      </c>
    </row>
    <row r="38" spans="1:17" ht="60" customHeight="1" x14ac:dyDescent="0.35">
      <c r="A38" s="11" t="s">
        <v>209</v>
      </c>
      <c r="B38" s="2" t="s">
        <v>231</v>
      </c>
      <c r="C38" s="1" t="s">
        <v>232</v>
      </c>
      <c r="D38" s="3" t="s">
        <v>20</v>
      </c>
      <c r="E38" s="3" t="s">
        <v>233</v>
      </c>
      <c r="F38" s="4" t="s">
        <v>22</v>
      </c>
      <c r="G38" s="4" t="s">
        <v>23</v>
      </c>
      <c r="H38" s="4" t="s">
        <v>24</v>
      </c>
      <c r="I38" s="4" t="s">
        <v>25</v>
      </c>
      <c r="J38" s="5" t="s">
        <v>25</v>
      </c>
      <c r="K38" s="5" t="s">
        <v>234</v>
      </c>
      <c r="L38" s="5" t="s">
        <v>235</v>
      </c>
      <c r="M38" s="5"/>
      <c r="N38" s="5" t="s">
        <v>236</v>
      </c>
      <c r="O38" s="5" t="s">
        <v>237</v>
      </c>
      <c r="P38" s="4" t="str">
        <f t="shared" si="0"/>
        <v>Outstanding</v>
      </c>
      <c r="Q38" s="13" t="s">
        <v>25</v>
      </c>
    </row>
    <row r="39" spans="1:17" ht="60" customHeight="1" x14ac:dyDescent="0.35">
      <c r="A39" s="11" t="s">
        <v>238</v>
      </c>
      <c r="B39" s="2" t="s">
        <v>239</v>
      </c>
      <c r="C39" s="1" t="s">
        <v>240</v>
      </c>
      <c r="D39" s="3" t="s">
        <v>20</v>
      </c>
      <c r="E39" s="3" t="s">
        <v>21</v>
      </c>
      <c r="F39" s="4" t="s">
        <v>22</v>
      </c>
      <c r="G39" s="4" t="s">
        <v>23</v>
      </c>
      <c r="H39" s="4" t="s">
        <v>24</v>
      </c>
      <c r="I39" s="4" t="s">
        <v>25</v>
      </c>
      <c r="J39" s="5" t="s">
        <v>25</v>
      </c>
      <c r="K39" s="5" t="s">
        <v>241</v>
      </c>
      <c r="L39" s="5" t="s">
        <v>242</v>
      </c>
      <c r="M39" s="5"/>
      <c r="N39" s="5" t="s">
        <v>243</v>
      </c>
      <c r="O39" s="5"/>
      <c r="P39" s="4" t="str">
        <f t="shared" si="0"/>
        <v>Outstanding</v>
      </c>
      <c r="Q39" s="13" t="s">
        <v>25</v>
      </c>
    </row>
    <row r="40" spans="1:17" ht="60" customHeight="1" x14ac:dyDescent="0.35">
      <c r="A40" s="11" t="s">
        <v>238</v>
      </c>
      <c r="B40" s="2" t="s">
        <v>244</v>
      </c>
      <c r="C40" s="1" t="s">
        <v>245</v>
      </c>
      <c r="D40" s="3" t="s">
        <v>20</v>
      </c>
      <c r="E40" s="3" t="s">
        <v>21</v>
      </c>
      <c r="F40" s="4" t="s">
        <v>22</v>
      </c>
      <c r="G40" s="4" t="s">
        <v>23</v>
      </c>
      <c r="H40" s="4" t="s">
        <v>24</v>
      </c>
      <c r="I40" s="4" t="s">
        <v>25</v>
      </c>
      <c r="J40" s="5" t="s">
        <v>25</v>
      </c>
      <c r="K40" s="5" t="s">
        <v>246</v>
      </c>
      <c r="L40" s="5" t="s">
        <v>247</v>
      </c>
      <c r="M40" s="5"/>
      <c r="N40" s="5" t="s">
        <v>248</v>
      </c>
      <c r="O40" s="5"/>
      <c r="P40" s="4" t="str">
        <f t="shared" si="0"/>
        <v>Outstanding</v>
      </c>
      <c r="Q40" s="13" t="s">
        <v>25</v>
      </c>
    </row>
    <row r="41" spans="1:17" ht="60" customHeight="1" x14ac:dyDescent="0.35">
      <c r="A41" s="11" t="s">
        <v>238</v>
      </c>
      <c r="B41" s="2" t="s">
        <v>249</v>
      </c>
      <c r="C41" s="1" t="s">
        <v>250</v>
      </c>
      <c r="D41" s="3" t="s">
        <v>20</v>
      </c>
      <c r="E41" s="3" t="s">
        <v>21</v>
      </c>
      <c r="F41" s="4" t="s">
        <v>22</v>
      </c>
      <c r="G41" s="4" t="s">
        <v>23</v>
      </c>
      <c r="H41" s="4" t="s">
        <v>24</v>
      </c>
      <c r="I41" s="4" t="s">
        <v>25</v>
      </c>
      <c r="J41" s="5" t="s">
        <v>25</v>
      </c>
      <c r="K41" s="5" t="s">
        <v>251</v>
      </c>
      <c r="L41" s="5" t="s">
        <v>252</v>
      </c>
      <c r="M41" s="5"/>
      <c r="N41" s="5" t="s">
        <v>253</v>
      </c>
      <c r="O41" s="5"/>
      <c r="P41" s="4" t="str">
        <f t="shared" si="0"/>
        <v>Outstanding</v>
      </c>
      <c r="Q41" s="13" t="s">
        <v>25</v>
      </c>
    </row>
    <row r="42" spans="1:17" ht="60" customHeight="1" x14ac:dyDescent="0.35">
      <c r="A42" s="11" t="s">
        <v>254</v>
      </c>
      <c r="B42" s="2" t="s">
        <v>255</v>
      </c>
      <c r="C42" s="1" t="s">
        <v>256</v>
      </c>
      <c r="D42" s="3" t="s">
        <v>20</v>
      </c>
      <c r="E42" s="3" t="s">
        <v>233</v>
      </c>
      <c r="F42" s="4" t="s">
        <v>22</v>
      </c>
      <c r="G42" s="4" t="s">
        <v>23</v>
      </c>
      <c r="H42" s="4" t="s">
        <v>24</v>
      </c>
      <c r="I42" s="4" t="s">
        <v>25</v>
      </c>
      <c r="J42" s="5" t="s">
        <v>25</v>
      </c>
      <c r="K42" s="5" t="s">
        <v>257</v>
      </c>
      <c r="L42" s="5" t="s">
        <v>258</v>
      </c>
      <c r="M42" s="5"/>
      <c r="N42" s="5" t="s">
        <v>259</v>
      </c>
      <c r="O42" s="5"/>
      <c r="P42" s="4" t="str">
        <f t="shared" si="0"/>
        <v>Outstanding</v>
      </c>
      <c r="Q42" s="13" t="s">
        <v>25</v>
      </c>
    </row>
    <row r="43" spans="1:17" ht="60" customHeight="1" x14ac:dyDescent="0.35">
      <c r="A43" s="11" t="s">
        <v>254</v>
      </c>
      <c r="B43" s="2" t="s">
        <v>260</v>
      </c>
      <c r="C43" s="1" t="s">
        <v>261</v>
      </c>
      <c r="D43" s="3" t="s">
        <v>20</v>
      </c>
      <c r="E43" s="3" t="s">
        <v>233</v>
      </c>
      <c r="F43" s="4" t="s">
        <v>22</v>
      </c>
      <c r="G43" s="4" t="s">
        <v>23</v>
      </c>
      <c r="H43" s="4" t="s">
        <v>24</v>
      </c>
      <c r="I43" s="4" t="s">
        <v>25</v>
      </c>
      <c r="J43" s="5" t="s">
        <v>25</v>
      </c>
      <c r="K43" s="5" t="s">
        <v>262</v>
      </c>
      <c r="L43" s="5" t="s">
        <v>263</v>
      </c>
      <c r="M43" s="5"/>
      <c r="N43" s="5" t="s">
        <v>264</v>
      </c>
      <c r="O43" s="5"/>
      <c r="P43" s="4" t="str">
        <f t="shared" si="0"/>
        <v>Outstanding</v>
      </c>
      <c r="Q43" s="13" t="s">
        <v>25</v>
      </c>
    </row>
    <row r="44" spans="1:17" ht="60" customHeight="1" x14ac:dyDescent="0.35">
      <c r="A44" s="11" t="s">
        <v>254</v>
      </c>
      <c r="B44" s="2" t="s">
        <v>265</v>
      </c>
      <c r="C44" s="1" t="s">
        <v>266</v>
      </c>
      <c r="D44" s="3" t="s">
        <v>205</v>
      </c>
      <c r="E44" s="3" t="s">
        <v>21</v>
      </c>
      <c r="F44" s="4" t="s">
        <v>22</v>
      </c>
      <c r="G44" s="4" t="s">
        <v>23</v>
      </c>
      <c r="H44" s="4" t="s">
        <v>24</v>
      </c>
      <c r="I44" s="4" t="s">
        <v>25</v>
      </c>
      <c r="J44" s="5" t="s">
        <v>25</v>
      </c>
      <c r="K44" s="5" t="s">
        <v>267</v>
      </c>
      <c r="L44" s="5" t="s">
        <v>268</v>
      </c>
      <c r="M44" s="5"/>
      <c r="N44" s="5" t="s">
        <v>269</v>
      </c>
      <c r="O44" s="5"/>
      <c r="P44" s="4" t="str">
        <f t="shared" si="0"/>
        <v>Outstanding</v>
      </c>
      <c r="Q44" s="13" t="s">
        <v>25</v>
      </c>
    </row>
    <row r="45" spans="1:17" ht="60" customHeight="1" x14ac:dyDescent="0.35">
      <c r="A45" s="11" t="s">
        <v>254</v>
      </c>
      <c r="B45" s="2" t="s">
        <v>270</v>
      </c>
      <c r="C45" s="1" t="s">
        <v>271</v>
      </c>
      <c r="D45" s="3" t="s">
        <v>20</v>
      </c>
      <c r="E45" s="3" t="s">
        <v>233</v>
      </c>
      <c r="F45" s="4" t="s">
        <v>22</v>
      </c>
      <c r="G45" s="4" t="s">
        <v>23</v>
      </c>
      <c r="H45" s="4" t="s">
        <v>24</v>
      </c>
      <c r="I45" s="4" t="s">
        <v>25</v>
      </c>
      <c r="J45" s="5" t="s">
        <v>25</v>
      </c>
      <c r="K45" s="5" t="s">
        <v>272</v>
      </c>
      <c r="L45" s="5" t="s">
        <v>273</v>
      </c>
      <c r="M45" s="5"/>
      <c r="N45" s="5" t="s">
        <v>274</v>
      </c>
      <c r="O45" s="5"/>
      <c r="P45" s="4" t="str">
        <f t="shared" si="0"/>
        <v>Outstanding</v>
      </c>
      <c r="Q45" s="13" t="s">
        <v>25</v>
      </c>
    </row>
    <row r="46" spans="1:17" ht="60" customHeight="1" x14ac:dyDescent="0.35">
      <c r="A46" s="11" t="s">
        <v>254</v>
      </c>
      <c r="B46" s="2" t="s">
        <v>275</v>
      </c>
      <c r="C46" s="1" t="s">
        <v>276</v>
      </c>
      <c r="D46" s="3" t="s">
        <v>20</v>
      </c>
      <c r="E46" s="3" t="s">
        <v>233</v>
      </c>
      <c r="F46" s="4" t="s">
        <v>22</v>
      </c>
      <c r="G46" s="4" t="s">
        <v>23</v>
      </c>
      <c r="H46" s="4" t="s">
        <v>24</v>
      </c>
      <c r="I46" s="4" t="s">
        <v>25</v>
      </c>
      <c r="J46" s="5" t="s">
        <v>25</v>
      </c>
      <c r="K46" s="5" t="s">
        <v>277</v>
      </c>
      <c r="L46" s="5" t="s">
        <v>278</v>
      </c>
      <c r="M46" s="5"/>
      <c r="N46" s="5" t="s">
        <v>279</v>
      </c>
      <c r="O46" s="5"/>
      <c r="P46" s="4" t="str">
        <f t="shared" si="0"/>
        <v>Outstanding</v>
      </c>
      <c r="Q46" s="13" t="s">
        <v>25</v>
      </c>
    </row>
    <row r="47" spans="1:17" ht="60" customHeight="1" x14ac:dyDescent="0.35">
      <c r="A47" s="11" t="s">
        <v>254</v>
      </c>
      <c r="B47" s="2" t="s">
        <v>280</v>
      </c>
      <c r="C47" s="1" t="s">
        <v>281</v>
      </c>
      <c r="D47" s="3" t="s">
        <v>20</v>
      </c>
      <c r="E47" s="3" t="s">
        <v>233</v>
      </c>
      <c r="F47" s="4" t="s">
        <v>22</v>
      </c>
      <c r="G47" s="4" t="s">
        <v>23</v>
      </c>
      <c r="H47" s="4" t="s">
        <v>24</v>
      </c>
      <c r="I47" s="4" t="s">
        <v>25</v>
      </c>
      <c r="J47" s="5" t="s">
        <v>25</v>
      </c>
      <c r="K47" s="5" t="s">
        <v>282</v>
      </c>
      <c r="L47" s="5" t="s">
        <v>283</v>
      </c>
      <c r="M47" s="5"/>
      <c r="N47" s="5" t="s">
        <v>284</v>
      </c>
      <c r="O47" s="5"/>
      <c r="P47" s="4" t="str">
        <f t="shared" si="0"/>
        <v>Outstanding</v>
      </c>
      <c r="Q47" s="13" t="s">
        <v>25</v>
      </c>
    </row>
    <row r="48" spans="1:17" ht="60" customHeight="1" x14ac:dyDescent="0.35">
      <c r="A48" s="11" t="s">
        <v>254</v>
      </c>
      <c r="B48" s="2" t="s">
        <v>285</v>
      </c>
      <c r="C48" s="1" t="s">
        <v>286</v>
      </c>
      <c r="D48" s="3" t="s">
        <v>20</v>
      </c>
      <c r="E48" s="3" t="s">
        <v>233</v>
      </c>
      <c r="F48" s="4" t="s">
        <v>22</v>
      </c>
      <c r="G48" s="4" t="s">
        <v>23</v>
      </c>
      <c r="H48" s="4" t="s">
        <v>24</v>
      </c>
      <c r="I48" s="4" t="s">
        <v>25</v>
      </c>
      <c r="J48" s="5" t="s">
        <v>25</v>
      </c>
      <c r="K48" s="5" t="s">
        <v>287</v>
      </c>
      <c r="L48" s="5" t="s">
        <v>288</v>
      </c>
      <c r="M48" s="5"/>
      <c r="N48" s="5" t="s">
        <v>289</v>
      </c>
      <c r="O48" s="5"/>
      <c r="P48" s="4" t="str">
        <f t="shared" si="0"/>
        <v>Outstanding</v>
      </c>
      <c r="Q48" s="13" t="s">
        <v>25</v>
      </c>
    </row>
    <row r="49" spans="1:17" ht="60" customHeight="1" x14ac:dyDescent="0.35">
      <c r="A49" s="11" t="s">
        <v>254</v>
      </c>
      <c r="B49" s="2" t="s">
        <v>290</v>
      </c>
      <c r="C49" s="1" t="s">
        <v>291</v>
      </c>
      <c r="D49" s="3" t="s">
        <v>205</v>
      </c>
      <c r="E49" s="3" t="s">
        <v>233</v>
      </c>
      <c r="F49" s="4" t="s">
        <v>22</v>
      </c>
      <c r="G49" s="4" t="s">
        <v>23</v>
      </c>
      <c r="H49" s="4" t="s">
        <v>24</v>
      </c>
      <c r="I49" s="4" t="s">
        <v>25</v>
      </c>
      <c r="J49" s="5" t="s">
        <v>25</v>
      </c>
      <c r="K49" s="5" t="s">
        <v>292</v>
      </c>
      <c r="L49" s="5" t="s">
        <v>293</v>
      </c>
      <c r="M49" s="5"/>
      <c r="N49" s="5" t="s">
        <v>294</v>
      </c>
      <c r="O49" s="5"/>
      <c r="P49" s="4" t="str">
        <f t="shared" si="0"/>
        <v>Outstanding</v>
      </c>
      <c r="Q49" s="13" t="s">
        <v>25</v>
      </c>
    </row>
    <row r="50" spans="1:17" ht="60" customHeight="1" x14ac:dyDescent="0.35">
      <c r="A50" s="11" t="s">
        <v>254</v>
      </c>
      <c r="B50" s="2" t="s">
        <v>295</v>
      </c>
      <c r="C50" s="1" t="s">
        <v>296</v>
      </c>
      <c r="D50" s="3" t="s">
        <v>20</v>
      </c>
      <c r="E50" s="3" t="s">
        <v>233</v>
      </c>
      <c r="F50" s="4" t="s">
        <v>22</v>
      </c>
      <c r="G50" s="4" t="s">
        <v>23</v>
      </c>
      <c r="H50" s="4" t="s">
        <v>24</v>
      </c>
      <c r="I50" s="4" t="s">
        <v>25</v>
      </c>
      <c r="J50" s="5" t="s">
        <v>25</v>
      </c>
      <c r="K50" s="5" t="s">
        <v>297</v>
      </c>
      <c r="L50" s="5" t="s">
        <v>298</v>
      </c>
      <c r="M50" s="5"/>
      <c r="N50" s="5" t="s">
        <v>299</v>
      </c>
      <c r="O50" s="5" t="s">
        <v>300</v>
      </c>
      <c r="P50" s="4" t="str">
        <f t="shared" si="0"/>
        <v>Outstanding</v>
      </c>
      <c r="Q50" s="13" t="s">
        <v>25</v>
      </c>
    </row>
    <row r="51" spans="1:17" ht="60" customHeight="1" x14ac:dyDescent="0.35">
      <c r="A51" s="11" t="s">
        <v>254</v>
      </c>
      <c r="B51" s="2" t="s">
        <v>301</v>
      </c>
      <c r="C51" s="1" t="s">
        <v>302</v>
      </c>
      <c r="D51" s="3" t="s">
        <v>20</v>
      </c>
      <c r="E51" s="3" t="s">
        <v>233</v>
      </c>
      <c r="F51" s="4" t="s">
        <v>22</v>
      </c>
      <c r="G51" s="4" t="s">
        <v>23</v>
      </c>
      <c r="H51" s="4" t="s">
        <v>24</v>
      </c>
      <c r="I51" s="4" t="s">
        <v>25</v>
      </c>
      <c r="J51" s="5" t="s">
        <v>25</v>
      </c>
      <c r="K51" s="5" t="s">
        <v>303</v>
      </c>
      <c r="L51" s="5" t="s">
        <v>304</v>
      </c>
      <c r="M51" s="5"/>
      <c r="N51" s="5" t="s">
        <v>305</v>
      </c>
      <c r="O51" s="5" t="s">
        <v>306</v>
      </c>
      <c r="P51" s="4" t="str">
        <f t="shared" si="0"/>
        <v>Outstanding</v>
      </c>
      <c r="Q51" s="13" t="s">
        <v>25</v>
      </c>
    </row>
    <row r="52" spans="1:17" ht="60" customHeight="1" x14ac:dyDescent="0.35">
      <c r="A52" s="11" t="s">
        <v>254</v>
      </c>
      <c r="B52" s="2" t="s">
        <v>307</v>
      </c>
      <c r="C52" s="1" t="s">
        <v>308</v>
      </c>
      <c r="D52" s="3" t="s">
        <v>20</v>
      </c>
      <c r="E52" s="3" t="s">
        <v>233</v>
      </c>
      <c r="F52" s="4" t="s">
        <v>22</v>
      </c>
      <c r="G52" s="4" t="s">
        <v>23</v>
      </c>
      <c r="H52" s="4" t="s">
        <v>24</v>
      </c>
      <c r="I52" s="4" t="s">
        <v>25</v>
      </c>
      <c r="J52" s="5" t="s">
        <v>25</v>
      </c>
      <c r="K52" s="5" t="s">
        <v>309</v>
      </c>
      <c r="L52" s="5" t="s">
        <v>310</v>
      </c>
      <c r="M52" s="5"/>
      <c r="N52" s="5" t="s">
        <v>311</v>
      </c>
      <c r="O52" s="5" t="s">
        <v>306</v>
      </c>
      <c r="P52" s="4" t="str">
        <f t="shared" si="0"/>
        <v>Outstanding</v>
      </c>
      <c r="Q52" s="13" t="s">
        <v>25</v>
      </c>
    </row>
    <row r="53" spans="1:17" ht="60" customHeight="1" x14ac:dyDescent="0.35">
      <c r="A53" s="11" t="s">
        <v>254</v>
      </c>
      <c r="B53" s="2" t="s">
        <v>312</v>
      </c>
      <c r="C53" s="1" t="s">
        <v>313</v>
      </c>
      <c r="D53" s="3" t="s">
        <v>20</v>
      </c>
      <c r="E53" s="3" t="s">
        <v>233</v>
      </c>
      <c r="F53" s="4" t="s">
        <v>22</v>
      </c>
      <c r="G53" s="4" t="s">
        <v>23</v>
      </c>
      <c r="H53" s="4" t="s">
        <v>24</v>
      </c>
      <c r="I53" s="4" t="s">
        <v>25</v>
      </c>
      <c r="J53" s="5" t="s">
        <v>25</v>
      </c>
      <c r="K53" s="5" t="s">
        <v>314</v>
      </c>
      <c r="L53" s="5" t="s">
        <v>315</v>
      </c>
      <c r="M53" s="5"/>
      <c r="N53" s="5" t="s">
        <v>316</v>
      </c>
      <c r="O53" s="5"/>
      <c r="P53" s="4" t="str">
        <f t="shared" si="0"/>
        <v>Outstanding</v>
      </c>
      <c r="Q53" s="13" t="s">
        <v>25</v>
      </c>
    </row>
    <row r="54" spans="1:17" ht="60" customHeight="1" x14ac:dyDescent="0.35">
      <c r="A54" s="11" t="s">
        <v>254</v>
      </c>
      <c r="B54" s="2" t="s">
        <v>317</v>
      </c>
      <c r="C54" s="1" t="s">
        <v>318</v>
      </c>
      <c r="D54" s="3" t="s">
        <v>20</v>
      </c>
      <c r="E54" s="3" t="s">
        <v>21</v>
      </c>
      <c r="F54" s="4" t="s">
        <v>22</v>
      </c>
      <c r="G54" s="4" t="s">
        <v>23</v>
      </c>
      <c r="H54" s="4" t="s">
        <v>24</v>
      </c>
      <c r="I54" s="4" t="s">
        <v>25</v>
      </c>
      <c r="J54" s="5" t="s">
        <v>25</v>
      </c>
      <c r="K54" s="5" t="s">
        <v>319</v>
      </c>
      <c r="L54" s="5" t="s">
        <v>320</v>
      </c>
      <c r="M54" s="5"/>
      <c r="N54" s="5" t="s">
        <v>321</v>
      </c>
      <c r="O54" s="5"/>
      <c r="P54" s="4" t="str">
        <f t="shared" si="0"/>
        <v>Outstanding</v>
      </c>
      <c r="Q54" s="13" t="s">
        <v>25</v>
      </c>
    </row>
    <row r="55" spans="1:17" ht="60" customHeight="1" x14ac:dyDescent="0.35">
      <c r="A55" s="11" t="s">
        <v>254</v>
      </c>
      <c r="B55" s="2" t="s">
        <v>322</v>
      </c>
      <c r="C55" s="1" t="s">
        <v>323</v>
      </c>
      <c r="D55" s="3" t="s">
        <v>20</v>
      </c>
      <c r="E55" s="3" t="s">
        <v>233</v>
      </c>
      <c r="F55" s="4" t="s">
        <v>22</v>
      </c>
      <c r="G55" s="4" t="s">
        <v>23</v>
      </c>
      <c r="H55" s="4" t="s">
        <v>24</v>
      </c>
      <c r="I55" s="4" t="s">
        <v>25</v>
      </c>
      <c r="J55" s="5" t="s">
        <v>25</v>
      </c>
      <c r="K55" s="5" t="s">
        <v>324</v>
      </c>
      <c r="L55" s="5" t="s">
        <v>325</v>
      </c>
      <c r="M55" s="5"/>
      <c r="N55" s="5" t="s">
        <v>326</v>
      </c>
      <c r="O55" s="5" t="s">
        <v>300</v>
      </c>
      <c r="P55" s="4" t="str">
        <f t="shared" si="0"/>
        <v>Outstanding</v>
      </c>
      <c r="Q55" s="13" t="s">
        <v>25</v>
      </c>
    </row>
    <row r="56" spans="1:17" ht="60" customHeight="1" x14ac:dyDescent="0.35">
      <c r="A56" s="11" t="s">
        <v>254</v>
      </c>
      <c r="B56" s="2" t="s">
        <v>327</v>
      </c>
      <c r="C56" s="1" t="s">
        <v>328</v>
      </c>
      <c r="D56" s="3" t="s">
        <v>20</v>
      </c>
      <c r="E56" s="3" t="s">
        <v>233</v>
      </c>
      <c r="F56" s="4" t="s">
        <v>22</v>
      </c>
      <c r="G56" s="4" t="s">
        <v>23</v>
      </c>
      <c r="H56" s="4" t="s">
        <v>24</v>
      </c>
      <c r="I56" s="4" t="s">
        <v>25</v>
      </c>
      <c r="J56" s="5" t="s">
        <v>25</v>
      </c>
      <c r="K56" s="5" t="s">
        <v>329</v>
      </c>
      <c r="L56" s="5" t="s">
        <v>330</v>
      </c>
      <c r="M56" s="5"/>
      <c r="N56" s="5" t="s">
        <v>331</v>
      </c>
      <c r="O56" s="5"/>
      <c r="P56" s="4" t="str">
        <f t="shared" si="0"/>
        <v>Outstanding</v>
      </c>
      <c r="Q56" s="13" t="s">
        <v>25</v>
      </c>
    </row>
    <row r="57" spans="1:17" ht="60" customHeight="1" x14ac:dyDescent="0.35">
      <c r="A57" s="11" t="s">
        <v>254</v>
      </c>
      <c r="B57" s="2" t="s">
        <v>332</v>
      </c>
      <c r="C57" s="1" t="s">
        <v>333</v>
      </c>
      <c r="D57" s="3" t="s">
        <v>20</v>
      </c>
      <c r="E57" s="3" t="s">
        <v>233</v>
      </c>
      <c r="F57" s="4" t="s">
        <v>22</v>
      </c>
      <c r="G57" s="4" t="s">
        <v>23</v>
      </c>
      <c r="H57" s="4" t="s">
        <v>24</v>
      </c>
      <c r="I57" s="4" t="s">
        <v>25</v>
      </c>
      <c r="J57" s="5" t="s">
        <v>25</v>
      </c>
      <c r="K57" s="5" t="s">
        <v>334</v>
      </c>
      <c r="L57" s="5" t="s">
        <v>335</v>
      </c>
      <c r="M57" s="5"/>
      <c r="N57" s="5" t="s">
        <v>336</v>
      </c>
      <c r="O57" s="5"/>
      <c r="P57" s="4" t="str">
        <f t="shared" si="0"/>
        <v>Outstanding</v>
      </c>
      <c r="Q57" s="13" t="s">
        <v>25</v>
      </c>
    </row>
    <row r="58" spans="1:17" ht="60" customHeight="1" x14ac:dyDescent="0.35">
      <c r="A58" s="11" t="s">
        <v>254</v>
      </c>
      <c r="B58" s="2" t="s">
        <v>337</v>
      </c>
      <c r="C58" s="1" t="s">
        <v>338</v>
      </c>
      <c r="D58" s="3" t="s">
        <v>20</v>
      </c>
      <c r="E58" s="3" t="s">
        <v>233</v>
      </c>
      <c r="F58" s="4" t="s">
        <v>22</v>
      </c>
      <c r="G58" s="4" t="s">
        <v>23</v>
      </c>
      <c r="H58" s="4" t="s">
        <v>24</v>
      </c>
      <c r="I58" s="4" t="s">
        <v>25</v>
      </c>
      <c r="J58" s="5" t="s">
        <v>25</v>
      </c>
      <c r="K58" s="5" t="s">
        <v>339</v>
      </c>
      <c r="L58" s="5" t="s">
        <v>340</v>
      </c>
      <c r="M58" s="5"/>
      <c r="N58" s="5" t="s">
        <v>341</v>
      </c>
      <c r="O58" s="5"/>
      <c r="P58" s="4" t="str">
        <f t="shared" si="0"/>
        <v>Outstanding</v>
      </c>
      <c r="Q58" s="13" t="s">
        <v>25</v>
      </c>
    </row>
    <row r="59" spans="1:17" ht="60" customHeight="1" x14ac:dyDescent="0.35">
      <c r="A59" s="11" t="s">
        <v>254</v>
      </c>
      <c r="B59" s="2" t="s">
        <v>342</v>
      </c>
      <c r="C59" s="1" t="s">
        <v>343</v>
      </c>
      <c r="D59" s="3" t="s">
        <v>20</v>
      </c>
      <c r="E59" s="3" t="s">
        <v>233</v>
      </c>
      <c r="F59" s="4" t="s">
        <v>22</v>
      </c>
      <c r="G59" s="4" t="s">
        <v>23</v>
      </c>
      <c r="H59" s="4" t="s">
        <v>24</v>
      </c>
      <c r="I59" s="4" t="s">
        <v>25</v>
      </c>
      <c r="J59" s="5" t="s">
        <v>25</v>
      </c>
      <c r="K59" s="5" t="s">
        <v>344</v>
      </c>
      <c r="L59" s="5" t="s">
        <v>345</v>
      </c>
      <c r="M59" s="5"/>
      <c r="N59" s="5" t="s">
        <v>346</v>
      </c>
      <c r="O59" s="5"/>
      <c r="P59" s="4" t="str">
        <f t="shared" si="0"/>
        <v>Outstanding</v>
      </c>
      <c r="Q59" s="13" t="s">
        <v>25</v>
      </c>
    </row>
    <row r="60" spans="1:17" ht="60" customHeight="1" x14ac:dyDescent="0.35">
      <c r="A60" s="11" t="s">
        <v>254</v>
      </c>
      <c r="B60" s="2" t="s">
        <v>347</v>
      </c>
      <c r="C60" s="1" t="s">
        <v>348</v>
      </c>
      <c r="D60" s="3" t="s">
        <v>20</v>
      </c>
      <c r="E60" s="3" t="s">
        <v>233</v>
      </c>
      <c r="F60" s="4" t="s">
        <v>22</v>
      </c>
      <c r="G60" s="4" t="s">
        <v>23</v>
      </c>
      <c r="H60" s="4" t="s">
        <v>24</v>
      </c>
      <c r="I60" s="4" t="s">
        <v>25</v>
      </c>
      <c r="J60" s="5" t="s">
        <v>25</v>
      </c>
      <c r="K60" s="5" t="s">
        <v>349</v>
      </c>
      <c r="L60" s="5" t="s">
        <v>350</v>
      </c>
      <c r="M60" s="5"/>
      <c r="N60" s="5" t="s">
        <v>351</v>
      </c>
      <c r="O60" s="5"/>
      <c r="P60" s="4" t="str">
        <f t="shared" si="0"/>
        <v>Outstanding</v>
      </c>
      <c r="Q60" s="13" t="s">
        <v>25</v>
      </c>
    </row>
    <row r="61" spans="1:17" ht="60" customHeight="1" x14ac:dyDescent="0.35">
      <c r="A61" s="12" t="s">
        <v>254</v>
      </c>
      <c r="B61" s="6" t="s">
        <v>352</v>
      </c>
      <c r="C61" s="7" t="s">
        <v>353</v>
      </c>
      <c r="D61" s="8" t="s">
        <v>20</v>
      </c>
      <c r="E61" s="8" t="s">
        <v>21</v>
      </c>
      <c r="F61" s="9" t="s">
        <v>22</v>
      </c>
      <c r="G61" s="9" t="s">
        <v>23</v>
      </c>
      <c r="H61" s="9" t="s">
        <v>24</v>
      </c>
      <c r="I61" s="9" t="s">
        <v>25</v>
      </c>
      <c r="J61" s="10" t="s">
        <v>25</v>
      </c>
      <c r="K61" s="10" t="s">
        <v>354</v>
      </c>
      <c r="L61" s="10" t="s">
        <v>355</v>
      </c>
      <c r="M61" s="10"/>
      <c r="N61" s="10" t="s">
        <v>356</v>
      </c>
      <c r="O61" s="10"/>
      <c r="P61" s="9" t="str">
        <f t="shared" si="0"/>
        <v>Outstanding</v>
      </c>
      <c r="Q61" s="14" t="s">
        <v>25</v>
      </c>
    </row>
    <row r="65" spans="1:4" ht="32" customHeight="1" x14ac:dyDescent="0.35">
      <c r="A65" s="78" t="s">
        <v>357</v>
      </c>
      <c r="B65" s="78"/>
      <c r="C65" s="78"/>
      <c r="D65" s="78"/>
    </row>
  </sheetData>
  <mergeCells count="1">
    <mergeCell ref="A65:D65"/>
  </mergeCells>
  <conditionalFormatting sqref="F2:F61">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G2:G61">
    <cfRule type="cellIs" dxfId="18" priority="5" operator="equal">
      <formula>"Low"</formula>
    </cfRule>
    <cfRule type="cellIs" dxfId="17" priority="6" operator="equal">
      <formula>"Medium"</formula>
    </cfRule>
    <cfRule type="cellIs" dxfId="16" priority="7" operator="equal">
      <formula>"High"</formula>
    </cfRule>
  </conditionalFormatting>
  <conditionalFormatting sqref="I2:I61">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F2:F61" xr:uid="{00000000-0002-0000-0200-000000000000}">
      <formula1>"Must,Should,Could,Won't,Unassigned"</formula1>
    </dataValidation>
    <dataValidation type="list" showErrorMessage="1" errorTitle="Invalid Value" error="Please select a value from the list: Low, Medium, High, Unassessed." sqref="G2:G61" xr:uid="{00000000-0002-0000-0200-000001000000}">
      <formula1>"Low,Medium,High,Unassessed"</formula1>
    </dataValidation>
    <dataValidation type="list" showErrorMessage="1" errorTitle="Invalid Value" error="Please select a value from the list: Phase1, Phase2, Phase3, Phase4, Phase5, Pending." sqref="H2:H6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61" xr:uid="{00000000-0002-0000-0200-000003000000}">
      <formula1>"Implemented,Testing,Failed,Compensated,Risk Accepted,N/A"</formula1>
    </dataValidation>
  </dataValidations>
  <hyperlinks>
    <hyperlink ref="A6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5" t="s">
        <v>486</v>
      </c>
      <c r="C2" s="95" t="s">
        <v>486</v>
      </c>
      <c r="D2" s="95" t="s">
        <v>486</v>
      </c>
      <c r="E2" s="95" t="s">
        <v>486</v>
      </c>
      <c r="F2" s="95" t="s">
        <v>486</v>
      </c>
      <c r="G2" s="95" t="s">
        <v>486</v>
      </c>
      <c r="H2" s="99" t="s">
        <v>487</v>
      </c>
      <c r="I2" s="99" t="s">
        <v>487</v>
      </c>
      <c r="J2" s="99" t="s">
        <v>487</v>
      </c>
      <c r="K2" s="99" t="s">
        <v>487</v>
      </c>
      <c r="L2" s="99" t="s">
        <v>487</v>
      </c>
      <c r="M2" s="98" t="s">
        <v>488</v>
      </c>
      <c r="N2" s="98" t="s">
        <v>488</v>
      </c>
      <c r="O2" s="100" t="s">
        <v>489</v>
      </c>
      <c r="P2" s="100" t="s">
        <v>489</v>
      </c>
      <c r="Q2" s="96" t="s">
        <v>15</v>
      </c>
      <c r="R2" s="96" t="s">
        <v>15</v>
      </c>
      <c r="S2" s="96" t="s">
        <v>15</v>
      </c>
      <c r="T2" s="97" t="s">
        <v>490</v>
      </c>
    </row>
    <row r="3" spans="2:20" ht="35" customHeight="1" x14ac:dyDescent="0.35">
      <c r="B3" s="68" t="s">
        <v>491</v>
      </c>
      <c r="C3" s="68" t="s">
        <v>492</v>
      </c>
      <c r="D3" s="68" t="s">
        <v>493</v>
      </c>
      <c r="E3" s="68" t="s">
        <v>494</v>
      </c>
      <c r="F3" s="68" t="s">
        <v>495</v>
      </c>
      <c r="G3" s="68" t="s">
        <v>11</v>
      </c>
      <c r="H3" s="69" t="s">
        <v>496</v>
      </c>
      <c r="I3" s="69" t="s">
        <v>497</v>
      </c>
      <c r="J3" s="69" t="s">
        <v>498</v>
      </c>
      <c r="K3" s="69" t="s">
        <v>499</v>
      </c>
      <c r="L3" s="69" t="s">
        <v>430</v>
      </c>
      <c r="M3" s="70" t="s">
        <v>500</v>
      </c>
      <c r="N3" s="70" t="s">
        <v>501</v>
      </c>
      <c r="O3" s="71" t="s">
        <v>502</v>
      </c>
      <c r="P3" s="71" t="s">
        <v>503</v>
      </c>
      <c r="Q3" s="72" t="s">
        <v>15</v>
      </c>
      <c r="R3" s="72" t="s">
        <v>504</v>
      </c>
      <c r="S3" s="72" t="s">
        <v>505</v>
      </c>
      <c r="T3" s="73" t="s">
        <v>506</v>
      </c>
    </row>
    <row r="4" spans="2:20" ht="60" customHeight="1" x14ac:dyDescent="0.35">
      <c r="B4" s="74" t="s">
        <v>507</v>
      </c>
      <c r="C4" s="74" t="s">
        <v>508</v>
      </c>
      <c r="D4" s="74" t="s">
        <v>509</v>
      </c>
      <c r="E4" s="74" t="s">
        <v>510</v>
      </c>
      <c r="F4" s="74" t="s">
        <v>511</v>
      </c>
      <c r="G4" s="74" t="s">
        <v>512</v>
      </c>
      <c r="H4" s="74" t="s">
        <v>513</v>
      </c>
      <c r="I4" s="74" t="s">
        <v>514</v>
      </c>
      <c r="J4" s="74" t="s">
        <v>515</v>
      </c>
      <c r="K4" s="74" t="s">
        <v>516</v>
      </c>
      <c r="L4" s="74" t="s">
        <v>517</v>
      </c>
      <c r="M4" s="74" t="s">
        <v>518</v>
      </c>
      <c r="N4" s="74" t="s">
        <v>519</v>
      </c>
      <c r="O4" s="74" t="s">
        <v>520</v>
      </c>
      <c r="P4" s="74" t="s">
        <v>521</v>
      </c>
      <c r="Q4" s="74" t="s">
        <v>522</v>
      </c>
      <c r="R4" s="74" t="s">
        <v>523</v>
      </c>
      <c r="S4" s="74" t="s">
        <v>524</v>
      </c>
      <c r="T4" s="74" t="s">
        <v>525</v>
      </c>
    </row>
    <row r="5" spans="2:20" ht="60" customHeight="1" x14ac:dyDescent="0.35">
      <c r="B5" s="36" t="s">
        <v>526</v>
      </c>
      <c r="C5" s="75"/>
      <c r="D5" s="76"/>
      <c r="E5" s="76" t="s">
        <v>25</v>
      </c>
      <c r="F5" s="76" t="str">
        <f>IF(E5&lt;&gt;"", IFERROR(VLOOKUP(E5, Dashboard!$B44:$F49, 5, FALSE), ""), "")</f>
        <v/>
      </c>
      <c r="G5" s="77"/>
      <c r="H5" s="64"/>
      <c r="I5" s="64"/>
      <c r="J5" s="77"/>
      <c r="K5" s="77"/>
      <c r="L5" s="38"/>
      <c r="M5" s="38"/>
      <c r="N5" s="77"/>
      <c r="O5" s="77"/>
      <c r="P5" s="38"/>
      <c r="Q5" s="38" t="s">
        <v>25</v>
      </c>
      <c r="R5" s="77"/>
      <c r="S5" s="64"/>
      <c r="T5" s="77"/>
    </row>
    <row r="6" spans="2:20" ht="60" customHeight="1" x14ac:dyDescent="0.35">
      <c r="B6" s="36" t="s">
        <v>527</v>
      </c>
      <c r="C6" s="75"/>
      <c r="D6" s="76"/>
      <c r="E6" s="76" t="s">
        <v>25</v>
      </c>
      <c r="F6" s="76" t="str">
        <f>IF(E6&lt;&gt;"", IFERROR(VLOOKUP(E6, Dashboard!$B44:$F49, 5, FALSE), ""), "")</f>
        <v/>
      </c>
      <c r="G6" s="77"/>
      <c r="H6" s="64"/>
      <c r="I6" s="64"/>
      <c r="J6" s="77"/>
      <c r="K6" s="77"/>
      <c r="L6" s="38"/>
      <c r="M6" s="38"/>
      <c r="N6" s="77"/>
      <c r="O6" s="77"/>
      <c r="P6" s="38"/>
      <c r="Q6" s="38" t="s">
        <v>25</v>
      </c>
      <c r="R6" s="77"/>
      <c r="S6" s="64"/>
      <c r="T6" s="77"/>
    </row>
    <row r="7" spans="2:20" ht="60" customHeight="1" x14ac:dyDescent="0.35">
      <c r="B7" s="36" t="s">
        <v>528</v>
      </c>
      <c r="C7" s="75"/>
      <c r="D7" s="76"/>
      <c r="E7" s="76" t="s">
        <v>25</v>
      </c>
      <c r="F7" s="76" t="str">
        <f>IF(E7&lt;&gt;"", IFERROR(VLOOKUP(E7, Dashboard!$B44:$F49, 5, FALSE), ""), "")</f>
        <v/>
      </c>
      <c r="G7" s="77"/>
      <c r="H7" s="64"/>
      <c r="I7" s="64"/>
      <c r="J7" s="77"/>
      <c r="K7" s="77"/>
      <c r="L7" s="38"/>
      <c r="M7" s="38"/>
      <c r="N7" s="77"/>
      <c r="O7" s="77"/>
      <c r="P7" s="38"/>
      <c r="Q7" s="38" t="s">
        <v>25</v>
      </c>
      <c r="R7" s="77"/>
      <c r="S7" s="64"/>
      <c r="T7" s="77"/>
    </row>
    <row r="8" spans="2:20" ht="60" customHeight="1" x14ac:dyDescent="0.35">
      <c r="B8" s="36" t="s">
        <v>529</v>
      </c>
      <c r="C8" s="75"/>
      <c r="D8" s="76"/>
      <c r="E8" s="76" t="s">
        <v>25</v>
      </c>
      <c r="F8" s="76" t="str">
        <f>IF(E8&lt;&gt;"", IFERROR(VLOOKUP(E8, Dashboard!$B44:$F49, 5, FALSE), ""), "")</f>
        <v/>
      </c>
      <c r="G8" s="77"/>
      <c r="H8" s="64"/>
      <c r="I8" s="64"/>
      <c r="J8" s="77"/>
      <c r="K8" s="77"/>
      <c r="L8" s="38"/>
      <c r="M8" s="38"/>
      <c r="N8" s="77"/>
      <c r="O8" s="77"/>
      <c r="P8" s="38"/>
      <c r="Q8" s="38" t="s">
        <v>25</v>
      </c>
      <c r="R8" s="77"/>
      <c r="S8" s="64"/>
      <c r="T8" s="77"/>
    </row>
    <row r="9" spans="2:20" ht="60" customHeight="1" x14ac:dyDescent="0.35">
      <c r="B9" s="36" t="s">
        <v>530</v>
      </c>
      <c r="C9" s="75"/>
      <c r="D9" s="76"/>
      <c r="E9" s="76" t="s">
        <v>25</v>
      </c>
      <c r="F9" s="76" t="str">
        <f>IF(E9&lt;&gt;"", IFERROR(VLOOKUP(E9, Dashboard!$B44:$F49, 5, FALSE), ""), "")</f>
        <v/>
      </c>
      <c r="G9" s="77"/>
      <c r="H9" s="64"/>
      <c r="I9" s="64"/>
      <c r="J9" s="77"/>
      <c r="K9" s="77"/>
      <c r="L9" s="38"/>
      <c r="M9" s="38"/>
      <c r="N9" s="77"/>
      <c r="O9" s="77"/>
      <c r="P9" s="38"/>
      <c r="Q9" s="38" t="s">
        <v>25</v>
      </c>
      <c r="R9" s="77"/>
      <c r="S9" s="64"/>
      <c r="T9" s="77"/>
    </row>
    <row r="10" spans="2:20" ht="60" customHeight="1" x14ac:dyDescent="0.35">
      <c r="B10" s="36" t="s">
        <v>531</v>
      </c>
      <c r="C10" s="75"/>
      <c r="D10" s="76"/>
      <c r="E10" s="76" t="s">
        <v>25</v>
      </c>
      <c r="F10" s="76" t="str">
        <f>IF(E10&lt;&gt;"", IFERROR(VLOOKUP(E10, Dashboard!$B44:$F49, 5, FALSE), ""), "")</f>
        <v/>
      </c>
      <c r="G10" s="77"/>
      <c r="H10" s="64"/>
      <c r="I10" s="64"/>
      <c r="J10" s="77"/>
      <c r="K10" s="77"/>
      <c r="L10" s="38"/>
      <c r="M10" s="38"/>
      <c r="N10" s="77"/>
      <c r="O10" s="77"/>
      <c r="P10" s="38"/>
      <c r="Q10" s="38" t="s">
        <v>25</v>
      </c>
      <c r="R10" s="77"/>
      <c r="S10" s="64"/>
      <c r="T10" s="77"/>
    </row>
    <row r="11" spans="2:20" ht="60" customHeight="1" x14ac:dyDescent="0.35">
      <c r="B11" s="36" t="s">
        <v>532</v>
      </c>
      <c r="C11" s="75"/>
      <c r="D11" s="76"/>
      <c r="E11" s="76" t="s">
        <v>25</v>
      </c>
      <c r="F11" s="76" t="str">
        <f>IF(E11&lt;&gt;"", IFERROR(VLOOKUP(E11, Dashboard!$B44:$F49, 5, FALSE), ""), "")</f>
        <v/>
      </c>
      <c r="G11" s="77"/>
      <c r="H11" s="64"/>
      <c r="I11" s="64"/>
      <c r="J11" s="77"/>
      <c r="K11" s="77"/>
      <c r="L11" s="38"/>
      <c r="M11" s="38"/>
      <c r="N11" s="77"/>
      <c r="O11" s="77"/>
      <c r="P11" s="38"/>
      <c r="Q11" s="38" t="s">
        <v>25</v>
      </c>
      <c r="R11" s="77"/>
      <c r="S11" s="64"/>
      <c r="T11" s="77"/>
    </row>
    <row r="12" spans="2:20" ht="60" customHeight="1" x14ac:dyDescent="0.35">
      <c r="B12" s="36" t="s">
        <v>533</v>
      </c>
      <c r="C12" s="75"/>
      <c r="D12" s="76"/>
      <c r="E12" s="76" t="s">
        <v>25</v>
      </c>
      <c r="F12" s="76" t="str">
        <f>IF(E12&lt;&gt;"", IFERROR(VLOOKUP(E12, Dashboard!$B44:$F49, 5, FALSE), ""), "")</f>
        <v/>
      </c>
      <c r="G12" s="77"/>
      <c r="H12" s="64"/>
      <c r="I12" s="64"/>
      <c r="J12" s="77"/>
      <c r="K12" s="77"/>
      <c r="L12" s="38"/>
      <c r="M12" s="38"/>
      <c r="N12" s="77"/>
      <c r="O12" s="77"/>
      <c r="P12" s="38"/>
      <c r="Q12" s="38" t="s">
        <v>25</v>
      </c>
      <c r="R12" s="77"/>
      <c r="S12" s="64"/>
      <c r="T12" s="77"/>
    </row>
    <row r="13" spans="2:20" ht="60" customHeight="1" x14ac:dyDescent="0.35">
      <c r="B13" s="36" t="s">
        <v>534</v>
      </c>
      <c r="C13" s="75"/>
      <c r="D13" s="76"/>
      <c r="E13" s="76" t="s">
        <v>25</v>
      </c>
      <c r="F13" s="76" t="str">
        <f>IF(E13&lt;&gt;"", IFERROR(VLOOKUP(E13, Dashboard!$B44:$F49, 5, FALSE), ""), "")</f>
        <v/>
      </c>
      <c r="G13" s="77"/>
      <c r="H13" s="64"/>
      <c r="I13" s="64"/>
      <c r="J13" s="77"/>
      <c r="K13" s="77"/>
      <c r="L13" s="38"/>
      <c r="M13" s="38"/>
      <c r="N13" s="77"/>
      <c r="O13" s="77"/>
      <c r="P13" s="38"/>
      <c r="Q13" s="38" t="s">
        <v>25</v>
      </c>
      <c r="R13" s="77"/>
      <c r="S13" s="64"/>
      <c r="T13" s="77"/>
    </row>
    <row r="14" spans="2:20" ht="60" customHeight="1" x14ac:dyDescent="0.35">
      <c r="B14" s="36" t="s">
        <v>535</v>
      </c>
      <c r="C14" s="75"/>
      <c r="D14" s="76"/>
      <c r="E14" s="76" t="s">
        <v>25</v>
      </c>
      <c r="F14" s="76" t="str">
        <f>IF(E14&lt;&gt;"", IFERROR(VLOOKUP(E14, Dashboard!$B44:$F49, 5, FALSE), ""), "")</f>
        <v/>
      </c>
      <c r="G14" s="77"/>
      <c r="H14" s="64"/>
      <c r="I14" s="64"/>
      <c r="J14" s="77"/>
      <c r="K14" s="77"/>
      <c r="L14" s="38"/>
      <c r="M14" s="38"/>
      <c r="N14" s="77"/>
      <c r="O14" s="77"/>
      <c r="P14" s="38"/>
      <c r="Q14" s="38" t="s">
        <v>25</v>
      </c>
      <c r="R14" s="77"/>
      <c r="S14" s="64"/>
      <c r="T14" s="77"/>
    </row>
    <row r="15" spans="2:20" ht="60" customHeight="1" x14ac:dyDescent="0.35">
      <c r="B15" s="36" t="s">
        <v>536</v>
      </c>
      <c r="C15" s="75"/>
      <c r="D15" s="76"/>
      <c r="E15" s="76" t="s">
        <v>25</v>
      </c>
      <c r="F15" s="76" t="str">
        <f>IF(E15&lt;&gt;"", IFERROR(VLOOKUP(E15, Dashboard!$B44:$F49, 5, FALSE), ""), "")</f>
        <v/>
      </c>
      <c r="G15" s="77"/>
      <c r="H15" s="64"/>
      <c r="I15" s="64"/>
      <c r="J15" s="77"/>
      <c r="K15" s="77"/>
      <c r="L15" s="38"/>
      <c r="M15" s="38"/>
      <c r="N15" s="77"/>
      <c r="O15" s="77"/>
      <c r="P15" s="38"/>
      <c r="Q15" s="38" t="s">
        <v>25</v>
      </c>
      <c r="R15" s="77"/>
      <c r="S15" s="64"/>
      <c r="T15" s="77"/>
    </row>
    <row r="16" spans="2:20" ht="60" customHeight="1" x14ac:dyDescent="0.35">
      <c r="B16" s="36" t="s">
        <v>537</v>
      </c>
      <c r="C16" s="75"/>
      <c r="D16" s="76"/>
      <c r="E16" s="76" t="s">
        <v>25</v>
      </c>
      <c r="F16" s="76" t="str">
        <f>IF(E16&lt;&gt;"", IFERROR(VLOOKUP(E16, Dashboard!$B44:$F49, 5, FALSE), ""), "")</f>
        <v/>
      </c>
      <c r="G16" s="77"/>
      <c r="H16" s="64"/>
      <c r="I16" s="64"/>
      <c r="J16" s="77"/>
      <c r="K16" s="77"/>
      <c r="L16" s="38"/>
      <c r="M16" s="38"/>
      <c r="N16" s="77"/>
      <c r="O16" s="77"/>
      <c r="P16" s="38"/>
      <c r="Q16" s="38" t="s">
        <v>25</v>
      </c>
      <c r="R16" s="77"/>
      <c r="S16" s="64"/>
      <c r="T16" s="77"/>
    </row>
    <row r="17" spans="2:20" ht="60" customHeight="1" x14ac:dyDescent="0.35">
      <c r="B17" s="36" t="s">
        <v>538</v>
      </c>
      <c r="C17" s="75"/>
      <c r="D17" s="76"/>
      <c r="E17" s="76" t="s">
        <v>25</v>
      </c>
      <c r="F17" s="76" t="str">
        <f>IF(E17&lt;&gt;"", IFERROR(VLOOKUP(E17, Dashboard!$B44:$F49, 5, FALSE), ""), "")</f>
        <v/>
      </c>
      <c r="G17" s="77"/>
      <c r="H17" s="64"/>
      <c r="I17" s="64"/>
      <c r="J17" s="77"/>
      <c r="K17" s="77"/>
      <c r="L17" s="38"/>
      <c r="M17" s="38"/>
      <c r="N17" s="77"/>
      <c r="O17" s="77"/>
      <c r="P17" s="38"/>
      <c r="Q17" s="38" t="s">
        <v>25</v>
      </c>
      <c r="R17" s="77"/>
      <c r="S17" s="64"/>
      <c r="T17" s="77"/>
    </row>
    <row r="18" spans="2:20" ht="60" customHeight="1" x14ac:dyDescent="0.35">
      <c r="B18" s="36" t="s">
        <v>539</v>
      </c>
      <c r="C18" s="75"/>
      <c r="D18" s="76"/>
      <c r="E18" s="76" t="s">
        <v>25</v>
      </c>
      <c r="F18" s="76" t="str">
        <f>IF(E18&lt;&gt;"", IFERROR(VLOOKUP(E18, Dashboard!$B44:$F49, 5, FALSE), ""), "")</f>
        <v/>
      </c>
      <c r="G18" s="77"/>
      <c r="H18" s="64"/>
      <c r="I18" s="64"/>
      <c r="J18" s="77"/>
      <c r="K18" s="77"/>
      <c r="L18" s="38"/>
      <c r="M18" s="38"/>
      <c r="N18" s="77"/>
      <c r="O18" s="77"/>
      <c r="P18" s="38"/>
      <c r="Q18" s="38" t="s">
        <v>25</v>
      </c>
      <c r="R18" s="77"/>
      <c r="S18" s="64"/>
      <c r="T18" s="77"/>
    </row>
    <row r="19" spans="2:20" ht="60" customHeight="1" x14ac:dyDescent="0.35">
      <c r="B19" s="36" t="s">
        <v>540</v>
      </c>
      <c r="C19" s="75"/>
      <c r="D19" s="76"/>
      <c r="E19" s="76" t="s">
        <v>25</v>
      </c>
      <c r="F19" s="76" t="str">
        <f>IF(E19&lt;&gt;"", IFERROR(VLOOKUP(E19, Dashboard!$B44:$F49, 5, FALSE), ""), "")</f>
        <v/>
      </c>
      <c r="G19" s="77"/>
      <c r="H19" s="64"/>
      <c r="I19" s="64"/>
      <c r="J19" s="77"/>
      <c r="K19" s="77"/>
      <c r="L19" s="38"/>
      <c r="M19" s="38"/>
      <c r="N19" s="77"/>
      <c r="O19" s="77"/>
      <c r="P19" s="38"/>
      <c r="Q19" s="38" t="s">
        <v>25</v>
      </c>
      <c r="R19" s="77"/>
      <c r="S19" s="64"/>
      <c r="T19" s="77"/>
    </row>
    <row r="20" spans="2:20" ht="60" customHeight="1" x14ac:dyDescent="0.35">
      <c r="B20" s="36" t="s">
        <v>541</v>
      </c>
      <c r="C20" s="75"/>
      <c r="D20" s="76"/>
      <c r="E20" s="76" t="s">
        <v>25</v>
      </c>
      <c r="F20" s="76" t="str">
        <f>IF(E20&lt;&gt;"", IFERROR(VLOOKUP(E20, Dashboard!$B44:$F49, 5, FALSE), ""), "")</f>
        <v/>
      </c>
      <c r="G20" s="77"/>
      <c r="H20" s="64"/>
      <c r="I20" s="64"/>
      <c r="J20" s="77"/>
      <c r="K20" s="77"/>
      <c r="L20" s="38"/>
      <c r="M20" s="38"/>
      <c r="N20" s="77"/>
      <c r="O20" s="77"/>
      <c r="P20" s="38"/>
      <c r="Q20" s="38" t="s">
        <v>25</v>
      </c>
      <c r="R20" s="77"/>
      <c r="S20" s="64"/>
      <c r="T20" s="77"/>
    </row>
    <row r="21" spans="2:20" ht="60" customHeight="1" x14ac:dyDescent="0.35">
      <c r="B21" s="36" t="s">
        <v>542</v>
      </c>
      <c r="C21" s="75"/>
      <c r="D21" s="76"/>
      <c r="E21" s="76" t="s">
        <v>25</v>
      </c>
      <c r="F21" s="76" t="str">
        <f>IF(E21&lt;&gt;"", IFERROR(VLOOKUP(E21, Dashboard!$B44:$F49, 5, FALSE), ""), "")</f>
        <v/>
      </c>
      <c r="G21" s="77"/>
      <c r="H21" s="64"/>
      <c r="I21" s="64"/>
      <c r="J21" s="77"/>
      <c r="K21" s="77"/>
      <c r="L21" s="38"/>
      <c r="M21" s="38"/>
      <c r="N21" s="77"/>
      <c r="O21" s="77"/>
      <c r="P21" s="38"/>
      <c r="Q21" s="38" t="s">
        <v>25</v>
      </c>
      <c r="R21" s="77"/>
      <c r="S21" s="64"/>
      <c r="T21" s="77"/>
    </row>
    <row r="22" spans="2:20" ht="60" customHeight="1" x14ac:dyDescent="0.35">
      <c r="B22" s="36" t="s">
        <v>543</v>
      </c>
      <c r="C22" s="75"/>
      <c r="D22" s="76"/>
      <c r="E22" s="76" t="s">
        <v>25</v>
      </c>
      <c r="F22" s="76" t="str">
        <f>IF(E22&lt;&gt;"", IFERROR(VLOOKUP(E22, Dashboard!$B44:$F49, 5, FALSE), ""), "")</f>
        <v/>
      </c>
      <c r="G22" s="77"/>
      <c r="H22" s="64"/>
      <c r="I22" s="64"/>
      <c r="J22" s="77"/>
      <c r="K22" s="77"/>
      <c r="L22" s="38"/>
      <c r="M22" s="38"/>
      <c r="N22" s="77"/>
      <c r="O22" s="77"/>
      <c r="P22" s="38"/>
      <c r="Q22" s="38" t="s">
        <v>25</v>
      </c>
      <c r="R22" s="77"/>
      <c r="S22" s="64"/>
      <c r="T22" s="77"/>
    </row>
    <row r="23" spans="2:20" ht="60" customHeight="1" x14ac:dyDescent="0.35">
      <c r="B23" s="36" t="s">
        <v>544</v>
      </c>
      <c r="C23" s="75"/>
      <c r="D23" s="76"/>
      <c r="E23" s="76" t="s">
        <v>25</v>
      </c>
      <c r="F23" s="76" t="str">
        <f>IF(E23&lt;&gt;"", IFERROR(VLOOKUP(E23, Dashboard!$B44:$F49, 5, FALSE), ""), "")</f>
        <v/>
      </c>
      <c r="G23" s="77"/>
      <c r="H23" s="64"/>
      <c r="I23" s="64"/>
      <c r="J23" s="77"/>
      <c r="K23" s="77"/>
      <c r="L23" s="38"/>
      <c r="M23" s="38"/>
      <c r="N23" s="77"/>
      <c r="O23" s="77"/>
      <c r="P23" s="38"/>
      <c r="Q23" s="38" t="s">
        <v>25</v>
      </c>
      <c r="R23" s="77"/>
      <c r="S23" s="64"/>
      <c r="T23" s="77"/>
    </row>
    <row r="24" spans="2:20" ht="60" customHeight="1" x14ac:dyDescent="0.35">
      <c r="B24" s="36" t="s">
        <v>545</v>
      </c>
      <c r="C24" s="75"/>
      <c r="D24" s="76"/>
      <c r="E24" s="76" t="s">
        <v>25</v>
      </c>
      <c r="F24" s="76" t="str">
        <f>IF(E24&lt;&gt;"", IFERROR(VLOOKUP(E24, Dashboard!$B44:$F49, 5, FALSE), ""), "")</f>
        <v/>
      </c>
      <c r="G24" s="77"/>
      <c r="H24" s="64"/>
      <c r="I24" s="64"/>
      <c r="J24" s="77"/>
      <c r="K24" s="77"/>
      <c r="L24" s="38"/>
      <c r="M24" s="38"/>
      <c r="N24" s="77"/>
      <c r="O24" s="77"/>
      <c r="P24" s="38"/>
      <c r="Q24" s="38" t="s">
        <v>25</v>
      </c>
      <c r="R24" s="77"/>
      <c r="S24" s="64"/>
      <c r="T24" s="77"/>
    </row>
    <row r="25" spans="2:20" ht="60" customHeight="1" x14ac:dyDescent="0.35">
      <c r="B25" s="36" t="s">
        <v>546</v>
      </c>
      <c r="C25" s="75"/>
      <c r="D25" s="76"/>
      <c r="E25" s="76" t="s">
        <v>25</v>
      </c>
      <c r="F25" s="76" t="str">
        <f>IF(E25&lt;&gt;"", IFERROR(VLOOKUP(E25, Dashboard!$B44:$F49, 5, FALSE), ""), "")</f>
        <v/>
      </c>
      <c r="G25" s="77"/>
      <c r="H25" s="64"/>
      <c r="I25" s="64"/>
      <c r="J25" s="77"/>
      <c r="K25" s="77"/>
      <c r="L25" s="38"/>
      <c r="M25" s="38"/>
      <c r="N25" s="77"/>
      <c r="O25" s="77"/>
      <c r="P25" s="38"/>
      <c r="Q25" s="38" t="s">
        <v>25</v>
      </c>
      <c r="R25" s="77"/>
      <c r="S25" s="64"/>
      <c r="T25" s="77"/>
    </row>
    <row r="26" spans="2:20" ht="60" customHeight="1" x14ac:dyDescent="0.35">
      <c r="B26" s="36" t="s">
        <v>547</v>
      </c>
      <c r="C26" s="75"/>
      <c r="D26" s="76"/>
      <c r="E26" s="76" t="s">
        <v>25</v>
      </c>
      <c r="F26" s="76" t="str">
        <f>IF(E26&lt;&gt;"", IFERROR(VLOOKUP(E26, Dashboard!$B44:$F49, 5, FALSE), ""), "")</f>
        <v/>
      </c>
      <c r="G26" s="77"/>
      <c r="H26" s="64"/>
      <c r="I26" s="64"/>
      <c r="J26" s="77"/>
      <c r="K26" s="77"/>
      <c r="L26" s="38"/>
      <c r="M26" s="38"/>
      <c r="N26" s="77"/>
      <c r="O26" s="77"/>
      <c r="P26" s="38"/>
      <c r="Q26" s="38" t="s">
        <v>25</v>
      </c>
      <c r="R26" s="77"/>
      <c r="S26" s="64"/>
      <c r="T26" s="77"/>
    </row>
    <row r="27" spans="2:20" ht="60" customHeight="1" x14ac:dyDescent="0.35">
      <c r="B27" s="36" t="s">
        <v>548</v>
      </c>
      <c r="C27" s="75"/>
      <c r="D27" s="76"/>
      <c r="E27" s="76" t="s">
        <v>25</v>
      </c>
      <c r="F27" s="76" t="str">
        <f>IF(E27&lt;&gt;"", IFERROR(VLOOKUP(E27, Dashboard!$B44:$F49, 5, FALSE), ""), "")</f>
        <v/>
      </c>
      <c r="G27" s="77"/>
      <c r="H27" s="64"/>
      <c r="I27" s="64"/>
      <c r="J27" s="77"/>
      <c r="K27" s="77"/>
      <c r="L27" s="38"/>
      <c r="M27" s="38"/>
      <c r="N27" s="77"/>
      <c r="O27" s="77"/>
      <c r="P27" s="38"/>
      <c r="Q27" s="38" t="s">
        <v>25</v>
      </c>
      <c r="R27" s="77"/>
      <c r="S27" s="64"/>
      <c r="T27" s="77"/>
    </row>
    <row r="28" spans="2:20" ht="60" customHeight="1" x14ac:dyDescent="0.35">
      <c r="B28" s="36" t="s">
        <v>549</v>
      </c>
      <c r="C28" s="75"/>
      <c r="D28" s="76"/>
      <c r="E28" s="76" t="s">
        <v>25</v>
      </c>
      <c r="F28" s="76" t="str">
        <f>IF(E28&lt;&gt;"", IFERROR(VLOOKUP(E28, Dashboard!$B44:$F49, 5, FALSE), ""), "")</f>
        <v/>
      </c>
      <c r="G28" s="77"/>
      <c r="H28" s="64"/>
      <c r="I28" s="64"/>
      <c r="J28" s="77"/>
      <c r="K28" s="77"/>
      <c r="L28" s="38"/>
      <c r="M28" s="38"/>
      <c r="N28" s="77"/>
      <c r="O28" s="77"/>
      <c r="P28" s="38"/>
      <c r="Q28" s="38" t="s">
        <v>25</v>
      </c>
      <c r="R28" s="77"/>
      <c r="S28" s="64"/>
      <c r="T28" s="77"/>
    </row>
    <row r="29" spans="2:20" ht="60" customHeight="1" x14ac:dyDescent="0.35">
      <c r="B29" s="36" t="s">
        <v>550</v>
      </c>
      <c r="C29" s="75"/>
      <c r="D29" s="76"/>
      <c r="E29" s="76" t="s">
        <v>25</v>
      </c>
      <c r="F29" s="76" t="str">
        <f>IF(E29&lt;&gt;"", IFERROR(VLOOKUP(E29, Dashboard!$B44:$F49, 5, FALSE), ""), "")</f>
        <v/>
      </c>
      <c r="G29" s="77"/>
      <c r="H29" s="64"/>
      <c r="I29" s="64"/>
      <c r="J29" s="77"/>
      <c r="K29" s="77"/>
      <c r="L29" s="38"/>
      <c r="M29" s="38"/>
      <c r="N29" s="77"/>
      <c r="O29" s="77"/>
      <c r="P29" s="38"/>
      <c r="Q29" s="38" t="s">
        <v>25</v>
      </c>
      <c r="R29" s="77"/>
      <c r="S29" s="64"/>
      <c r="T29" s="77"/>
    </row>
    <row r="30" spans="2:20" ht="60" customHeight="1" x14ac:dyDescent="0.35">
      <c r="B30" s="36" t="s">
        <v>551</v>
      </c>
      <c r="C30" s="75"/>
      <c r="D30" s="76"/>
      <c r="E30" s="76" t="s">
        <v>25</v>
      </c>
      <c r="F30" s="76" t="str">
        <f>IF(E30&lt;&gt;"", IFERROR(VLOOKUP(E30, Dashboard!$B44:$F49, 5, FALSE), ""), "")</f>
        <v/>
      </c>
      <c r="G30" s="77"/>
      <c r="H30" s="64"/>
      <c r="I30" s="64"/>
      <c r="J30" s="77"/>
      <c r="K30" s="77"/>
      <c r="L30" s="38"/>
      <c r="M30" s="38"/>
      <c r="N30" s="77"/>
      <c r="O30" s="77"/>
      <c r="P30" s="38"/>
      <c r="Q30" s="38" t="s">
        <v>25</v>
      </c>
      <c r="R30" s="77"/>
      <c r="S30" s="64"/>
      <c r="T30" s="77"/>
    </row>
    <row r="31" spans="2:20" ht="60" customHeight="1" x14ac:dyDescent="0.35">
      <c r="B31" s="36" t="s">
        <v>552</v>
      </c>
      <c r="C31" s="75"/>
      <c r="D31" s="76"/>
      <c r="E31" s="76" t="s">
        <v>25</v>
      </c>
      <c r="F31" s="76" t="str">
        <f>IF(E31&lt;&gt;"", IFERROR(VLOOKUP(E31, Dashboard!$B44:$F49, 5, FALSE), ""), "")</f>
        <v/>
      </c>
      <c r="G31" s="77"/>
      <c r="H31" s="64"/>
      <c r="I31" s="64"/>
      <c r="J31" s="77"/>
      <c r="K31" s="77"/>
      <c r="L31" s="38"/>
      <c r="M31" s="38"/>
      <c r="N31" s="77"/>
      <c r="O31" s="77"/>
      <c r="P31" s="38"/>
      <c r="Q31" s="38" t="s">
        <v>25</v>
      </c>
      <c r="R31" s="77"/>
      <c r="S31" s="64"/>
      <c r="T31" s="77"/>
    </row>
    <row r="32" spans="2:20" ht="60" customHeight="1" x14ac:dyDescent="0.35">
      <c r="B32" s="36" t="s">
        <v>553</v>
      </c>
      <c r="C32" s="75"/>
      <c r="D32" s="76"/>
      <c r="E32" s="76" t="s">
        <v>25</v>
      </c>
      <c r="F32" s="76" t="str">
        <f>IF(E32&lt;&gt;"", IFERROR(VLOOKUP(E32, Dashboard!$B44:$F49, 5, FALSE), ""), "")</f>
        <v/>
      </c>
      <c r="G32" s="77"/>
      <c r="H32" s="64"/>
      <c r="I32" s="64"/>
      <c r="J32" s="77"/>
      <c r="K32" s="77"/>
      <c r="L32" s="38"/>
      <c r="M32" s="38"/>
      <c r="N32" s="77"/>
      <c r="O32" s="77"/>
      <c r="P32" s="38"/>
      <c r="Q32" s="38" t="s">
        <v>25</v>
      </c>
      <c r="R32" s="77"/>
      <c r="S32" s="64"/>
      <c r="T32" s="77"/>
    </row>
    <row r="33" spans="2:20" ht="60" customHeight="1" x14ac:dyDescent="0.35">
      <c r="B33" s="36" t="s">
        <v>554</v>
      </c>
      <c r="C33" s="75"/>
      <c r="D33" s="76"/>
      <c r="E33" s="76" t="s">
        <v>25</v>
      </c>
      <c r="F33" s="76" t="str">
        <f>IF(E33&lt;&gt;"", IFERROR(VLOOKUP(E33, Dashboard!$B44:$F49, 5, FALSE), ""), "")</f>
        <v/>
      </c>
      <c r="G33" s="77"/>
      <c r="H33" s="64"/>
      <c r="I33" s="64"/>
      <c r="J33" s="77"/>
      <c r="K33" s="77"/>
      <c r="L33" s="38"/>
      <c r="M33" s="38"/>
      <c r="N33" s="77"/>
      <c r="O33" s="77"/>
      <c r="P33" s="38"/>
      <c r="Q33" s="38" t="s">
        <v>25</v>
      </c>
      <c r="R33" s="77"/>
      <c r="S33" s="64"/>
      <c r="T33" s="77"/>
    </row>
    <row r="34" spans="2:20" ht="60" customHeight="1" x14ac:dyDescent="0.35">
      <c r="B34" s="36" t="s">
        <v>555</v>
      </c>
      <c r="C34" s="75"/>
      <c r="D34" s="76"/>
      <c r="E34" s="76" t="s">
        <v>25</v>
      </c>
      <c r="F34" s="76" t="str">
        <f>IF(E34&lt;&gt;"", IFERROR(VLOOKUP(E34, Dashboard!$B44:$F49, 5, FALSE), ""), "")</f>
        <v/>
      </c>
      <c r="G34" s="77"/>
      <c r="H34" s="64"/>
      <c r="I34" s="64"/>
      <c r="J34" s="77"/>
      <c r="K34" s="77"/>
      <c r="L34" s="38"/>
      <c r="M34" s="38"/>
      <c r="N34" s="77"/>
      <c r="O34" s="77"/>
      <c r="P34" s="38"/>
      <c r="Q34" s="38" t="s">
        <v>25</v>
      </c>
      <c r="R34" s="77"/>
      <c r="S34" s="64"/>
      <c r="T34" s="77"/>
    </row>
    <row r="35" spans="2:20" ht="60" customHeight="1" x14ac:dyDescent="0.35">
      <c r="B35" s="36" t="s">
        <v>556</v>
      </c>
      <c r="C35" s="75"/>
      <c r="D35" s="76"/>
      <c r="E35" s="76" t="s">
        <v>25</v>
      </c>
      <c r="F35" s="76" t="str">
        <f>IF(E35&lt;&gt;"", IFERROR(VLOOKUP(E35, Dashboard!$B44:$F49, 5, FALSE), ""), "")</f>
        <v/>
      </c>
      <c r="G35" s="77"/>
      <c r="H35" s="64"/>
      <c r="I35" s="64"/>
      <c r="J35" s="77"/>
      <c r="K35" s="77"/>
      <c r="L35" s="38"/>
      <c r="M35" s="38"/>
      <c r="N35" s="77"/>
      <c r="O35" s="77"/>
      <c r="P35" s="38"/>
      <c r="Q35" s="38" t="s">
        <v>25</v>
      </c>
      <c r="R35" s="77"/>
      <c r="S35" s="64"/>
      <c r="T35" s="77"/>
    </row>
    <row r="36" spans="2:20" ht="60" customHeight="1" x14ac:dyDescent="0.35">
      <c r="B36" s="36" t="s">
        <v>557</v>
      </c>
      <c r="C36" s="75"/>
      <c r="D36" s="76"/>
      <c r="E36" s="76" t="s">
        <v>25</v>
      </c>
      <c r="F36" s="76" t="str">
        <f>IF(E36&lt;&gt;"", IFERROR(VLOOKUP(E36, Dashboard!$B44:$F49, 5, FALSE), ""), "")</f>
        <v/>
      </c>
      <c r="G36" s="77"/>
      <c r="H36" s="64"/>
      <c r="I36" s="64"/>
      <c r="J36" s="77"/>
      <c r="K36" s="77"/>
      <c r="L36" s="38"/>
      <c r="M36" s="38"/>
      <c r="N36" s="77"/>
      <c r="O36" s="77"/>
      <c r="P36" s="38"/>
      <c r="Q36" s="38" t="s">
        <v>25</v>
      </c>
      <c r="R36" s="77"/>
      <c r="S36" s="64"/>
      <c r="T36" s="77"/>
    </row>
    <row r="37" spans="2:20" ht="60" customHeight="1" x14ac:dyDescent="0.35">
      <c r="B37" s="36" t="s">
        <v>558</v>
      </c>
      <c r="C37" s="75"/>
      <c r="D37" s="76"/>
      <c r="E37" s="76" t="s">
        <v>25</v>
      </c>
      <c r="F37" s="76" t="str">
        <f>IF(E37&lt;&gt;"", IFERROR(VLOOKUP(E37, Dashboard!$B44:$F49, 5, FALSE), ""), "")</f>
        <v/>
      </c>
      <c r="G37" s="77"/>
      <c r="H37" s="64"/>
      <c r="I37" s="64"/>
      <c r="J37" s="77"/>
      <c r="K37" s="77"/>
      <c r="L37" s="38"/>
      <c r="M37" s="38"/>
      <c r="N37" s="77"/>
      <c r="O37" s="77"/>
      <c r="P37" s="38"/>
      <c r="Q37" s="38" t="s">
        <v>25</v>
      </c>
      <c r="R37" s="77"/>
      <c r="S37" s="64"/>
      <c r="T37" s="77"/>
    </row>
    <row r="38" spans="2:20" ht="60" customHeight="1" x14ac:dyDescent="0.35">
      <c r="B38" s="36" t="s">
        <v>559</v>
      </c>
      <c r="C38" s="75"/>
      <c r="D38" s="76"/>
      <c r="E38" s="76" t="s">
        <v>25</v>
      </c>
      <c r="F38" s="76" t="str">
        <f>IF(E38&lt;&gt;"", IFERROR(VLOOKUP(E38, Dashboard!$B44:$F49, 5, FALSE), ""), "")</f>
        <v/>
      </c>
      <c r="G38" s="77"/>
      <c r="H38" s="64"/>
      <c r="I38" s="64"/>
      <c r="J38" s="77"/>
      <c r="K38" s="77"/>
      <c r="L38" s="38"/>
      <c r="M38" s="38"/>
      <c r="N38" s="77"/>
      <c r="O38" s="77"/>
      <c r="P38" s="38"/>
      <c r="Q38" s="38" t="s">
        <v>25</v>
      </c>
      <c r="R38" s="77"/>
      <c r="S38" s="64"/>
      <c r="T38" s="77"/>
    </row>
    <row r="39" spans="2:20" ht="60" customHeight="1" x14ac:dyDescent="0.35">
      <c r="B39" s="36" t="s">
        <v>560</v>
      </c>
      <c r="C39" s="75"/>
      <c r="D39" s="76"/>
      <c r="E39" s="76" t="s">
        <v>25</v>
      </c>
      <c r="F39" s="76" t="str">
        <f>IF(E39&lt;&gt;"", IFERROR(VLOOKUP(E39, Dashboard!$B44:$F49, 5, FALSE), ""), "")</f>
        <v/>
      </c>
      <c r="G39" s="77"/>
      <c r="H39" s="64"/>
      <c r="I39" s="64"/>
      <c r="J39" s="77"/>
      <c r="K39" s="77"/>
      <c r="L39" s="38"/>
      <c r="M39" s="38"/>
      <c r="N39" s="77"/>
      <c r="O39" s="77"/>
      <c r="P39" s="38"/>
      <c r="Q39" s="38" t="s">
        <v>25</v>
      </c>
      <c r="R39" s="77"/>
      <c r="S39" s="64"/>
      <c r="T39" s="77"/>
    </row>
    <row r="40" spans="2:20" ht="60" customHeight="1" x14ac:dyDescent="0.35">
      <c r="B40" s="36" t="s">
        <v>561</v>
      </c>
      <c r="C40" s="75"/>
      <c r="D40" s="76"/>
      <c r="E40" s="76" t="s">
        <v>25</v>
      </c>
      <c r="F40" s="76" t="str">
        <f>IF(E40&lt;&gt;"", IFERROR(VLOOKUP(E40, Dashboard!$B44:$F49, 5, FALSE), ""), "")</f>
        <v/>
      </c>
      <c r="G40" s="77"/>
      <c r="H40" s="64"/>
      <c r="I40" s="64"/>
      <c r="J40" s="77"/>
      <c r="K40" s="77"/>
      <c r="L40" s="38"/>
      <c r="M40" s="38"/>
      <c r="N40" s="77"/>
      <c r="O40" s="77"/>
      <c r="P40" s="38"/>
      <c r="Q40" s="38" t="s">
        <v>25</v>
      </c>
      <c r="R40" s="77"/>
      <c r="S40" s="64"/>
      <c r="T40" s="77"/>
    </row>
    <row r="41" spans="2:20" ht="60" customHeight="1" x14ac:dyDescent="0.35">
      <c r="B41" s="36" t="s">
        <v>562</v>
      </c>
      <c r="C41" s="75"/>
      <c r="D41" s="76"/>
      <c r="E41" s="76" t="s">
        <v>25</v>
      </c>
      <c r="F41" s="76" t="str">
        <f>IF(E41&lt;&gt;"", IFERROR(VLOOKUP(E41, Dashboard!$B44:$F49, 5, FALSE), ""), "")</f>
        <v/>
      </c>
      <c r="G41" s="77"/>
      <c r="H41" s="64"/>
      <c r="I41" s="64"/>
      <c r="J41" s="77"/>
      <c r="K41" s="77"/>
      <c r="L41" s="38"/>
      <c r="M41" s="38"/>
      <c r="N41" s="77"/>
      <c r="O41" s="77"/>
      <c r="P41" s="38"/>
      <c r="Q41" s="38" t="s">
        <v>25</v>
      </c>
      <c r="R41" s="77"/>
      <c r="S41" s="64"/>
      <c r="T41" s="77"/>
    </row>
    <row r="42" spans="2:20" ht="60" customHeight="1" x14ac:dyDescent="0.35">
      <c r="B42" s="36" t="s">
        <v>563</v>
      </c>
      <c r="C42" s="75"/>
      <c r="D42" s="76"/>
      <c r="E42" s="76" t="s">
        <v>25</v>
      </c>
      <c r="F42" s="76" t="str">
        <f>IF(E42&lt;&gt;"", IFERROR(VLOOKUP(E42, Dashboard!$B44:$F49, 5, FALSE), ""), "")</f>
        <v/>
      </c>
      <c r="G42" s="77"/>
      <c r="H42" s="64"/>
      <c r="I42" s="64"/>
      <c r="J42" s="77"/>
      <c r="K42" s="77"/>
      <c r="L42" s="38"/>
      <c r="M42" s="38"/>
      <c r="N42" s="77"/>
      <c r="O42" s="77"/>
      <c r="P42" s="38"/>
      <c r="Q42" s="38" t="s">
        <v>25</v>
      </c>
      <c r="R42" s="77"/>
      <c r="S42" s="64"/>
      <c r="T42" s="77"/>
    </row>
    <row r="43" spans="2:20" ht="60" customHeight="1" x14ac:dyDescent="0.35">
      <c r="B43" s="36" t="s">
        <v>564</v>
      </c>
      <c r="C43" s="75"/>
      <c r="D43" s="76"/>
      <c r="E43" s="76" t="s">
        <v>25</v>
      </c>
      <c r="F43" s="76" t="str">
        <f>IF(E43&lt;&gt;"", IFERROR(VLOOKUP(E43, Dashboard!$B44:$F49, 5, FALSE), ""), "")</f>
        <v/>
      </c>
      <c r="G43" s="77"/>
      <c r="H43" s="64"/>
      <c r="I43" s="64"/>
      <c r="J43" s="77"/>
      <c r="K43" s="77"/>
      <c r="L43" s="38"/>
      <c r="M43" s="38"/>
      <c r="N43" s="77"/>
      <c r="O43" s="77"/>
      <c r="P43" s="38"/>
      <c r="Q43" s="38" t="s">
        <v>25</v>
      </c>
      <c r="R43" s="77"/>
      <c r="S43" s="64"/>
      <c r="T43" s="77"/>
    </row>
    <row r="44" spans="2:20" ht="60" customHeight="1" x14ac:dyDescent="0.35">
      <c r="B44" s="36" t="s">
        <v>565</v>
      </c>
      <c r="C44" s="75"/>
      <c r="D44" s="76"/>
      <c r="E44" s="76" t="s">
        <v>25</v>
      </c>
      <c r="F44" s="76" t="str">
        <f>IF(E44&lt;&gt;"", IFERROR(VLOOKUP(E44, Dashboard!$B44:$F49, 5, FALSE), ""), "")</f>
        <v/>
      </c>
      <c r="G44" s="77"/>
      <c r="H44" s="64"/>
      <c r="I44" s="64"/>
      <c r="J44" s="77"/>
      <c r="K44" s="77"/>
      <c r="L44" s="38"/>
      <c r="M44" s="38"/>
      <c r="N44" s="77"/>
      <c r="O44" s="77"/>
      <c r="P44" s="38"/>
      <c r="Q44" s="38" t="s">
        <v>25</v>
      </c>
      <c r="R44" s="77"/>
      <c r="S44" s="64"/>
      <c r="T44" s="77"/>
    </row>
    <row r="45" spans="2:20" ht="60" customHeight="1" x14ac:dyDescent="0.35">
      <c r="B45" s="36" t="s">
        <v>566</v>
      </c>
      <c r="C45" s="75"/>
      <c r="D45" s="76"/>
      <c r="E45" s="76" t="s">
        <v>25</v>
      </c>
      <c r="F45" s="76" t="str">
        <f>IF(E45&lt;&gt;"", IFERROR(VLOOKUP(E45, Dashboard!$B44:$F49, 5, FALSE), ""), "")</f>
        <v/>
      </c>
      <c r="G45" s="77"/>
      <c r="H45" s="64"/>
      <c r="I45" s="64"/>
      <c r="J45" s="77"/>
      <c r="K45" s="77"/>
      <c r="L45" s="38"/>
      <c r="M45" s="38"/>
      <c r="N45" s="77"/>
      <c r="O45" s="77"/>
      <c r="P45" s="38"/>
      <c r="Q45" s="38" t="s">
        <v>25</v>
      </c>
      <c r="R45" s="77"/>
      <c r="S45" s="64"/>
      <c r="T45" s="77"/>
    </row>
    <row r="46" spans="2:20" ht="60" customHeight="1" x14ac:dyDescent="0.35">
      <c r="B46" s="36" t="s">
        <v>567</v>
      </c>
      <c r="C46" s="75"/>
      <c r="D46" s="76"/>
      <c r="E46" s="76" t="s">
        <v>25</v>
      </c>
      <c r="F46" s="76" t="str">
        <f>IF(E46&lt;&gt;"", IFERROR(VLOOKUP(E46, Dashboard!$B44:$F49, 5, FALSE), ""), "")</f>
        <v/>
      </c>
      <c r="G46" s="77"/>
      <c r="H46" s="64"/>
      <c r="I46" s="64"/>
      <c r="J46" s="77"/>
      <c r="K46" s="77"/>
      <c r="L46" s="38"/>
      <c r="M46" s="38"/>
      <c r="N46" s="77"/>
      <c r="O46" s="77"/>
      <c r="P46" s="38"/>
      <c r="Q46" s="38" t="s">
        <v>25</v>
      </c>
      <c r="R46" s="77"/>
      <c r="S46" s="64"/>
      <c r="T46" s="77"/>
    </row>
    <row r="47" spans="2:20" ht="60" customHeight="1" x14ac:dyDescent="0.35">
      <c r="B47" s="36" t="s">
        <v>568</v>
      </c>
      <c r="C47" s="75"/>
      <c r="D47" s="76"/>
      <c r="E47" s="76" t="s">
        <v>25</v>
      </c>
      <c r="F47" s="76" t="str">
        <f>IF(E47&lt;&gt;"", IFERROR(VLOOKUP(E47, Dashboard!$B44:$F49, 5, FALSE), ""), "")</f>
        <v/>
      </c>
      <c r="G47" s="77"/>
      <c r="H47" s="64"/>
      <c r="I47" s="64"/>
      <c r="J47" s="77"/>
      <c r="K47" s="77"/>
      <c r="L47" s="38"/>
      <c r="M47" s="38"/>
      <c r="N47" s="77"/>
      <c r="O47" s="77"/>
      <c r="P47" s="38"/>
      <c r="Q47" s="38" t="s">
        <v>25</v>
      </c>
      <c r="R47" s="77"/>
      <c r="S47" s="64"/>
      <c r="T47" s="77"/>
    </row>
    <row r="48" spans="2:20" ht="60" customHeight="1" x14ac:dyDescent="0.35">
      <c r="B48" s="36" t="s">
        <v>569</v>
      </c>
      <c r="C48" s="75"/>
      <c r="D48" s="76"/>
      <c r="E48" s="76" t="s">
        <v>25</v>
      </c>
      <c r="F48" s="76" t="str">
        <f>IF(E48&lt;&gt;"", IFERROR(VLOOKUP(E48, Dashboard!$B44:$F49, 5, FALSE), ""), "")</f>
        <v/>
      </c>
      <c r="G48" s="77"/>
      <c r="H48" s="64"/>
      <c r="I48" s="64"/>
      <c r="J48" s="77"/>
      <c r="K48" s="77"/>
      <c r="L48" s="38"/>
      <c r="M48" s="38"/>
      <c r="N48" s="77"/>
      <c r="O48" s="77"/>
      <c r="P48" s="38"/>
      <c r="Q48" s="38" t="s">
        <v>25</v>
      </c>
      <c r="R48" s="77"/>
      <c r="S48" s="64"/>
      <c r="T48" s="77"/>
    </row>
    <row r="49" spans="2:20" ht="60" customHeight="1" x14ac:dyDescent="0.35">
      <c r="B49" s="36" t="s">
        <v>570</v>
      </c>
      <c r="C49" s="75"/>
      <c r="D49" s="76"/>
      <c r="E49" s="76" t="s">
        <v>25</v>
      </c>
      <c r="F49" s="76" t="str">
        <f>IF(E49&lt;&gt;"", IFERROR(VLOOKUP(E49, Dashboard!$B44:$F49, 5, FALSE), ""), "")</f>
        <v/>
      </c>
      <c r="G49" s="77"/>
      <c r="H49" s="64"/>
      <c r="I49" s="64"/>
      <c r="J49" s="77"/>
      <c r="K49" s="77"/>
      <c r="L49" s="38"/>
      <c r="M49" s="38"/>
      <c r="N49" s="77"/>
      <c r="O49" s="77"/>
      <c r="P49" s="38"/>
      <c r="Q49" s="38" t="s">
        <v>25</v>
      </c>
      <c r="R49" s="77"/>
      <c r="S49" s="64"/>
      <c r="T49" s="77"/>
    </row>
    <row r="50" spans="2:20" ht="60" customHeight="1" x14ac:dyDescent="0.35">
      <c r="B50" s="36" t="s">
        <v>571</v>
      </c>
      <c r="C50" s="75"/>
      <c r="D50" s="76"/>
      <c r="E50" s="76" t="s">
        <v>25</v>
      </c>
      <c r="F50" s="76" t="str">
        <f>IF(E50&lt;&gt;"", IFERROR(VLOOKUP(E50, Dashboard!$B44:$F49, 5, FALSE), ""), "")</f>
        <v/>
      </c>
      <c r="G50" s="77"/>
      <c r="H50" s="64"/>
      <c r="I50" s="64"/>
      <c r="J50" s="77"/>
      <c r="K50" s="77"/>
      <c r="L50" s="38"/>
      <c r="M50" s="38"/>
      <c r="N50" s="77"/>
      <c r="O50" s="77"/>
      <c r="P50" s="38"/>
      <c r="Q50" s="38" t="s">
        <v>25</v>
      </c>
      <c r="R50" s="77"/>
      <c r="S50" s="64"/>
      <c r="T50" s="77"/>
    </row>
    <row r="51" spans="2:20" ht="60" customHeight="1" x14ac:dyDescent="0.35">
      <c r="B51" s="36" t="s">
        <v>572</v>
      </c>
      <c r="C51" s="75"/>
      <c r="D51" s="76"/>
      <c r="E51" s="76" t="s">
        <v>25</v>
      </c>
      <c r="F51" s="76" t="str">
        <f>IF(E51&lt;&gt;"", IFERROR(VLOOKUP(E51, Dashboard!$B44:$F49, 5, FALSE), ""), "")</f>
        <v/>
      </c>
      <c r="G51" s="77"/>
      <c r="H51" s="64"/>
      <c r="I51" s="64"/>
      <c r="J51" s="77"/>
      <c r="K51" s="77"/>
      <c r="L51" s="38"/>
      <c r="M51" s="38"/>
      <c r="N51" s="77"/>
      <c r="O51" s="77"/>
      <c r="P51" s="38"/>
      <c r="Q51" s="38" t="s">
        <v>25</v>
      </c>
      <c r="R51" s="77"/>
      <c r="S51" s="64"/>
      <c r="T51" s="77"/>
    </row>
    <row r="52" spans="2:20" ht="60" customHeight="1" x14ac:dyDescent="0.35">
      <c r="B52" s="36" t="s">
        <v>573</v>
      </c>
      <c r="C52" s="75"/>
      <c r="D52" s="76"/>
      <c r="E52" s="76" t="s">
        <v>25</v>
      </c>
      <c r="F52" s="76" t="str">
        <f>IF(E52&lt;&gt;"", IFERROR(VLOOKUP(E52, Dashboard!$B44:$F49, 5, FALSE), ""), "")</f>
        <v/>
      </c>
      <c r="G52" s="77"/>
      <c r="H52" s="64"/>
      <c r="I52" s="64"/>
      <c r="J52" s="77"/>
      <c r="K52" s="77"/>
      <c r="L52" s="38"/>
      <c r="M52" s="38"/>
      <c r="N52" s="77"/>
      <c r="O52" s="77"/>
      <c r="P52" s="38"/>
      <c r="Q52" s="38" t="s">
        <v>25</v>
      </c>
      <c r="R52" s="77"/>
      <c r="S52" s="64"/>
      <c r="T52" s="77"/>
    </row>
    <row r="53" spans="2:20" ht="60" customHeight="1" x14ac:dyDescent="0.35">
      <c r="B53" s="36" t="s">
        <v>574</v>
      </c>
      <c r="C53" s="75"/>
      <c r="D53" s="76"/>
      <c r="E53" s="76" t="s">
        <v>25</v>
      </c>
      <c r="F53" s="76" t="str">
        <f>IF(E53&lt;&gt;"", IFERROR(VLOOKUP(E53, Dashboard!$B44:$F49, 5, FALSE), ""), "")</f>
        <v/>
      </c>
      <c r="G53" s="77"/>
      <c r="H53" s="64"/>
      <c r="I53" s="64"/>
      <c r="J53" s="77"/>
      <c r="K53" s="77"/>
      <c r="L53" s="38"/>
      <c r="M53" s="38"/>
      <c r="N53" s="77"/>
      <c r="O53" s="77"/>
      <c r="P53" s="38"/>
      <c r="Q53" s="38" t="s">
        <v>25</v>
      </c>
      <c r="R53" s="77"/>
      <c r="S53" s="64"/>
      <c r="T53" s="77"/>
    </row>
    <row r="54" spans="2:20" ht="60" customHeight="1" x14ac:dyDescent="0.35">
      <c r="B54" s="36" t="s">
        <v>575</v>
      </c>
      <c r="C54" s="75"/>
      <c r="D54" s="76"/>
      <c r="E54" s="76" t="s">
        <v>25</v>
      </c>
      <c r="F54" s="76" t="str">
        <f>IF(E54&lt;&gt;"", IFERROR(VLOOKUP(E54, Dashboard!$B44:$F49, 5, FALSE), ""), "")</f>
        <v/>
      </c>
      <c r="G54" s="77"/>
      <c r="H54" s="64"/>
      <c r="I54" s="64"/>
      <c r="J54" s="77"/>
      <c r="K54" s="77"/>
      <c r="L54" s="38"/>
      <c r="M54" s="38"/>
      <c r="N54" s="77"/>
      <c r="O54" s="77"/>
      <c r="P54" s="38"/>
      <c r="Q54" s="38" t="s">
        <v>25</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357</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Check Point Firewall Benchmark - SHGIR</dc:title>
  <dc:subject>Generated on: 2026-06-08 22:43:47</dc:subject>
  <dc:creator>Anicet Fopa Tchoffo</dc:creator>
  <cp:keywords>Baseline;Hardening;CIS;Benchmark</cp:keywords>
  <dc:description>Baseline Developed By: Center for Internet Security (CIS)</dc:description>
  <cp:lastModifiedBy>Anicet Fopa Tchoffo</cp:lastModifiedBy>
  <dcterms:modified xsi:type="dcterms:W3CDTF">2026-06-08T21:43:55Z</dcterms:modified>
  <cp:category>CIS</cp:category>
  <cp:contentStatus>Draft</cp:contentStatus>
</cp:coreProperties>
</file>