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CIS/"/>
    </mc:Choice>
  </mc:AlternateContent>
  <xr:revisionPtr revIDLastSave="46" documentId="11_15DAF5C3AE10A6F01248D950625530AC4EF07018" xr6:coauthVersionLast="47" xr6:coauthVersionMax="47" xr10:uidLastSave="{2824D24A-98B2-4667-9FEB-BA5A964B279C}"/>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P56" i="1"/>
  <c r="P55" i="1"/>
  <c r="P54" i="1"/>
  <c r="P53" i="1"/>
  <c r="P52" i="1"/>
  <c r="P51" i="1"/>
  <c r="P50" i="1"/>
  <c r="P49" i="1"/>
  <c r="P48" i="1"/>
  <c r="P47" i="1"/>
  <c r="P46" i="1"/>
  <c r="P45" i="1"/>
  <c r="P44" i="1"/>
  <c r="P43" i="1"/>
  <c r="P42" i="1"/>
  <c r="P41" i="1"/>
  <c r="P40" i="1"/>
  <c r="P39" i="1"/>
  <c r="P38" i="1"/>
  <c r="P37" i="1"/>
  <c r="P36" i="1"/>
  <c r="P35" i="1"/>
  <c r="P34" i="1"/>
  <c r="P33" i="1"/>
  <c r="P32" i="1"/>
  <c r="P31" i="1"/>
  <c r="P30" i="1"/>
  <c r="P29" i="1"/>
  <c r="P28" i="1"/>
  <c r="P27" i="1"/>
  <c r="P26" i="1"/>
  <c r="P25" i="1"/>
  <c r="P24" i="1"/>
  <c r="P23" i="1"/>
  <c r="P22" i="1"/>
  <c r="P21" i="1"/>
  <c r="P20" i="1"/>
  <c r="P19" i="1"/>
  <c r="P18" i="1"/>
  <c r="P17" i="1"/>
  <c r="P16" i="1"/>
  <c r="P15" i="1"/>
  <c r="P14" i="1"/>
  <c r="P13" i="1"/>
  <c r="P12" i="1"/>
  <c r="P11" i="1"/>
  <c r="P10" i="1"/>
  <c r="P9" i="1"/>
  <c r="P8" i="1"/>
  <c r="P7" i="1"/>
  <c r="P6" i="1"/>
  <c r="P5" i="1"/>
  <c r="F123" i="3" s="1"/>
  <c r="P4" i="1"/>
  <c r="P3" i="1"/>
  <c r="P2" i="1"/>
  <c r="R198" i="3"/>
  <c r="R197" i="3"/>
  <c r="R196" i="3"/>
  <c r="R195" i="3"/>
  <c r="R194" i="3"/>
  <c r="R193" i="3"/>
  <c r="R192" i="3"/>
  <c r="R191" i="3"/>
  <c r="R190" i="3"/>
  <c r="R189" i="3"/>
  <c r="R188" i="3"/>
  <c r="R187" i="3"/>
  <c r="R186" i="3"/>
  <c r="R185" i="3"/>
  <c r="R184" i="3"/>
  <c r="R183" i="3"/>
  <c r="R182" i="3"/>
  <c r="R181" i="3"/>
  <c r="R180" i="3"/>
  <c r="R179" i="3"/>
  <c r="O123" i="3"/>
  <c r="N123" i="3"/>
  <c r="M123" i="3"/>
  <c r="L123" i="3"/>
  <c r="K123" i="3"/>
  <c r="E123" i="3"/>
  <c r="O122" i="3"/>
  <c r="N122" i="3"/>
  <c r="M122" i="3"/>
  <c r="L122" i="3"/>
  <c r="K122" i="3"/>
  <c r="F122" i="3"/>
  <c r="E122" i="3"/>
  <c r="G122" i="3" s="1"/>
  <c r="O121" i="3"/>
  <c r="N121" i="3"/>
  <c r="M121" i="3"/>
  <c r="L121" i="3"/>
  <c r="K121" i="3"/>
  <c r="F121" i="3"/>
  <c r="E121" i="3"/>
  <c r="G121" i="3" s="1"/>
  <c r="O120" i="3"/>
  <c r="N120" i="3"/>
  <c r="M120" i="3"/>
  <c r="L120" i="3"/>
  <c r="K120" i="3"/>
  <c r="F120" i="3"/>
  <c r="E120" i="3"/>
  <c r="G120" i="3" s="1"/>
  <c r="O119" i="3"/>
  <c r="N119" i="3"/>
  <c r="M119" i="3"/>
  <c r="L119" i="3"/>
  <c r="K119" i="3"/>
  <c r="F119" i="3"/>
  <c r="E119" i="3"/>
  <c r="G119" i="3" s="1"/>
  <c r="O118" i="3"/>
  <c r="N118" i="3"/>
  <c r="M118" i="3"/>
  <c r="L118" i="3"/>
  <c r="K118" i="3"/>
  <c r="F118" i="3"/>
  <c r="E118" i="3"/>
  <c r="G118" i="3" s="1"/>
  <c r="E104" i="3"/>
  <c r="D104" i="3"/>
  <c r="C104" i="3"/>
  <c r="F104" i="3" s="1"/>
  <c r="E103" i="3"/>
  <c r="D103" i="3"/>
  <c r="C103" i="3"/>
  <c r="F103" i="3" s="1"/>
  <c r="E102" i="3"/>
  <c r="D102" i="3"/>
  <c r="C102" i="3"/>
  <c r="F102" i="3" s="1"/>
  <c r="E101" i="3"/>
  <c r="D101" i="3"/>
  <c r="C101" i="3"/>
  <c r="F101" i="3" s="1"/>
  <c r="F84" i="3"/>
  <c r="E92" i="3" s="1"/>
  <c r="E84" i="3"/>
  <c r="D84" i="3"/>
  <c r="C84" i="3"/>
  <c r="F83" i="3"/>
  <c r="E91" i="3" s="1"/>
  <c r="E83" i="3"/>
  <c r="D83" i="3"/>
  <c r="C83" i="3"/>
  <c r="E82" i="3"/>
  <c r="D82" i="3"/>
  <c r="C82" i="3"/>
  <c r="W134" i="3" s="1"/>
  <c r="F81" i="3"/>
  <c r="V162" i="3" s="1"/>
  <c r="E81" i="3"/>
  <c r="D81" i="3"/>
  <c r="C81" i="3"/>
  <c r="U134" i="3" s="1"/>
  <c r="F80" i="3"/>
  <c r="E88" i="3" s="1"/>
  <c r="E80" i="3"/>
  <c r="D80" i="3"/>
  <c r="C80" i="3"/>
  <c r="S134" i="3" s="1"/>
  <c r="E67" i="3"/>
  <c r="D67" i="3"/>
  <c r="C67" i="3"/>
  <c r="F67" i="3" s="1"/>
  <c r="E49" i="3"/>
  <c r="D49" i="3"/>
  <c r="C49" i="3"/>
  <c r="F49" i="3" s="1"/>
  <c r="E48" i="3"/>
  <c r="D48" i="3"/>
  <c r="C48" i="3"/>
  <c r="F48" i="3" s="1"/>
  <c r="E47" i="3"/>
  <c r="D47" i="3"/>
  <c r="C47" i="3"/>
  <c r="F47" i="3" s="1"/>
  <c r="E46" i="3"/>
  <c r="D46" i="3"/>
  <c r="C46" i="3"/>
  <c r="F46" i="3" s="1"/>
  <c r="E45" i="3"/>
  <c r="D45" i="3"/>
  <c r="C45" i="3"/>
  <c r="F45" i="3" s="1"/>
  <c r="E44" i="3"/>
  <c r="D44" i="3"/>
  <c r="C44" i="3"/>
  <c r="F44" i="3" s="1"/>
  <c r="E30" i="3"/>
  <c r="D30" i="3"/>
  <c r="C30" i="3"/>
  <c r="F30" i="3" s="1"/>
  <c r="E29" i="3"/>
  <c r="D29" i="3"/>
  <c r="C29" i="3"/>
  <c r="F29" i="3" s="1"/>
  <c r="E16" i="3"/>
  <c r="D16" i="3"/>
  <c r="C16" i="3"/>
  <c r="F16" i="3" s="1"/>
  <c r="C9" i="3"/>
  <c r="D9" i="3" s="1"/>
  <c r="D8" i="3"/>
  <c r="C8" i="3"/>
  <c r="E71" i="3" l="1"/>
  <c r="D71" i="3"/>
  <c r="C71" i="3"/>
  <c r="E109" i="3"/>
  <c r="D109" i="3"/>
  <c r="C109" i="3"/>
  <c r="E108" i="3"/>
  <c r="D108" i="3"/>
  <c r="C108" i="3"/>
  <c r="G123" i="3"/>
  <c r="C35" i="3"/>
  <c r="D35" i="3"/>
  <c r="E35" i="3"/>
  <c r="E110" i="3"/>
  <c r="D110" i="3"/>
  <c r="C110" i="3"/>
  <c r="E56" i="3"/>
  <c r="C56" i="3"/>
  <c r="D56" i="3"/>
  <c r="E111" i="3"/>
  <c r="D111" i="3"/>
  <c r="C111" i="3"/>
  <c r="D55" i="3"/>
  <c r="C55" i="3"/>
  <c r="E55" i="3"/>
  <c r="R162" i="3"/>
  <c r="R157" i="3"/>
  <c r="R152" i="3"/>
  <c r="R147" i="3"/>
  <c r="R142" i="3"/>
  <c r="R137" i="3"/>
  <c r="E20" i="3"/>
  <c r="D20" i="3"/>
  <c r="R166" i="3"/>
  <c r="R161" i="3"/>
  <c r="R156" i="3"/>
  <c r="R151" i="3"/>
  <c r="R146" i="3"/>
  <c r="R141" i="3"/>
  <c r="R136" i="3"/>
  <c r="C20" i="3"/>
  <c r="R165" i="3"/>
  <c r="R160" i="3"/>
  <c r="R155" i="3"/>
  <c r="R150" i="3"/>
  <c r="R145" i="3"/>
  <c r="R140" i="3"/>
  <c r="R164" i="3"/>
  <c r="R159" i="3"/>
  <c r="R154" i="3"/>
  <c r="R149" i="3"/>
  <c r="R144" i="3"/>
  <c r="R139" i="3"/>
  <c r="R163" i="3"/>
  <c r="R158" i="3"/>
  <c r="R153" i="3"/>
  <c r="R148" i="3"/>
  <c r="R143" i="3"/>
  <c r="R138" i="3"/>
  <c r="C57" i="3"/>
  <c r="D57" i="3"/>
  <c r="E57" i="3"/>
  <c r="E53" i="3"/>
  <c r="D53" i="3"/>
  <c r="C53" i="3"/>
  <c r="E34" i="3"/>
  <c r="D34" i="3"/>
  <c r="C34" i="3"/>
  <c r="E54" i="3"/>
  <c r="D54" i="3"/>
  <c r="C54" i="3"/>
  <c r="E58" i="3"/>
  <c r="D58" i="3"/>
  <c r="C58" i="3"/>
  <c r="C89" i="3"/>
  <c r="D89" i="3"/>
  <c r="T138" i="3"/>
  <c r="T143" i="3"/>
  <c r="T148" i="3"/>
  <c r="T153" i="3"/>
  <c r="T158" i="3"/>
  <c r="T163" i="3"/>
  <c r="C7" i="3"/>
  <c r="D7" i="3" s="1"/>
  <c r="E89" i="3"/>
  <c r="V138" i="3"/>
  <c r="V143" i="3"/>
  <c r="V148" i="3"/>
  <c r="V153" i="3"/>
  <c r="V158" i="3"/>
  <c r="V163" i="3"/>
  <c r="T139" i="3"/>
  <c r="T144" i="3"/>
  <c r="T149" i="3"/>
  <c r="T154" i="3"/>
  <c r="T159" i="3"/>
  <c r="T164" i="3"/>
  <c r="C91" i="3"/>
  <c r="V139" i="3"/>
  <c r="V144" i="3"/>
  <c r="V149" i="3"/>
  <c r="V154" i="3"/>
  <c r="V159" i="3"/>
  <c r="V164" i="3"/>
  <c r="D91" i="3"/>
  <c r="F82" i="3"/>
  <c r="Q134" i="3"/>
  <c r="C92" i="3"/>
  <c r="T140" i="3"/>
  <c r="T145" i="3"/>
  <c r="T150" i="3"/>
  <c r="T155" i="3"/>
  <c r="T160" i="3"/>
  <c r="T165" i="3"/>
  <c r="D92" i="3"/>
  <c r="V140" i="3"/>
  <c r="V145" i="3"/>
  <c r="V150" i="3"/>
  <c r="V155" i="3"/>
  <c r="V160" i="3"/>
  <c r="V165" i="3"/>
  <c r="T136" i="3"/>
  <c r="T141" i="3"/>
  <c r="T146" i="3"/>
  <c r="T151" i="3"/>
  <c r="T156" i="3"/>
  <c r="T161" i="3"/>
  <c r="T166" i="3"/>
  <c r="V136" i="3"/>
  <c r="V141" i="3"/>
  <c r="V146" i="3"/>
  <c r="V151" i="3"/>
  <c r="V156" i="3"/>
  <c r="V161" i="3"/>
  <c r="V166" i="3"/>
  <c r="C88" i="3"/>
  <c r="T137" i="3"/>
  <c r="T142" i="3"/>
  <c r="T147" i="3"/>
  <c r="T152" i="3"/>
  <c r="T157" i="3"/>
  <c r="T162" i="3"/>
  <c r="D88" i="3"/>
  <c r="V137" i="3"/>
  <c r="V142" i="3"/>
  <c r="V147" i="3"/>
  <c r="V152" i="3"/>
  <c r="V157" i="3"/>
  <c r="X162" i="3" l="1"/>
  <c r="X157" i="3"/>
  <c r="X152" i="3"/>
  <c r="X147" i="3"/>
  <c r="X142" i="3"/>
  <c r="X137" i="3"/>
  <c r="D90" i="3"/>
  <c r="X166" i="3"/>
  <c r="X161" i="3"/>
  <c r="X156" i="3"/>
  <c r="X151" i="3"/>
  <c r="X146" i="3"/>
  <c r="X141" i="3"/>
  <c r="X136" i="3"/>
  <c r="X165" i="3"/>
  <c r="X160" i="3"/>
  <c r="X155" i="3"/>
  <c r="X150" i="3"/>
  <c r="X145" i="3"/>
  <c r="X140" i="3"/>
  <c r="X164" i="3"/>
  <c r="X159" i="3"/>
  <c r="X154" i="3"/>
  <c r="X149" i="3"/>
  <c r="X144" i="3"/>
  <c r="X139" i="3"/>
  <c r="E90" i="3"/>
  <c r="X163" i="3"/>
  <c r="X158" i="3"/>
  <c r="X153" i="3"/>
  <c r="X148" i="3"/>
  <c r="X143" i="3"/>
  <c r="X138" i="3"/>
  <c r="C9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11" authorId="0" shapeId="0" xr:uid="{00000000-0006-0000-0400-000001000000}">
      <text>
        <r>
          <rPr>
            <sz val="11"/>
            <rFont val="Calibri"/>
          </rPr>
          <t>Ensure Show All Filename Extensions Setting is Enabled</t>
        </r>
      </text>
    </comment>
    <comment ref="J19" authorId="0" shapeId="0" xr:uid="{00000000-0006-0000-0400-000002000000}">
      <text>
        <r>
          <rPr>
            <sz val="11"/>
            <rFont val="Calibri"/>
          </rPr>
          <t>Ensure Guest Access to Shared Folders Is Disabled</t>
        </r>
      </text>
    </comment>
    <comment ref="K19" authorId="0" shapeId="0" xr:uid="{00000000-0006-0000-0400-000007000000}">
      <text>
        <r>
          <rPr>
            <sz val="11"/>
            <rFont val="Calibri"/>
          </rPr>
          <t>Ensure Access to Audit Records Is Controlled</t>
        </r>
      </text>
    </comment>
    <comment ref="L19" authorId="0" shapeId="0" xr:uid="{00000000-0006-0000-0400-000003000000}">
      <text>
        <r>
          <rPr>
            <sz val="11"/>
            <rFont val="Calibri"/>
          </rPr>
          <t>Ensure Home Folders Are Secure</t>
        </r>
      </text>
    </comment>
    <comment ref="M19" authorId="0" shapeId="0" xr:uid="{00000000-0006-0000-0400-000004000000}">
      <text>
        <r>
          <rPr>
            <sz val="11"/>
            <rFont val="Calibri"/>
          </rPr>
          <t>Ensure Appropriate Permissions Are Enabled for System Wide Applications</t>
        </r>
      </text>
    </comment>
    <comment ref="N19" authorId="0" shapeId="0" xr:uid="{00000000-0006-0000-0400-000005000000}">
      <text>
        <r>
          <rPr>
            <sz val="11"/>
            <rFont val="Calibri"/>
          </rPr>
          <t>Ensure No World Writable Folders Exist in the System Folder</t>
        </r>
      </text>
    </comment>
    <comment ref="O19" authorId="0" shapeId="0" xr:uid="{00000000-0006-0000-0400-000006000000}">
      <text>
        <r>
          <rPr>
            <sz val="11"/>
            <rFont val="Calibri"/>
          </rPr>
          <t>Ensure No World Writable Folders Exist in the Library Folder</t>
        </r>
      </text>
    </comment>
    <comment ref="J32" authorId="0" shapeId="0" xr:uid="{00000000-0006-0000-0400-000008000000}">
      <text>
        <r>
          <rPr>
            <sz val="11"/>
            <rFont val="Calibri"/>
          </rPr>
          <t>Ensure a Custom Message for the Login Screen Is Enabled</t>
        </r>
      </text>
    </comment>
    <comment ref="K32" authorId="0" shapeId="0" xr:uid="{00000000-0006-0000-0400-00000A000000}">
      <text>
        <r>
          <rPr>
            <sz val="11"/>
            <rFont val="Calibri"/>
          </rPr>
          <t>Ensure Login Window Displays as Name and Password Is Enabled</t>
        </r>
      </text>
    </comment>
    <comment ref="L32" authorId="0" shapeId="0" xr:uid="{00000000-0006-0000-0400-00000B000000}">
      <text>
        <r>
          <rPr>
            <sz val="11"/>
            <rFont val="Calibri"/>
          </rPr>
          <t>Ensure Show Password Hints Is Disabled</t>
        </r>
      </text>
    </comment>
    <comment ref="M32" authorId="0" shapeId="0" xr:uid="{00000000-0006-0000-0400-00000C000000}">
      <text>
        <r>
          <rPr>
            <sz val="11"/>
            <rFont val="Calibri"/>
          </rPr>
          <t>Ensure Automatic Login Is Disabled</t>
        </r>
      </text>
    </comment>
    <comment ref="N32" authorId="0" shapeId="0" xr:uid="{00000000-0006-0000-0400-00000D000000}">
      <text>
        <r>
          <rPr>
            <sz val="11"/>
            <rFont val="Calibri"/>
          </rPr>
          <t>Ensure a Login Window Banner Exists</t>
        </r>
      </text>
    </comment>
    <comment ref="O32" authorId="0" shapeId="0" xr:uid="{00000000-0006-0000-0400-00000E000000}">
      <text>
        <r>
          <rPr>
            <sz val="11"/>
            <rFont val="Calibri"/>
          </rPr>
          <t>Ensure the Guest Home Folder Does Not Exist</t>
        </r>
      </text>
    </comment>
    <comment ref="P32" authorId="0" shapeId="0" xr:uid="{00000000-0006-0000-0400-000009000000}">
      <text>
        <r>
          <rPr>
            <sz val="11"/>
            <rFont val="Calibri"/>
          </rPr>
          <t>Ensure Secure Keyboard Entry Terminal.app Is Enabled</t>
        </r>
      </text>
    </comment>
    <comment ref="J34" authorId="0" shapeId="0" xr:uid="{00000000-0006-0000-0400-00000F000000}">
      <text>
        <r>
          <rPr>
            <sz val="11"/>
            <rFont val="Calibri"/>
          </rPr>
          <t>Ensure an Inactivity Interval of 20 Minutes Or Less for the Screen Saver Is Enabled</t>
        </r>
      </text>
    </comment>
    <comment ref="K34" authorId="0" shapeId="0" xr:uid="{00000000-0006-0000-0400-000010000000}">
      <text>
        <r>
          <rPr>
            <sz val="11"/>
            <rFont val="Calibri"/>
          </rPr>
          <t>Ensure Require Password After Screen Saver Begins or Display Is Turned Off Is Enabled for 5 Seconds or Immediately</t>
        </r>
      </text>
    </comment>
    <comment ref="L34" authorId="0" shapeId="0" xr:uid="{00000000-0006-0000-0400-000011000000}">
      <text>
        <r>
          <rPr>
            <sz val="11"/>
            <rFont val="Calibri"/>
          </rPr>
          <t>Ensure the Sudo Timeout Period Is Set to Zero</t>
        </r>
      </text>
    </comment>
    <comment ref="M34" authorId="0" shapeId="0" xr:uid="{00000000-0006-0000-0400-000012000000}">
      <text>
        <r>
          <rPr>
            <sz val="11"/>
            <rFont val="Calibri"/>
          </rPr>
          <t>Ensure a Separate Timestamp Is Enabled for Each User/tty Combo</t>
        </r>
      </text>
    </comment>
    <comment ref="N34" authorId="0" shapeId="0" xr:uid="{00000000-0006-0000-0400-000013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36" authorId="0" shapeId="0" xr:uid="{00000000-0006-0000-0400-000014000000}">
      <text>
        <r>
          <rPr>
            <sz val="11"/>
            <rFont val="Calibri"/>
          </rPr>
          <t>Ensure Firewall Is Enabled</t>
        </r>
      </text>
    </comment>
    <comment ref="J38" authorId="0" shapeId="0" xr:uid="{00000000-0006-0000-0400-000015000000}">
      <text>
        <r>
          <rPr>
            <sz val="11"/>
            <rFont val="Calibri"/>
          </rPr>
          <t>Ensure Require Password After Screen Saver Begins or Display Is Turned Off Is Enabled for 5 Seconds or Immediately</t>
        </r>
      </text>
    </comment>
    <comment ref="K38" authorId="0" shapeId="0" xr:uid="{00000000-0006-0000-0400-000016000000}">
      <text>
        <r>
          <rPr>
            <sz val="11"/>
            <rFont val="Calibri"/>
          </rPr>
          <t>Ensure Guest Account Is Disabled</t>
        </r>
      </text>
    </comment>
    <comment ref="L38" authorId="0" shapeId="0" xr:uid="{00000000-0006-0000-0400-000017000000}">
      <text>
        <r>
          <rPr>
            <sz val="11"/>
            <rFont val="Calibri"/>
          </rPr>
          <t>Ensure Guest Access to Shared Folders Is Disabled</t>
        </r>
      </text>
    </comment>
    <comment ref="M38" authorId="0" shapeId="0" xr:uid="{00000000-0006-0000-0400-000018000000}">
      <text>
        <r>
          <rPr>
            <sz val="11"/>
            <rFont val="Calibri"/>
          </rPr>
          <t>Ensure Automatic Login Is Disabled</t>
        </r>
      </text>
    </comment>
    <comment ref="N38" authorId="0" shapeId="0" xr:uid="{00000000-0006-0000-0400-000019000000}">
      <text>
        <r>
          <rPr>
            <sz val="11"/>
            <rFont val="Calibri"/>
          </rPr>
          <t>Ensure the Guest Home Folder Does Not Exist</t>
        </r>
      </text>
    </comment>
    <comment ref="J39" authorId="0" shapeId="0" xr:uid="{00000000-0006-0000-0400-00001A000000}">
      <text>
        <r>
          <rPr>
            <sz val="11"/>
            <rFont val="Calibri"/>
          </rPr>
          <t>Ensure Remote Apple Events Is Disabled</t>
        </r>
      </text>
    </comment>
    <comment ref="K39" authorId="0" shapeId="0" xr:uid="{00000000-0006-0000-0400-00001C000000}">
      <text>
        <r>
          <rPr>
            <sz val="11"/>
            <rFont val="Calibri"/>
          </rPr>
          <t>Ensure Content Caching Is Disabled</t>
        </r>
      </text>
    </comment>
    <comment ref="L39" authorId="0" shapeId="0" xr:uid="{00000000-0006-0000-0400-00001D000000}">
      <text>
        <r>
          <rPr>
            <sz val="11"/>
            <rFont val="Calibri"/>
          </rPr>
          <t>Ensure Sending Diagnostic and Usage Data to Apple Is Disabled</t>
        </r>
      </text>
    </comment>
    <comment ref="M39" authorId="0" shapeId="0" xr:uid="{00000000-0006-0000-0400-00001E000000}">
      <text>
        <r>
          <rPr>
            <sz val="11"/>
            <rFont val="Calibri"/>
          </rPr>
          <t>Ensure Limit Ad Tracking Is Enabled</t>
        </r>
      </text>
    </comment>
    <comment ref="N39" authorId="0" shapeId="0" xr:uid="{00000000-0006-0000-0400-00001F000000}">
      <text>
        <r>
          <rPr>
            <sz val="11"/>
            <rFont val="Calibri"/>
          </rPr>
          <t>Ensure Bonjour Advertising Services Is Disabled</t>
        </r>
      </text>
    </comment>
    <comment ref="O39" authorId="0" shapeId="0" xr:uid="{00000000-0006-0000-0400-000020000000}">
      <text>
        <r>
          <rPr>
            <sz val="11"/>
            <rFont val="Calibri"/>
          </rPr>
          <t>Ensure HTTP Server Is Disabled</t>
        </r>
      </text>
    </comment>
    <comment ref="P39" authorId="0" shapeId="0" xr:uid="{00000000-0006-0000-0400-000021000000}">
      <text>
        <r>
          <rPr>
            <sz val="11"/>
            <rFont val="Calibri"/>
          </rPr>
          <t>Ensure NFS Server Is Disabled</t>
        </r>
      </text>
    </comment>
    <comment ref="Q39" authorId="0" shapeId="0" xr:uid="{00000000-0006-0000-0400-00001B000000}">
      <text>
        <r>
          <rPr>
            <sz val="11"/>
            <rFont val="Calibri"/>
          </rPr>
          <t>Ensure Secure Keyboard Entry Terminal.app Is Enabled</t>
        </r>
      </text>
    </comment>
    <comment ref="J46" authorId="0" shapeId="0" xr:uid="{00000000-0006-0000-0400-000022000000}">
      <text>
        <r>
          <rPr>
            <sz val="11"/>
            <rFont val="Calibri"/>
          </rPr>
          <t>Ensure Login Window Displays as Name and Password Is Enabled</t>
        </r>
      </text>
    </comment>
    <comment ref="K46" authorId="0" shapeId="0" xr:uid="{00000000-0006-0000-0400-000026000000}">
      <text>
        <r>
          <rPr>
            <sz val="11"/>
            <rFont val="Calibri"/>
          </rPr>
          <t>Ensure Show Password Hints Is Disabled</t>
        </r>
      </text>
    </comment>
    <comment ref="L46" authorId="0" shapeId="0" xr:uid="{00000000-0006-0000-0400-000027000000}">
      <text>
        <r>
          <rPr>
            <sz val="11"/>
            <rFont val="Calibri"/>
          </rPr>
          <t>Ensure Users</t>
        </r>
        <r>
          <rPr>
            <sz val="11"/>
            <color rgb="FF000000"/>
            <rFont val="Calibri"/>
          </rPr>
          <t>'</t>
        </r>
        <r>
          <rPr>
            <sz val="11"/>
            <color rgb="FF000000"/>
            <rFont val="Calibri"/>
          </rPr>
          <t xml:space="preserve"> Accounts Do Not Have a Password Hint</t>
        </r>
      </text>
    </comment>
    <comment ref="M46" authorId="0" shapeId="0" xr:uid="{00000000-0006-0000-0400-000028000000}">
      <text>
        <r>
          <rPr>
            <sz val="11"/>
            <rFont val="Calibri"/>
          </rPr>
          <t>Ensure Password Account Lockout Threshold Is Configured</t>
        </r>
      </text>
    </comment>
    <comment ref="N46" authorId="0" shapeId="0" xr:uid="{00000000-0006-0000-0400-000029000000}">
      <text>
        <r>
          <rPr>
            <sz val="11"/>
            <rFont val="Calibri"/>
          </rPr>
          <t>Ensure Password Minimum Length Is Configured</t>
        </r>
      </text>
    </comment>
    <comment ref="O46" authorId="0" shapeId="0" xr:uid="{00000000-0006-0000-0400-00002A000000}">
      <text>
        <r>
          <rPr>
            <sz val="11"/>
            <rFont val="Calibri"/>
          </rPr>
          <t>Ensure Complex Password Must Contain Alphabetic Characters Is Configured</t>
        </r>
      </text>
    </comment>
    <comment ref="P46" authorId="0" shapeId="0" xr:uid="{00000000-0006-0000-0400-00002B000000}">
      <text>
        <r>
          <rPr>
            <sz val="11"/>
            <rFont val="Calibri"/>
          </rPr>
          <t>Ensure Complex Password Must Contain Numeric Character Is Configured</t>
        </r>
      </text>
    </comment>
    <comment ref="Q46" authorId="0" shapeId="0" xr:uid="{00000000-0006-0000-0400-00002C000000}">
      <text>
        <r>
          <rPr>
            <sz val="11"/>
            <rFont val="Calibri"/>
          </rPr>
          <t>Ensure Complex Password Must Contain Special Character Is Configured</t>
        </r>
      </text>
    </comment>
    <comment ref="R46" authorId="0" shapeId="0" xr:uid="{00000000-0006-0000-0400-000023000000}">
      <text>
        <r>
          <rPr>
            <sz val="11"/>
            <rFont val="Calibri"/>
          </rPr>
          <t>Ensure Complex Password Must Contain Uppercase and Lowercase Characters Is Configured</t>
        </r>
      </text>
    </comment>
    <comment ref="S46" authorId="0" shapeId="0" xr:uid="{00000000-0006-0000-0400-000024000000}">
      <text>
        <r>
          <rPr>
            <sz val="11"/>
            <rFont val="Calibri"/>
          </rPr>
          <t>Ensure Password Age Is Configured</t>
        </r>
      </text>
    </comment>
    <comment ref="T46" authorId="0" shapeId="0" xr:uid="{00000000-0006-0000-0400-000025000000}">
      <text>
        <r>
          <rPr>
            <sz val="11"/>
            <rFont val="Calibri"/>
          </rPr>
          <t>Ensure Password History Is Configured</t>
        </r>
      </text>
    </comment>
    <comment ref="J47" authorId="0" shapeId="0" xr:uid="{00000000-0006-0000-0400-00002D000000}">
      <text>
        <r>
          <rPr>
            <sz val="11"/>
            <rFont val="Calibri"/>
          </rPr>
          <t>Ensure Password Age Is Configured</t>
        </r>
      </text>
    </comment>
    <comment ref="J48" authorId="0" shapeId="0" xr:uid="{00000000-0006-0000-0400-00002E000000}">
      <text>
        <r>
          <rPr>
            <sz val="11"/>
            <rFont val="Calibri"/>
          </rPr>
          <t>Ensure the Sudo Timeout Period Is Set to Zero</t>
        </r>
      </text>
    </comment>
    <comment ref="K48" authorId="0" shapeId="0" xr:uid="{00000000-0006-0000-0400-00002F000000}">
      <text>
        <r>
          <rPr>
            <sz val="11"/>
            <rFont val="Calibri"/>
          </rPr>
          <t>Ensure a Separate Timestamp Is Enabled for Each User/tty Combo</t>
        </r>
      </text>
    </comment>
    <comment ref="L48" authorId="0" shapeId="0" xr:uid="{00000000-0006-0000-0400-000030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48" authorId="0" shapeId="0" xr:uid="{00000000-0006-0000-0400-000031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53" authorId="0" shapeId="0" xr:uid="{00000000-0006-0000-0400-000032000000}">
      <text>
        <r>
          <rPr>
            <sz val="11"/>
            <rFont val="Calibri"/>
          </rPr>
          <t>Ensure Password Account Lockout Threshold Is Configured</t>
        </r>
      </text>
    </comment>
    <comment ref="J63" authorId="0" shapeId="0" xr:uid="{00000000-0006-0000-0400-000033000000}">
      <text>
        <r>
          <rPr>
            <sz val="11"/>
            <rFont val="Calibri"/>
          </rPr>
          <t>Ensure Auto Update Is Enabled</t>
        </r>
      </text>
    </comment>
    <comment ref="K63" authorId="0" shapeId="0" xr:uid="{00000000-0006-0000-0400-000034000000}">
      <text>
        <r>
          <rPr>
            <sz val="11"/>
            <rFont val="Calibri"/>
          </rPr>
          <t>Ensure Download New Updates When Available Is Enabled</t>
        </r>
      </text>
    </comment>
    <comment ref="L63" authorId="0" shapeId="0" xr:uid="{00000000-0006-0000-0400-000035000000}">
      <text>
        <r>
          <rPr>
            <sz val="11"/>
            <rFont val="Calibri"/>
          </rPr>
          <t>Ensure Install Application Updates from the App Store Is Enabled</t>
        </r>
      </text>
    </comment>
    <comment ref="J64" authorId="0" shapeId="0" xr:uid="{00000000-0006-0000-0400-000036000000}">
      <text>
        <r>
          <rPr>
            <sz val="11"/>
            <rFont val="Calibri"/>
          </rPr>
          <t>Ensure Install Security Responses and System Files Is Enabled</t>
        </r>
      </text>
    </comment>
    <comment ref="J70" authorId="0" shapeId="0" xr:uid="{00000000-0006-0000-0400-000037000000}">
      <text>
        <r>
          <rPr>
            <sz val="11"/>
            <rFont val="Calibri"/>
          </rPr>
          <t>Ensure Security Auditing Is Enabled</t>
        </r>
      </text>
    </comment>
    <comment ref="K70" authorId="0" shapeId="0" xr:uid="{00000000-0006-0000-0400-000038000000}">
      <text>
        <r>
          <rPr>
            <sz val="11"/>
            <rFont val="Calibri"/>
          </rPr>
          <t>Ensure Firewall Logging Is Enabled and Configured</t>
        </r>
      </text>
    </comment>
    <comment ref="J72" authorId="0" shapeId="0" xr:uid="{00000000-0006-0000-0400-000039000000}">
      <text>
        <r>
          <rPr>
            <sz val="11"/>
            <rFont val="Calibri"/>
          </rPr>
          <t>Ensure Set Time and Date Automatically Is Enabled</t>
        </r>
      </text>
    </comment>
    <comment ref="K72" authorId="0" shapeId="0" xr:uid="{00000000-0006-0000-0400-00003A000000}">
      <text>
        <r>
          <rPr>
            <sz val="11"/>
            <rFont val="Calibri"/>
          </rPr>
          <t>Ensure the Time Service Is Enabled</t>
        </r>
      </text>
    </comment>
    <comment ref="J90" authorId="0" shapeId="0" xr:uid="{00000000-0006-0000-0400-00003B000000}">
      <text>
        <r>
          <rPr>
            <sz val="11"/>
            <rFont val="Calibri"/>
          </rPr>
          <t>Ensure Apple Mobile File Integrity (AMFI) Is Enabled</t>
        </r>
      </text>
    </comment>
    <comment ref="J94" authorId="0" shapeId="0" xr:uid="{00000000-0006-0000-0400-00003C000000}">
      <text>
        <r>
          <rPr>
            <sz val="11"/>
            <rFont val="Calibri"/>
          </rPr>
          <t>Ensure Signed System Volume (SSV) Is Enabled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Ensure Password Account Lockout Threshold Is Configured</t>
        </r>
      </text>
    </comment>
    <comment ref="H4" authorId="0" shapeId="0" xr:uid="{00000000-0006-0000-0500-000002000000}">
      <text>
        <r>
          <rPr>
            <sz val="11"/>
            <rFont val="Calibri"/>
          </rPr>
          <t>Ensure XProtect Is Running and Updated</t>
        </r>
      </text>
    </comment>
    <comment ref="H9" authorId="0" shapeId="0" xr:uid="{00000000-0006-0000-0500-000003000000}">
      <text>
        <r>
          <rPr>
            <sz val="11"/>
            <rFont val="Calibri"/>
          </rPr>
          <t>Ensure Signed System Volume (SSV) Is Enabled</t>
        </r>
      </text>
    </comment>
    <comment ref="H10" authorId="0" shapeId="0" xr:uid="{00000000-0006-0000-0500-000004000000}">
      <text>
        <r>
          <rPr>
            <sz val="11"/>
            <rFont val="Calibri"/>
          </rPr>
          <t>Ensure Gatekeeper Is Enabled</t>
        </r>
      </text>
    </comment>
    <comment ref="I10" authorId="0" shapeId="0" xr:uid="{00000000-0006-0000-0500-000005000000}">
      <text>
        <r>
          <rPr>
            <sz val="11"/>
            <rFont val="Calibri"/>
          </rPr>
          <t>Ensure Apple Mobile File Integrity (AMFI) Is Enabled</t>
        </r>
      </text>
    </comment>
    <comment ref="H14" authorId="0" shapeId="0" xr:uid="{00000000-0006-0000-0500-000006000000}">
      <text>
        <r>
          <rPr>
            <sz val="11"/>
            <rFont val="Calibri"/>
          </rPr>
          <t>Ensure Remote Apple Events Is Disabled</t>
        </r>
      </text>
    </comment>
    <comment ref="I14" authorId="0" shapeId="0" xr:uid="{00000000-0006-0000-0500-00000A000000}">
      <text>
        <r>
          <rPr>
            <sz val="11"/>
            <rFont val="Calibri"/>
          </rPr>
          <t>Ensure Content Caching Is Disabled</t>
        </r>
      </text>
    </comment>
    <comment ref="J14" authorId="0" shapeId="0" xr:uid="{00000000-0006-0000-0500-000007000000}">
      <text>
        <r>
          <rPr>
            <sz val="11"/>
            <rFont val="Calibri"/>
          </rPr>
          <t>Ensure Bonjour Advertising Services Is Disabled</t>
        </r>
      </text>
    </comment>
    <comment ref="K14" authorId="0" shapeId="0" xr:uid="{00000000-0006-0000-0500-000008000000}">
      <text>
        <r>
          <rPr>
            <sz val="11"/>
            <rFont val="Calibri"/>
          </rPr>
          <t>Ensure HTTP Server Is Disabled</t>
        </r>
      </text>
    </comment>
    <comment ref="L14" authorId="0" shapeId="0" xr:uid="{00000000-0006-0000-0500-000009000000}">
      <text>
        <r>
          <rPr>
            <sz val="11"/>
            <rFont val="Calibri"/>
          </rPr>
          <t>Ensure NFS Server Is Disabled</t>
        </r>
      </text>
    </comment>
    <comment ref="H18" authorId="0" shapeId="0" xr:uid="{00000000-0006-0000-0500-00000B000000}">
      <text>
        <r>
          <rPr>
            <sz val="11"/>
            <rFont val="Calibri"/>
          </rPr>
          <t>Ensure Gatekeeper Is Enabled</t>
        </r>
      </text>
    </comment>
    <comment ref="H20" authorId="0" shapeId="0" xr:uid="{00000000-0006-0000-0500-00000C000000}">
      <text>
        <r>
          <rPr>
            <sz val="11"/>
            <rFont val="Calibri"/>
          </rPr>
          <t>Ensure Firewall Is Enabled</t>
        </r>
      </text>
    </comment>
    <comment ref="H29" authorId="0" shapeId="0" xr:uid="{00000000-0006-0000-0500-00000D000000}">
      <text>
        <r>
          <rPr>
            <sz val="11"/>
            <rFont val="Calibri"/>
          </rPr>
          <t>Ensure Password Minimum Length Is Configured</t>
        </r>
      </text>
    </comment>
    <comment ref="I29" authorId="0" shapeId="0" xr:uid="{00000000-0006-0000-0500-000010000000}">
      <text>
        <r>
          <rPr>
            <sz val="11"/>
            <rFont val="Calibri"/>
          </rPr>
          <t>Ensure Complex Password Must Contain Alphabetic Characters Is Configured</t>
        </r>
      </text>
    </comment>
    <comment ref="J29" authorId="0" shapeId="0" xr:uid="{00000000-0006-0000-0500-000011000000}">
      <text>
        <r>
          <rPr>
            <sz val="11"/>
            <rFont val="Calibri"/>
          </rPr>
          <t>Ensure Complex Password Must Contain Numeric Character Is Configured</t>
        </r>
      </text>
    </comment>
    <comment ref="K29" authorId="0" shapeId="0" xr:uid="{00000000-0006-0000-0500-000012000000}">
      <text>
        <r>
          <rPr>
            <sz val="11"/>
            <rFont val="Calibri"/>
          </rPr>
          <t>Ensure Complex Password Must Contain Special Character Is Configured</t>
        </r>
      </text>
    </comment>
    <comment ref="L29" authorId="0" shapeId="0" xr:uid="{00000000-0006-0000-0500-000013000000}">
      <text>
        <r>
          <rPr>
            <sz val="11"/>
            <rFont val="Calibri"/>
          </rPr>
          <t>Ensure Complex Password Must Contain Uppercase and Lowercase Characters Is Configured</t>
        </r>
      </text>
    </comment>
    <comment ref="M29" authorId="0" shapeId="0" xr:uid="{00000000-0006-0000-0500-00000E000000}">
      <text>
        <r>
          <rPr>
            <sz val="11"/>
            <rFont val="Calibri"/>
          </rPr>
          <t>Ensure Password Age Is Configured</t>
        </r>
      </text>
    </comment>
    <comment ref="N29" authorId="0" shapeId="0" xr:uid="{00000000-0006-0000-0500-00000F000000}">
      <text>
        <r>
          <rPr>
            <sz val="11"/>
            <rFont val="Calibri"/>
          </rPr>
          <t>Ensure Password History Is Configured</t>
        </r>
      </text>
    </comment>
    <comment ref="H31" authorId="0" shapeId="0" xr:uid="{00000000-0006-0000-0500-000014000000}">
      <text>
        <r>
          <rPr>
            <sz val="11"/>
            <rFont val="Calibri"/>
          </rPr>
          <t>Ensure Guest Account Is Disabled</t>
        </r>
      </text>
    </comment>
    <comment ref="I31" authorId="0" shapeId="0" xr:uid="{00000000-0006-0000-0500-000015000000}">
      <text>
        <r>
          <rPr>
            <sz val="11"/>
            <rFont val="Calibri"/>
          </rPr>
          <t>Ensure Guest Access to Shared Folders Is Disabled</t>
        </r>
      </text>
    </comment>
    <comment ref="J31" authorId="0" shapeId="0" xr:uid="{00000000-0006-0000-0500-000016000000}">
      <text>
        <r>
          <rPr>
            <sz val="11"/>
            <rFont val="Calibri"/>
          </rPr>
          <t>Ensure the Sudo Timeout Period Is Set to Zero</t>
        </r>
      </text>
    </comment>
    <comment ref="K31" authorId="0" shapeId="0" xr:uid="{00000000-0006-0000-0500-000017000000}">
      <text>
        <r>
          <rPr>
            <sz val="11"/>
            <rFont val="Calibri"/>
          </rPr>
          <t>Ensure a Separate Timestamp Is Enabled for Each User/tty Combo</t>
        </r>
      </text>
    </comment>
    <comment ref="L31" authorId="0" shapeId="0" xr:uid="{00000000-0006-0000-0500-00001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31" authorId="0" shapeId="0" xr:uid="{00000000-0006-0000-0500-000019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N31" authorId="0" shapeId="0" xr:uid="{00000000-0006-0000-0500-00001A000000}">
      <text>
        <r>
          <rPr>
            <sz val="11"/>
            <rFont val="Calibri"/>
          </rPr>
          <t>Ensure the Guest Home Folder Does Not Exist</t>
        </r>
      </text>
    </comment>
    <comment ref="H32" authorId="0" shapeId="0" xr:uid="{00000000-0006-0000-0500-00001B000000}">
      <text>
        <r>
          <rPr>
            <sz val="11"/>
            <rFont val="Calibri"/>
          </rPr>
          <t>Ensure Secure Keyboard Entry Terminal.app Is Enabled</t>
        </r>
      </text>
    </comment>
    <comment ref="H34" authorId="0" shapeId="0" xr:uid="{00000000-0006-0000-0500-00001C000000}">
      <text>
        <r>
          <rPr>
            <sz val="11"/>
            <rFont val="Calibri"/>
          </rPr>
          <t>Ensure Home Folders Are Secure</t>
        </r>
      </text>
    </comment>
    <comment ref="I34" authorId="0" shapeId="0" xr:uid="{00000000-0006-0000-0500-00001D000000}">
      <text>
        <r>
          <rPr>
            <sz val="11"/>
            <rFont val="Calibri"/>
          </rPr>
          <t>Ensure Appropriate Permissions Are Enabled for System Wide Applications</t>
        </r>
      </text>
    </comment>
    <comment ref="J34" authorId="0" shapeId="0" xr:uid="{00000000-0006-0000-0500-00001E000000}">
      <text>
        <r>
          <rPr>
            <sz val="11"/>
            <rFont val="Calibri"/>
          </rPr>
          <t>Ensure No World Writable Folders Exist in the System Folder</t>
        </r>
      </text>
    </comment>
    <comment ref="K34" authorId="0" shapeId="0" xr:uid="{00000000-0006-0000-0500-00001F000000}">
      <text>
        <r>
          <rPr>
            <sz val="11"/>
            <rFont val="Calibri"/>
          </rPr>
          <t>Ensure No World Writable Folders Exist in the Library Folder</t>
        </r>
      </text>
    </comment>
    <comment ref="H41" authorId="0" shapeId="0" xr:uid="{00000000-0006-0000-0500-000020000000}">
      <text>
        <r>
          <rPr>
            <sz val="11"/>
            <rFont val="Calibri"/>
          </rPr>
          <t>Ensure All Apple-provided Software Is Current</t>
        </r>
      </text>
    </comment>
    <comment ref="I41" authorId="0" shapeId="0" xr:uid="{00000000-0006-0000-0500-000021000000}">
      <text>
        <r>
          <rPr>
            <sz val="11"/>
            <rFont val="Calibri"/>
          </rPr>
          <t>Ensure Auto Update Is Enabled</t>
        </r>
      </text>
    </comment>
    <comment ref="J41" authorId="0" shapeId="0" xr:uid="{00000000-0006-0000-0500-000022000000}">
      <text>
        <r>
          <rPr>
            <sz val="11"/>
            <rFont val="Calibri"/>
          </rPr>
          <t>Ensure Download New Updates When Available Is Enabled</t>
        </r>
      </text>
    </comment>
    <comment ref="K41" authorId="0" shapeId="0" xr:uid="{00000000-0006-0000-0500-000023000000}">
      <text>
        <r>
          <rPr>
            <sz val="11"/>
            <rFont val="Calibri"/>
          </rPr>
          <t>Ensure Install of macOS Updates Is Enabled</t>
        </r>
      </text>
    </comment>
    <comment ref="L41" authorId="0" shapeId="0" xr:uid="{00000000-0006-0000-0500-000024000000}">
      <text>
        <r>
          <rPr>
            <sz val="11"/>
            <rFont val="Calibri"/>
          </rPr>
          <t>Ensure Install Application Updates from the App Store Is Enabled</t>
        </r>
      </text>
    </comment>
    <comment ref="M41" authorId="0" shapeId="0" xr:uid="{00000000-0006-0000-0500-000025000000}">
      <text>
        <r>
          <rPr>
            <sz val="11"/>
            <rFont val="Calibri"/>
          </rPr>
          <t>Ensure Install Security Responses and System Files Is Enabled</t>
        </r>
      </text>
    </comment>
    <comment ref="H43" authorId="0" shapeId="0" xr:uid="{00000000-0006-0000-0500-000026000000}">
      <text>
        <r>
          <rPr>
            <sz val="11"/>
            <rFont val="Calibri"/>
          </rPr>
          <t>Ensure Automatic Login Is Disabled</t>
        </r>
      </text>
    </comment>
    <comment ref="I43" authorId="0" shapeId="0" xr:uid="{00000000-0006-0000-0500-000027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 authorId="0" shapeId="0" xr:uid="{00000000-0006-0000-0600-000001000000}">
      <text>
        <r>
          <rPr>
            <sz val="11"/>
            <rFont val="Calibri"/>
          </rPr>
          <t>Ensure Guest Account Is Disabled</t>
        </r>
      </text>
    </comment>
    <comment ref="K3" authorId="0" shapeId="0" xr:uid="{00000000-0006-0000-0600-000005000000}">
      <text>
        <r>
          <rPr>
            <sz val="11"/>
            <rFont val="Calibri"/>
          </rPr>
          <t>Ensure Guest Access to Shared Folders Is Disabled</t>
        </r>
      </text>
    </comment>
    <comment ref="L3" authorId="0" shapeId="0" xr:uid="{00000000-0006-0000-0600-000002000000}">
      <text>
        <r>
          <rPr>
            <sz val="11"/>
            <rFont val="Calibri"/>
          </rPr>
          <t>Ensure Automatic Login Is Disabled</t>
        </r>
      </text>
    </comment>
    <comment ref="M3" authorId="0" shapeId="0" xr:uid="{00000000-0006-0000-0600-000003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N3" authorId="0" shapeId="0" xr:uid="{00000000-0006-0000-0600-000004000000}">
      <text>
        <r>
          <rPr>
            <sz val="11"/>
            <rFont val="Calibri"/>
          </rPr>
          <t>Ensure the Guest Home Folder Does Not Exist</t>
        </r>
      </text>
    </comment>
    <comment ref="J4" authorId="0" shapeId="0" xr:uid="{00000000-0006-0000-0600-000006000000}">
      <text>
        <r>
          <rPr>
            <sz val="11"/>
            <rFont val="Calibri"/>
          </rPr>
          <t>Ensure Access to Audit Records Is Controlled</t>
        </r>
      </text>
    </comment>
    <comment ref="K4" authorId="0" shapeId="0" xr:uid="{00000000-0006-0000-0600-000007000000}">
      <text>
        <r>
          <rPr>
            <sz val="11"/>
            <rFont val="Calibri"/>
          </rPr>
          <t>Ensure Home Folders Are Secure</t>
        </r>
      </text>
    </comment>
    <comment ref="L4" authorId="0" shapeId="0" xr:uid="{00000000-0006-0000-0600-000008000000}">
      <text>
        <r>
          <rPr>
            <sz val="11"/>
            <rFont val="Calibri"/>
          </rPr>
          <t>Ensure Appropriate Permissions Are Enabled for System Wide Applications</t>
        </r>
      </text>
    </comment>
    <comment ref="M4" authorId="0" shapeId="0" xr:uid="{00000000-0006-0000-0600-000009000000}">
      <text>
        <r>
          <rPr>
            <sz val="11"/>
            <rFont val="Calibri"/>
          </rPr>
          <t>Ensure No World Writable Folders Exist in the System Folder</t>
        </r>
      </text>
    </comment>
    <comment ref="N4" authorId="0" shapeId="0" xr:uid="{00000000-0006-0000-0600-00000A000000}">
      <text>
        <r>
          <rPr>
            <sz val="11"/>
            <rFont val="Calibri"/>
          </rPr>
          <t>Ensure No World Writable Folders Exist in the Library Folder</t>
        </r>
      </text>
    </comment>
    <comment ref="J6" authorId="0" shapeId="0" xr:uid="{00000000-0006-0000-0600-00000B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7" authorId="0" shapeId="0" xr:uid="{00000000-0006-0000-0600-00000C000000}">
      <text>
        <r>
          <rPr>
            <sz val="11"/>
            <rFont val="Calibri"/>
          </rPr>
          <t>Ensure the Sudo Timeout Period Is Set to Zero</t>
        </r>
      </text>
    </comment>
    <comment ref="K7" authorId="0" shapeId="0" xr:uid="{00000000-0006-0000-0600-00000D000000}">
      <text>
        <r>
          <rPr>
            <sz val="11"/>
            <rFont val="Calibri"/>
          </rPr>
          <t>Ensure a Separate Timestamp Is Enabled for Each User/tty Combo</t>
        </r>
      </text>
    </comment>
    <comment ref="L7" authorId="0" shapeId="0" xr:uid="{00000000-0006-0000-0600-00000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M7" authorId="0" shapeId="0" xr:uid="{00000000-0006-0000-0600-00000F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J8" authorId="0" shapeId="0" xr:uid="{00000000-0006-0000-0600-000010000000}">
      <text>
        <r>
          <rPr>
            <sz val="11"/>
            <rFont val="Calibri"/>
          </rPr>
          <t>Ensure the Sudo Timeout Period Is Set to Zero</t>
        </r>
      </text>
    </comment>
    <comment ref="K8" authorId="0" shapeId="0" xr:uid="{00000000-0006-0000-0600-000011000000}">
      <text>
        <r>
          <rPr>
            <sz val="11"/>
            <rFont val="Calibri"/>
          </rPr>
          <t>Ensure a Separate Timestamp Is Enabled for Each User/tty Combo</t>
        </r>
      </text>
    </comment>
    <comment ref="J10" authorId="0" shapeId="0" xr:uid="{00000000-0006-0000-0600-000012000000}">
      <text>
        <r>
          <rPr>
            <sz val="11"/>
            <rFont val="Calibri"/>
          </rPr>
          <t>Ensure Password Account Lockout Threshold Is Configured</t>
        </r>
      </text>
    </comment>
    <comment ref="J11" authorId="0" shapeId="0" xr:uid="{00000000-0006-0000-0600-000013000000}">
      <text>
        <r>
          <rPr>
            <sz val="11"/>
            <rFont val="Calibri"/>
          </rPr>
          <t>Ensure a Custom Message for the Login Screen Is Enabled</t>
        </r>
      </text>
    </comment>
    <comment ref="K11" authorId="0" shapeId="0" xr:uid="{00000000-0006-0000-0600-000014000000}">
      <text>
        <r>
          <rPr>
            <sz val="11"/>
            <rFont val="Calibri"/>
          </rPr>
          <t>Ensure a Login Window Banner Exists</t>
        </r>
      </text>
    </comment>
    <comment ref="J12" authorId="0" shapeId="0" xr:uid="{00000000-0006-0000-0600-000015000000}">
      <text>
        <r>
          <rPr>
            <sz val="11"/>
            <rFont val="Calibri"/>
          </rPr>
          <t>Ensure an Inactivity Interval of 20 Minutes Or Less for the Screen Saver Is Enabled</t>
        </r>
      </text>
    </comment>
    <comment ref="K12" authorId="0" shapeId="0" xr:uid="{00000000-0006-0000-0600-000016000000}">
      <text>
        <r>
          <rPr>
            <sz val="11"/>
            <rFont val="Calibri"/>
          </rPr>
          <t>Ensure Require Password After Screen Saver Begins or Display Is Turned Off Is Enabled for 5 Seconds or Immediately</t>
        </r>
      </text>
    </comment>
    <comment ref="J23" authorId="0" shapeId="0" xr:uid="{00000000-0006-0000-0600-000017000000}">
      <text>
        <r>
          <rPr>
            <sz val="11"/>
            <rFont val="Calibri"/>
          </rPr>
          <t>Ensure Security Auditing Is Enabled</t>
        </r>
      </text>
    </comment>
    <comment ref="K23" authorId="0" shapeId="0" xr:uid="{00000000-0006-0000-0600-000018000000}">
      <text>
        <r>
          <rPr>
            <sz val="11"/>
            <rFont val="Calibri"/>
          </rPr>
          <t>Ensure Security Auditing Flags For User-Attributable Events Are Configured Per Local Organizational Requirements</t>
        </r>
      </text>
    </comment>
    <comment ref="L23" authorId="0" shapeId="0" xr:uid="{00000000-0006-0000-0600-000019000000}">
      <text>
        <r>
          <rPr>
            <sz val="11"/>
            <rFont val="Calibri"/>
          </rPr>
          <t>Ensure Firewall Logging Is Enabled and Configured</t>
        </r>
      </text>
    </comment>
    <comment ref="J24" authorId="0" shapeId="0" xr:uid="{00000000-0006-0000-0600-00001A000000}">
      <text>
        <r>
          <rPr>
            <sz val="11"/>
            <rFont val="Calibri"/>
          </rPr>
          <t>Ensure Security Auditing Flags For User-Attributable Events Are Configured Per Local Organizational Requirements</t>
        </r>
      </text>
    </comment>
    <comment ref="J25" authorId="0" shapeId="0" xr:uid="{00000000-0006-0000-0600-00001B000000}">
      <text>
        <r>
          <rPr>
            <sz val="11"/>
            <rFont val="Calibri"/>
          </rPr>
          <t>Ensure install.log Is Retained for 365 or More Days and No Maximum Size</t>
        </r>
      </text>
    </comment>
    <comment ref="K25" authorId="0" shapeId="0" xr:uid="{00000000-0006-0000-0600-00001C000000}">
      <text>
        <r>
          <rPr>
            <sz val="11"/>
            <rFont val="Calibri"/>
          </rPr>
          <t>Ensure Security Auditing Retention Is Enabled</t>
        </r>
      </text>
    </comment>
    <comment ref="J29" authorId="0" shapeId="0" xr:uid="{00000000-0006-0000-0600-00001D000000}">
      <text>
        <r>
          <rPr>
            <sz val="11"/>
            <rFont val="Calibri"/>
          </rPr>
          <t>Ensure Set Time and Date Automatically Is Enabled</t>
        </r>
      </text>
    </comment>
    <comment ref="K29" authorId="0" shapeId="0" xr:uid="{00000000-0006-0000-0600-00001E000000}">
      <text>
        <r>
          <rPr>
            <sz val="11"/>
            <rFont val="Calibri"/>
          </rPr>
          <t>Ensure the Time Service Is Enabled</t>
        </r>
      </text>
    </comment>
    <comment ref="J30" authorId="0" shapeId="0" xr:uid="{00000000-0006-0000-0600-00001F000000}">
      <text>
        <r>
          <rPr>
            <sz val="11"/>
            <rFont val="Calibri"/>
          </rPr>
          <t>Ensure Access to Audit Records Is Controlled</t>
        </r>
      </text>
    </comment>
    <comment ref="J33" authorId="0" shapeId="0" xr:uid="{00000000-0006-0000-0600-000020000000}">
      <text>
        <r>
          <rPr>
            <sz val="11"/>
            <rFont val="Calibri"/>
          </rPr>
          <t>Ensure Signed System Volume (SSV) Is Enabled</t>
        </r>
      </text>
    </comment>
    <comment ref="K33" authorId="0" shapeId="0" xr:uid="{00000000-0006-0000-0600-000021000000}">
      <text>
        <r>
          <rPr>
            <sz val="11"/>
            <rFont val="Calibri"/>
          </rPr>
          <t>Ensure Appropriate Permissions Are Enabled for System Wide Applications</t>
        </r>
      </text>
    </comment>
    <comment ref="L33" authorId="0" shapeId="0" xr:uid="{00000000-0006-0000-0600-000022000000}">
      <text>
        <r>
          <rPr>
            <sz val="11"/>
            <rFont val="Calibri"/>
          </rPr>
          <t>Ensure No World Writable Folders Exist in the System Folder</t>
        </r>
      </text>
    </comment>
    <comment ref="M33" authorId="0" shapeId="0" xr:uid="{00000000-0006-0000-0600-000023000000}">
      <text>
        <r>
          <rPr>
            <sz val="11"/>
            <rFont val="Calibri"/>
          </rPr>
          <t>Ensure No World Writable Folders Exist in the Library Folder</t>
        </r>
      </text>
    </comment>
    <comment ref="N33" authorId="0" shapeId="0" xr:uid="{00000000-0006-0000-0600-000024000000}">
      <text>
        <r>
          <rPr>
            <sz val="11"/>
            <rFont val="Calibri"/>
          </rPr>
          <t>Ensure Secure Keyboard Entry Terminal.app Is Enabled</t>
        </r>
      </text>
    </comment>
    <comment ref="J37" authorId="0" shapeId="0" xr:uid="{00000000-0006-0000-0600-000025000000}">
      <text>
        <r>
          <rPr>
            <sz val="11"/>
            <rFont val="Calibri"/>
          </rPr>
          <t>Ensure Remote Apple Events Is Disabled</t>
        </r>
      </text>
    </comment>
    <comment ref="K37" authorId="0" shapeId="0" xr:uid="{00000000-0006-0000-0600-000027000000}">
      <text>
        <r>
          <rPr>
            <sz val="11"/>
            <rFont val="Calibri"/>
          </rPr>
          <t>Ensure Content Caching Is Disabled</t>
        </r>
      </text>
    </comment>
    <comment ref="L37" authorId="0" shapeId="0" xr:uid="{00000000-0006-0000-0600-000028000000}">
      <text>
        <r>
          <rPr>
            <sz val="11"/>
            <rFont val="Calibri"/>
          </rPr>
          <t>Ensure Sending Diagnostic and Usage Data to Apple Is Disabled</t>
        </r>
      </text>
    </comment>
    <comment ref="M37" authorId="0" shapeId="0" xr:uid="{00000000-0006-0000-0600-000029000000}">
      <text>
        <r>
          <rPr>
            <sz val="11"/>
            <rFont val="Calibri"/>
          </rPr>
          <t>Ensure Bonjour Advertising Services Is Disabled</t>
        </r>
      </text>
    </comment>
    <comment ref="N37" authorId="0" shapeId="0" xr:uid="{00000000-0006-0000-0600-00002A000000}">
      <text>
        <r>
          <rPr>
            <sz val="11"/>
            <rFont val="Calibri"/>
          </rPr>
          <t>Ensure HTTP Server Is Disabled</t>
        </r>
      </text>
    </comment>
    <comment ref="O37" authorId="0" shapeId="0" xr:uid="{00000000-0006-0000-0600-000026000000}">
      <text>
        <r>
          <rPr>
            <sz val="11"/>
            <rFont val="Calibri"/>
          </rPr>
          <t>Ensure NFS Server Is Disabled</t>
        </r>
      </text>
    </comment>
    <comment ref="J38" authorId="0" shapeId="0" xr:uid="{00000000-0006-0000-0600-00002B000000}">
      <text>
        <r>
          <rPr>
            <sz val="11"/>
            <rFont val="Calibri"/>
          </rPr>
          <t>Ensure Gatekeeper Is Enabled</t>
        </r>
      </text>
    </comment>
    <comment ref="K38" authorId="0" shapeId="0" xr:uid="{00000000-0006-0000-0600-00002C000000}">
      <text>
        <r>
          <rPr>
            <sz val="11"/>
            <rFont val="Calibri"/>
          </rPr>
          <t>Ensure Apple Mobile File Integrity (AMFI) Is Enabled</t>
        </r>
      </text>
    </comment>
    <comment ref="J43" authorId="0" shapeId="0" xr:uid="{00000000-0006-0000-0600-00002D000000}">
      <text>
        <r>
          <rPr>
            <sz val="11"/>
            <rFont val="Calibri"/>
          </rPr>
          <t>Ensure Login Window Displays as Name and Password Is Enabled</t>
        </r>
      </text>
    </comment>
    <comment ref="K43" authorId="0" shapeId="0" xr:uid="{00000000-0006-0000-0600-00002E000000}">
      <text>
        <r>
          <rPr>
            <sz val="11"/>
            <rFont val="Calibri"/>
          </rPr>
          <t>Ensure Guest Account Is Disabled</t>
        </r>
      </text>
    </comment>
    <comment ref="L43" authorId="0" shapeId="0" xr:uid="{00000000-0006-0000-0600-00002F000000}">
      <text>
        <r>
          <rPr>
            <sz val="11"/>
            <rFont val="Calibri"/>
          </rPr>
          <t>Ensure Automatic Login Is Disabled</t>
        </r>
      </text>
    </comment>
    <comment ref="J48" authorId="0" shapeId="0" xr:uid="{00000000-0006-0000-0600-000030000000}">
      <text>
        <r>
          <rPr>
            <sz val="11"/>
            <rFont val="Calibri"/>
          </rPr>
          <t>Ensure Password Minimum Length Is Configured</t>
        </r>
      </text>
    </comment>
    <comment ref="K48" authorId="0" shapeId="0" xr:uid="{00000000-0006-0000-0600-000032000000}">
      <text>
        <r>
          <rPr>
            <sz val="11"/>
            <rFont val="Calibri"/>
          </rPr>
          <t>Ensure Complex Password Must Contain Alphabetic Characters Is Configured</t>
        </r>
      </text>
    </comment>
    <comment ref="L48" authorId="0" shapeId="0" xr:uid="{00000000-0006-0000-0600-000033000000}">
      <text>
        <r>
          <rPr>
            <sz val="11"/>
            <rFont val="Calibri"/>
          </rPr>
          <t>Ensure Complex Password Must Contain Numeric Character Is Configured</t>
        </r>
      </text>
    </comment>
    <comment ref="M48" authorId="0" shapeId="0" xr:uid="{00000000-0006-0000-0600-000034000000}">
      <text>
        <r>
          <rPr>
            <sz val="11"/>
            <rFont val="Calibri"/>
          </rPr>
          <t>Ensure Complex Password Must Contain Special Character Is Configured</t>
        </r>
      </text>
    </comment>
    <comment ref="N48" authorId="0" shapeId="0" xr:uid="{00000000-0006-0000-0600-000035000000}">
      <text>
        <r>
          <rPr>
            <sz val="11"/>
            <rFont val="Calibri"/>
          </rPr>
          <t>Ensure Complex Password Must Contain Uppercase and Lowercase Characters Is Configured</t>
        </r>
      </text>
    </comment>
    <comment ref="O48" authorId="0" shapeId="0" xr:uid="{00000000-0006-0000-0600-000036000000}">
      <text>
        <r>
          <rPr>
            <sz val="11"/>
            <rFont val="Calibri"/>
          </rPr>
          <t>Ensure Password Age Is Configured</t>
        </r>
      </text>
    </comment>
    <comment ref="P48" authorId="0" shapeId="0" xr:uid="{00000000-0006-0000-0600-000031000000}">
      <text>
        <r>
          <rPr>
            <sz val="11"/>
            <rFont val="Calibri"/>
          </rPr>
          <t>Ensure Password History Is Configured</t>
        </r>
      </text>
    </comment>
    <comment ref="J49" authorId="0" shapeId="0" xr:uid="{00000000-0006-0000-0600-000037000000}">
      <text>
        <r>
          <rPr>
            <sz val="11"/>
            <rFont val="Calibri"/>
          </rPr>
          <t>Ensure Show Password Hints Is Disabled</t>
        </r>
      </text>
    </comment>
    <comment ref="K49" authorId="0" shapeId="0" xr:uid="{00000000-0006-0000-0600-000038000000}">
      <text>
        <r>
          <rPr>
            <sz val="11"/>
            <rFont val="Calibri"/>
          </rPr>
          <t>Ensure Users</t>
        </r>
        <r>
          <rPr>
            <sz val="11"/>
            <color rgb="FF000000"/>
            <rFont val="Calibri"/>
          </rPr>
          <t>'</t>
        </r>
        <r>
          <rPr>
            <sz val="11"/>
            <color rgb="FF000000"/>
            <rFont val="Calibri"/>
          </rPr>
          <t xml:space="preserve"> Accounts Do Not Have a Password Hint</t>
        </r>
      </text>
    </comment>
    <comment ref="J88" authorId="0" shapeId="0" xr:uid="{00000000-0006-0000-0600-000039000000}">
      <text>
        <r>
          <rPr>
            <sz val="11"/>
            <rFont val="Calibri"/>
          </rPr>
          <t>Ensure Firewall Is Enabled</t>
        </r>
      </text>
    </comment>
    <comment ref="J90" authorId="0" shapeId="0" xr:uid="{00000000-0006-0000-0600-00003A000000}">
      <text>
        <r>
          <rPr>
            <sz val="11"/>
            <rFont val="Calibri"/>
          </rPr>
          <t>Ensure Firewall Is Enabled</t>
        </r>
      </text>
    </comment>
    <comment ref="K90" authorId="0" shapeId="0" xr:uid="{00000000-0006-0000-0600-00003B000000}">
      <text>
        <r>
          <rPr>
            <sz val="11"/>
            <rFont val="Calibri"/>
          </rPr>
          <t>Ensure Guest Access to Shared Folders Is Disabled</t>
        </r>
      </text>
    </comment>
    <comment ref="J99" authorId="0" shapeId="0" xr:uid="{00000000-0006-0000-0600-00003C000000}">
      <text>
        <r>
          <rPr>
            <sz val="11"/>
            <rFont val="Calibri"/>
          </rPr>
          <t>Ensure All Apple-provided Software Is Current</t>
        </r>
      </text>
    </comment>
    <comment ref="K99" authorId="0" shapeId="0" xr:uid="{00000000-0006-0000-0600-00003D000000}">
      <text>
        <r>
          <rPr>
            <sz val="11"/>
            <rFont val="Calibri"/>
          </rPr>
          <t>Ensure Auto Update Is Enabled</t>
        </r>
      </text>
    </comment>
    <comment ref="L99" authorId="0" shapeId="0" xr:uid="{00000000-0006-0000-0600-00003E000000}">
      <text>
        <r>
          <rPr>
            <sz val="11"/>
            <rFont val="Calibri"/>
          </rPr>
          <t>Ensure Download New Updates When Available Is Enabled</t>
        </r>
      </text>
    </comment>
    <comment ref="M99" authorId="0" shapeId="0" xr:uid="{00000000-0006-0000-0600-00003F000000}">
      <text>
        <r>
          <rPr>
            <sz val="11"/>
            <rFont val="Calibri"/>
          </rPr>
          <t>Ensure Install of macOS Updates Is Enabled</t>
        </r>
      </text>
    </comment>
    <comment ref="N99" authorId="0" shapeId="0" xr:uid="{00000000-0006-0000-0600-000040000000}">
      <text>
        <r>
          <rPr>
            <sz val="11"/>
            <rFont val="Calibri"/>
          </rPr>
          <t>Ensure Install Application Updates from the App Store Is Enabled</t>
        </r>
      </text>
    </comment>
    <comment ref="J100" authorId="0" shapeId="0" xr:uid="{00000000-0006-0000-0600-000041000000}">
      <text>
        <r>
          <rPr>
            <sz val="11"/>
            <rFont val="Calibri"/>
          </rPr>
          <t>Ensure All Apple-provided Software Is Current</t>
        </r>
      </text>
    </comment>
    <comment ref="K100" authorId="0" shapeId="0" xr:uid="{00000000-0006-0000-0600-000042000000}">
      <text>
        <r>
          <rPr>
            <sz val="11"/>
            <rFont val="Calibri"/>
          </rPr>
          <t>Ensure Install of macOS Updates Is Enabled</t>
        </r>
      </text>
    </comment>
    <comment ref="L100" authorId="0" shapeId="0" xr:uid="{00000000-0006-0000-0600-000043000000}">
      <text>
        <r>
          <rPr>
            <sz val="11"/>
            <rFont val="Calibri"/>
          </rPr>
          <t>Ensure Install Security Responses and System Files Is Enabled</t>
        </r>
      </text>
    </comment>
    <comment ref="M100" authorId="0" shapeId="0" xr:uid="{00000000-0006-0000-0600-000044000000}">
      <text>
        <r>
          <rPr>
            <sz val="11"/>
            <rFont val="Calibri"/>
          </rPr>
          <t>Ensure Gatekeeper Is Enabled</t>
        </r>
      </text>
    </comment>
    <comment ref="N100" authorId="0" shapeId="0" xr:uid="{00000000-0006-0000-0600-000045000000}">
      <text>
        <r>
          <rPr>
            <sz val="11"/>
            <rFont val="Calibri"/>
          </rPr>
          <t>Ensure Apple Mobile File Integrity (AMFI) Is Enabled</t>
        </r>
      </text>
    </comment>
    <comment ref="O100" authorId="0" shapeId="0" xr:uid="{00000000-0006-0000-0600-000046000000}">
      <text>
        <r>
          <rPr>
            <sz val="11"/>
            <rFont val="Calibri"/>
          </rPr>
          <t>Ensure Signed System Volume (SSV) Is Enabled</t>
        </r>
      </text>
    </comment>
    <comment ref="P100" authorId="0" shapeId="0" xr:uid="{00000000-0006-0000-0600-000047000000}">
      <text>
        <r>
          <rPr>
            <sz val="11"/>
            <rFont val="Calibri"/>
          </rPr>
          <t>Ensure XProtect Is Running and Updated</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Ensure Login Window Displays as Name and Password Is Enabled</t>
        </r>
      </text>
    </comment>
    <comment ref="I89" authorId="0" shapeId="0" xr:uid="{00000000-0006-0000-0700-000010000000}">
      <text>
        <r>
          <rPr>
            <sz val="11"/>
            <rFont val="Calibri"/>
          </rPr>
          <t>Ensure Show Password Hints Is Disabled</t>
        </r>
      </text>
    </comment>
    <comment ref="J89" authorId="0" shapeId="0" xr:uid="{00000000-0006-0000-0700-000002000000}">
      <text>
        <r>
          <rPr>
            <sz val="11"/>
            <rFont val="Calibri"/>
          </rPr>
          <t>Ensure Users</t>
        </r>
        <r>
          <rPr>
            <sz val="11"/>
            <color rgb="FF000000"/>
            <rFont val="Calibri"/>
          </rPr>
          <t>'</t>
        </r>
        <r>
          <rPr>
            <sz val="11"/>
            <color rgb="FF000000"/>
            <rFont val="Calibri"/>
          </rPr>
          <t xml:space="preserve"> Accounts Do Not Have a Password Hint</t>
        </r>
      </text>
    </comment>
    <comment ref="K89" authorId="0" shapeId="0" xr:uid="{00000000-0006-0000-0700-000003000000}">
      <text>
        <r>
          <rPr>
            <sz val="11"/>
            <rFont val="Calibri"/>
          </rPr>
          <t>Ensure Guest Account Is Disabled</t>
        </r>
      </text>
    </comment>
    <comment ref="L89" authorId="0" shapeId="0" xr:uid="{00000000-0006-0000-0700-000004000000}">
      <text>
        <r>
          <rPr>
            <sz val="11"/>
            <rFont val="Calibri"/>
          </rPr>
          <t>Ensure Guest Access to Shared Folders Is Disabled</t>
        </r>
      </text>
    </comment>
    <comment ref="M89" authorId="0" shapeId="0" xr:uid="{00000000-0006-0000-0700-000005000000}">
      <text>
        <r>
          <rPr>
            <sz val="11"/>
            <rFont val="Calibri"/>
          </rPr>
          <t>Ensure Automatic Login Is Disabled</t>
        </r>
      </text>
    </comment>
    <comment ref="N89" authorId="0" shapeId="0" xr:uid="{00000000-0006-0000-0700-000006000000}">
      <text>
        <r>
          <rPr>
            <sz val="11"/>
            <rFont val="Calibri"/>
          </rPr>
          <t>Ensure Password Account Lockout Threshold Is Configured</t>
        </r>
      </text>
    </comment>
    <comment ref="O89" authorId="0" shapeId="0" xr:uid="{00000000-0006-0000-0700-000007000000}">
      <text>
        <r>
          <rPr>
            <sz val="11"/>
            <rFont val="Calibri"/>
          </rPr>
          <t>Ensure Password Minimum Length Is Configured</t>
        </r>
      </text>
    </comment>
    <comment ref="P89" authorId="0" shapeId="0" xr:uid="{00000000-0006-0000-0700-000008000000}">
      <text>
        <r>
          <rPr>
            <sz val="11"/>
            <rFont val="Calibri"/>
          </rPr>
          <t>Ensure Complex Password Must Contain Alphabetic Characters Is Configured</t>
        </r>
      </text>
    </comment>
    <comment ref="Q89" authorId="0" shapeId="0" xr:uid="{00000000-0006-0000-0700-000009000000}">
      <text>
        <r>
          <rPr>
            <sz val="11"/>
            <rFont val="Calibri"/>
          </rPr>
          <t>Ensure Complex Password Must Contain Numeric Character Is Configured</t>
        </r>
      </text>
    </comment>
    <comment ref="R89" authorId="0" shapeId="0" xr:uid="{00000000-0006-0000-0700-00000A000000}">
      <text>
        <r>
          <rPr>
            <sz val="11"/>
            <rFont val="Calibri"/>
          </rPr>
          <t>Ensure Complex Password Must Contain Special Character Is Configured</t>
        </r>
      </text>
    </comment>
    <comment ref="S89" authorId="0" shapeId="0" xr:uid="{00000000-0006-0000-0700-00000B000000}">
      <text>
        <r>
          <rPr>
            <sz val="11"/>
            <rFont val="Calibri"/>
          </rPr>
          <t>Ensure Complex Password Must Contain Uppercase and Lowercase Characters Is Configured</t>
        </r>
      </text>
    </comment>
    <comment ref="T89" authorId="0" shapeId="0" xr:uid="{00000000-0006-0000-0700-00000C000000}">
      <text>
        <r>
          <rPr>
            <sz val="11"/>
            <rFont val="Calibri"/>
          </rPr>
          <t>Ensure Password Age Is Configured</t>
        </r>
      </text>
    </comment>
    <comment ref="U89" authorId="0" shapeId="0" xr:uid="{00000000-0006-0000-0700-00000D000000}">
      <text>
        <r>
          <rPr>
            <sz val="11"/>
            <rFont val="Calibri"/>
          </rPr>
          <t>Ensure Password History Is Configured</t>
        </r>
      </text>
    </comment>
    <comment ref="V89" authorId="0" shapeId="0" xr:uid="{00000000-0006-0000-0700-00000E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W89" authorId="0" shapeId="0" xr:uid="{00000000-0006-0000-0700-00000F000000}">
      <text>
        <r>
          <rPr>
            <sz val="11"/>
            <rFont val="Calibri"/>
          </rPr>
          <t>Ensure the Guest Home Folder Does Not Exist</t>
        </r>
      </text>
    </comment>
    <comment ref="H91" authorId="0" shapeId="0" xr:uid="{00000000-0006-0000-0700-000011000000}">
      <text>
        <r>
          <rPr>
            <sz val="11"/>
            <rFont val="Calibri"/>
          </rPr>
          <t>Ensure an Inactivity Interval of 20 Minutes Or Less for the Screen Saver Is Enabled</t>
        </r>
      </text>
    </comment>
    <comment ref="I91" authorId="0" shapeId="0" xr:uid="{00000000-0006-0000-0700-000012000000}">
      <text>
        <r>
          <rPr>
            <sz val="11"/>
            <rFont val="Calibri"/>
          </rPr>
          <t>Ensure Require Password After Screen Saver Begins or Display Is Turned Off Is Enabled for 5 Seconds or Immediately</t>
        </r>
      </text>
    </comment>
    <comment ref="J91" authorId="0" shapeId="0" xr:uid="{00000000-0006-0000-0700-000013000000}">
      <text>
        <r>
          <rPr>
            <sz val="11"/>
            <rFont val="Calibri"/>
          </rPr>
          <t>Ensure Guest Account Is Disabled</t>
        </r>
      </text>
    </comment>
    <comment ref="K91" authorId="0" shapeId="0" xr:uid="{00000000-0006-0000-0700-000014000000}">
      <text>
        <r>
          <rPr>
            <sz val="11"/>
            <rFont val="Calibri"/>
          </rPr>
          <t>Ensure Automatic Login Is Disabled</t>
        </r>
      </text>
    </comment>
    <comment ref="H93" authorId="0" shapeId="0" xr:uid="{00000000-0006-0000-0700-000015000000}">
      <text>
        <r>
          <rPr>
            <sz val="11"/>
            <rFont val="Calibri"/>
          </rPr>
          <t>Ensure Guest Access to Shared Folders Is Disabled</t>
        </r>
      </text>
    </comment>
    <comment ref="I93" authorId="0" shapeId="0" xr:uid="{00000000-0006-0000-0700-000016000000}">
      <text>
        <r>
          <rPr>
            <sz val="11"/>
            <rFont val="Calibri"/>
          </rPr>
          <t>Ensure Access to Audit Records Is Controlled</t>
        </r>
      </text>
    </comment>
    <comment ref="J93" authorId="0" shapeId="0" xr:uid="{00000000-0006-0000-0700-000017000000}">
      <text>
        <r>
          <rPr>
            <sz val="11"/>
            <rFont val="Calibri"/>
          </rPr>
          <t>Ensure Home Folders Are Secure</t>
        </r>
      </text>
    </comment>
    <comment ref="K93" authorId="0" shapeId="0" xr:uid="{00000000-0006-0000-0700-000018000000}">
      <text>
        <r>
          <rPr>
            <sz val="11"/>
            <rFont val="Calibri"/>
          </rPr>
          <t>Ensure Appropriate Permissions Are Enabled for System Wide Applications</t>
        </r>
      </text>
    </comment>
    <comment ref="L93" authorId="0" shapeId="0" xr:uid="{00000000-0006-0000-0700-000019000000}">
      <text>
        <r>
          <rPr>
            <sz val="11"/>
            <rFont val="Calibri"/>
          </rPr>
          <t>Ensure No World Writable Folders Exist in the System Folder</t>
        </r>
      </text>
    </comment>
    <comment ref="M93" authorId="0" shapeId="0" xr:uid="{00000000-0006-0000-0700-00001A000000}">
      <text>
        <r>
          <rPr>
            <sz val="11"/>
            <rFont val="Calibri"/>
          </rPr>
          <t>Ensure No World Writable Folders Exist in the Library Folder</t>
        </r>
      </text>
    </comment>
    <comment ref="N93" authorId="0" shapeId="0" xr:uid="{00000000-0006-0000-0700-00001B000000}">
      <text>
        <r>
          <rPr>
            <sz val="11"/>
            <rFont val="Calibri"/>
          </rPr>
          <t>Ensure the Sudo Timeout Period Is Set to Zero</t>
        </r>
      </text>
    </comment>
    <comment ref="O93" authorId="0" shapeId="0" xr:uid="{00000000-0006-0000-0700-00001C000000}">
      <text>
        <r>
          <rPr>
            <sz val="11"/>
            <rFont val="Calibri"/>
          </rPr>
          <t>Ensure a Separate Timestamp Is Enabled for Each User/tty Combo</t>
        </r>
      </text>
    </comment>
    <comment ref="P93" authorId="0" shapeId="0" xr:uid="{00000000-0006-0000-0700-00001D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Q93" authorId="0" shapeId="0" xr:uid="{00000000-0006-0000-0700-00001E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110" authorId="0" shapeId="0" xr:uid="{00000000-0006-0000-0700-00001F000000}">
      <text>
        <r>
          <rPr>
            <sz val="11"/>
            <rFont val="Calibri"/>
          </rPr>
          <t>Ensure Home Folders Are Secure</t>
        </r>
      </text>
    </comment>
    <comment ref="I110" authorId="0" shapeId="0" xr:uid="{00000000-0006-0000-0700-000020000000}">
      <text>
        <r>
          <rPr>
            <sz val="11"/>
            <rFont val="Calibri"/>
          </rPr>
          <t>Ensure Appropriate Permissions Are Enabled for System Wide Applications</t>
        </r>
      </text>
    </comment>
    <comment ref="J110" authorId="0" shapeId="0" xr:uid="{00000000-0006-0000-0700-000021000000}">
      <text>
        <r>
          <rPr>
            <sz val="11"/>
            <rFont val="Calibri"/>
          </rPr>
          <t>Ensure No World Writable Folders Exist in the System Folder</t>
        </r>
      </text>
    </comment>
    <comment ref="K110" authorId="0" shapeId="0" xr:uid="{00000000-0006-0000-0700-000022000000}">
      <text>
        <r>
          <rPr>
            <sz val="11"/>
            <rFont val="Calibri"/>
          </rPr>
          <t>Ensure No World Writable Folders Exist in the Library Folder</t>
        </r>
      </text>
    </comment>
    <comment ref="H114" authorId="0" shapeId="0" xr:uid="{00000000-0006-0000-0700-000023000000}">
      <text>
        <r>
          <rPr>
            <sz val="11"/>
            <rFont val="Calibri"/>
          </rPr>
          <t>Ensure Sending Diagnostic and Usage Data to Apple Is Disabled</t>
        </r>
      </text>
    </comment>
    <comment ref="I114" authorId="0" shapeId="0" xr:uid="{00000000-0006-0000-0700-000024000000}">
      <text>
        <r>
          <rPr>
            <sz val="11"/>
            <rFont val="Calibri"/>
          </rPr>
          <t>Ensure Limit Ad Tracking Is Enabled</t>
        </r>
      </text>
    </comment>
    <comment ref="J114" authorId="0" shapeId="0" xr:uid="{00000000-0006-0000-0700-000025000000}">
      <text>
        <r>
          <rPr>
            <sz val="11"/>
            <rFont val="Calibri"/>
          </rPr>
          <t>Ensure Secure Keyboard Entry Terminal.app Is Enabled</t>
        </r>
      </text>
    </comment>
    <comment ref="K114" authorId="0" shapeId="0" xr:uid="{00000000-0006-0000-0700-000026000000}">
      <text>
        <r>
          <rPr>
            <sz val="11"/>
            <rFont val="Calibri"/>
          </rPr>
          <t>Ensure Show All Filename Extensions Setting is Enabled</t>
        </r>
      </text>
    </comment>
    <comment ref="H115" authorId="0" shapeId="0" xr:uid="{00000000-0006-0000-0700-000027000000}">
      <text>
        <r>
          <rPr>
            <sz val="11"/>
            <rFont val="Calibri"/>
          </rPr>
          <t>Ensure Gatekeeper Is Enabled</t>
        </r>
      </text>
    </comment>
    <comment ref="I115" authorId="0" shapeId="0" xr:uid="{00000000-0006-0000-0700-000028000000}">
      <text>
        <r>
          <rPr>
            <sz val="11"/>
            <rFont val="Calibri"/>
          </rPr>
          <t>Ensure Apple Mobile File Integrity (AMFI) Is Enabled</t>
        </r>
      </text>
    </comment>
    <comment ref="J115" authorId="0" shapeId="0" xr:uid="{00000000-0006-0000-0700-000029000000}">
      <text>
        <r>
          <rPr>
            <sz val="11"/>
            <rFont val="Calibri"/>
          </rPr>
          <t>Ensure Signed System Volume (SSV) Is Enabled</t>
        </r>
      </text>
    </comment>
    <comment ref="H134" authorId="0" shapeId="0" xr:uid="{00000000-0006-0000-0700-00002A000000}">
      <text>
        <r>
          <rPr>
            <sz val="11"/>
            <rFont val="Calibri"/>
          </rPr>
          <t>Ensure Firewall Is Enabled</t>
        </r>
      </text>
    </comment>
    <comment ref="H142" authorId="0" shapeId="0" xr:uid="{00000000-0006-0000-0700-00002B000000}">
      <text>
        <r>
          <rPr>
            <sz val="11"/>
            <rFont val="Calibri"/>
          </rPr>
          <t>Ensure a Custom Message for the Login Screen Is Enabled</t>
        </r>
      </text>
    </comment>
    <comment ref="I142" authorId="0" shapeId="0" xr:uid="{00000000-0006-0000-0700-00002C000000}">
      <text>
        <r>
          <rPr>
            <sz val="11"/>
            <rFont val="Calibri"/>
          </rPr>
          <t>Ensure a Login Window Banner Exists</t>
        </r>
      </text>
    </comment>
    <comment ref="H143" authorId="0" shapeId="0" xr:uid="{00000000-0006-0000-0700-00002D000000}">
      <text>
        <r>
          <rPr>
            <sz val="11"/>
            <rFont val="Calibri"/>
          </rPr>
          <t>Ensure All Apple-provided Software Is Current</t>
        </r>
      </text>
    </comment>
    <comment ref="I143" authorId="0" shapeId="0" xr:uid="{00000000-0006-0000-0700-00002E000000}">
      <text>
        <r>
          <rPr>
            <sz val="11"/>
            <rFont val="Calibri"/>
          </rPr>
          <t>Ensure Auto Update Is Enabled</t>
        </r>
      </text>
    </comment>
    <comment ref="J143" authorId="0" shapeId="0" xr:uid="{00000000-0006-0000-0700-00002F000000}">
      <text>
        <r>
          <rPr>
            <sz val="11"/>
            <rFont val="Calibri"/>
          </rPr>
          <t>Ensure Download New Updates When Available Is Enabled</t>
        </r>
      </text>
    </comment>
    <comment ref="K143" authorId="0" shapeId="0" xr:uid="{00000000-0006-0000-0700-000030000000}">
      <text>
        <r>
          <rPr>
            <sz val="11"/>
            <rFont val="Calibri"/>
          </rPr>
          <t>Ensure Install of macOS Updates Is Enabled</t>
        </r>
      </text>
    </comment>
    <comment ref="L143" authorId="0" shapeId="0" xr:uid="{00000000-0006-0000-0700-000031000000}">
      <text>
        <r>
          <rPr>
            <sz val="11"/>
            <rFont val="Calibri"/>
          </rPr>
          <t>Ensure Install Application Updates from the App Store Is Enabled</t>
        </r>
      </text>
    </comment>
    <comment ref="M143" authorId="0" shapeId="0" xr:uid="{00000000-0006-0000-0700-000032000000}">
      <text>
        <r>
          <rPr>
            <sz val="11"/>
            <rFont val="Calibri"/>
          </rPr>
          <t>Ensure Install Security Responses and System Files Is Enabled</t>
        </r>
      </text>
    </comment>
    <comment ref="H145" authorId="0" shapeId="0" xr:uid="{00000000-0006-0000-0700-000033000000}">
      <text>
        <r>
          <rPr>
            <sz val="11"/>
            <rFont val="Calibri"/>
          </rPr>
          <t>Ensure Security Auditing Is Enabled</t>
        </r>
      </text>
    </comment>
    <comment ref="I145" authorId="0" shapeId="0" xr:uid="{00000000-0006-0000-0700-000034000000}">
      <text>
        <r>
          <rPr>
            <sz val="11"/>
            <rFont val="Calibri"/>
          </rPr>
          <t>Ensure Security Auditing Flags For User-Attributable Events Are Configured Per Local Organizational Requirements</t>
        </r>
      </text>
    </comment>
    <comment ref="J145" authorId="0" shapeId="0" xr:uid="{00000000-0006-0000-0700-000035000000}">
      <text>
        <r>
          <rPr>
            <sz val="11"/>
            <rFont val="Calibri"/>
          </rPr>
          <t>Ensure install.log Is Retained for 365 or More Days and No Maximum Size</t>
        </r>
      </text>
    </comment>
    <comment ref="K145" authorId="0" shapeId="0" xr:uid="{00000000-0006-0000-0700-000036000000}">
      <text>
        <r>
          <rPr>
            <sz val="11"/>
            <rFont val="Calibri"/>
          </rPr>
          <t>Ensure Security Auditing Retention Is Enabled</t>
        </r>
      </text>
    </comment>
    <comment ref="L145" authorId="0" shapeId="0" xr:uid="{00000000-0006-0000-0700-000037000000}">
      <text>
        <r>
          <rPr>
            <sz val="11"/>
            <rFont val="Calibri"/>
          </rPr>
          <t>Ensure Access to Audit Records Is Controlled</t>
        </r>
      </text>
    </comment>
    <comment ref="M145" authorId="0" shapeId="0" xr:uid="{00000000-0006-0000-0700-000038000000}">
      <text>
        <r>
          <rPr>
            <sz val="11"/>
            <rFont val="Calibri"/>
          </rPr>
          <t>Ensure Firewall Logging Is Enabled and Configured</t>
        </r>
      </text>
    </comment>
    <comment ref="H146" authorId="0" shapeId="0" xr:uid="{00000000-0006-0000-0700-000039000000}">
      <text>
        <r>
          <rPr>
            <sz val="11"/>
            <rFont val="Calibri"/>
          </rPr>
          <t>Ensure Gatekeeper Is Enabled</t>
        </r>
      </text>
    </comment>
    <comment ref="I146" authorId="0" shapeId="0" xr:uid="{00000000-0006-0000-0700-00003A000000}">
      <text>
        <r>
          <rPr>
            <sz val="11"/>
            <rFont val="Calibri"/>
          </rPr>
          <t>Ensure Apple Mobile File Integrity (AMFI) Is Enabled</t>
        </r>
      </text>
    </comment>
    <comment ref="J146" authorId="0" shapeId="0" xr:uid="{00000000-0006-0000-0700-00003B000000}">
      <text>
        <r>
          <rPr>
            <sz val="11"/>
            <rFont val="Calibri"/>
          </rPr>
          <t>Ensure XProtect Is Running and Updated</t>
        </r>
      </text>
    </comment>
    <comment ref="H149" authorId="0" shapeId="0" xr:uid="{00000000-0006-0000-0700-00003C000000}">
      <text>
        <r>
          <rPr>
            <sz val="11"/>
            <rFont val="Calibri"/>
          </rPr>
          <t>Ensure Set Time and Date Automatically Is Enabled</t>
        </r>
      </text>
    </comment>
    <comment ref="I149" authorId="0" shapeId="0" xr:uid="{00000000-0006-0000-0700-00003D000000}">
      <text>
        <r>
          <rPr>
            <sz val="11"/>
            <rFont val="Calibri"/>
          </rPr>
          <t>Ensure the Time Service Is Enabled</t>
        </r>
      </text>
    </comment>
    <comment ref="H151" authorId="0" shapeId="0" xr:uid="{00000000-0006-0000-0700-00003E000000}">
      <text>
        <r>
          <rPr>
            <sz val="11"/>
            <rFont val="Calibri"/>
          </rPr>
          <t>Ensure Remote Apple Events Is Disabled</t>
        </r>
      </text>
    </comment>
    <comment ref="I151" authorId="0" shapeId="0" xr:uid="{00000000-0006-0000-0700-00003F000000}">
      <text>
        <r>
          <rPr>
            <sz val="11"/>
            <rFont val="Calibri"/>
          </rPr>
          <t>Ensure Content Caching Is Disabled</t>
        </r>
      </text>
    </comment>
    <comment ref="J151" authorId="0" shapeId="0" xr:uid="{00000000-0006-0000-0700-000040000000}">
      <text>
        <r>
          <rPr>
            <sz val="11"/>
            <rFont val="Calibri"/>
          </rPr>
          <t>Ensure Bonjour Advertising Services Is Disabled</t>
        </r>
      </text>
    </comment>
    <comment ref="K151" authorId="0" shapeId="0" xr:uid="{00000000-0006-0000-0700-000041000000}">
      <text>
        <r>
          <rPr>
            <sz val="11"/>
            <rFont val="Calibri"/>
          </rPr>
          <t>Ensure HTTP Server Is Disabled</t>
        </r>
      </text>
    </comment>
    <comment ref="L151" authorId="0" shapeId="0" xr:uid="{00000000-0006-0000-0700-000042000000}">
      <text>
        <r>
          <rPr>
            <sz val="11"/>
            <rFont val="Calibri"/>
          </rPr>
          <t>Ensure NFS Server Is Disabled</t>
        </r>
      </text>
    </comment>
    <comment ref="H152" authorId="0" shapeId="0" xr:uid="{00000000-0006-0000-0700-000043000000}">
      <text>
        <r>
          <rPr>
            <sz val="11"/>
            <rFont val="Calibri"/>
          </rPr>
          <t>Ensure Firewall Is Enabled</t>
        </r>
      </text>
    </comment>
    <comment ref="H167" authorId="0" shapeId="0" xr:uid="{00000000-0006-0000-0700-000044000000}">
      <text>
        <r>
          <rPr>
            <sz val="11"/>
            <rFont val="Calibri"/>
          </rPr>
          <t>Ensure Security Auditing Is Enabled</t>
        </r>
      </text>
    </comment>
    <comment ref="I167" authorId="0" shapeId="0" xr:uid="{00000000-0006-0000-0700-000045000000}">
      <text>
        <r>
          <rPr>
            <sz val="11"/>
            <rFont val="Calibri"/>
          </rPr>
          <t>Ensure Security Auditing Flags For User-Attributable Events Are Configured Per Local Organizational Requirements</t>
        </r>
      </text>
    </comment>
    <comment ref="J167" authorId="0" shapeId="0" xr:uid="{00000000-0006-0000-0700-000046000000}">
      <text>
        <r>
          <rPr>
            <sz val="11"/>
            <rFont val="Calibri"/>
          </rPr>
          <t>Ensure install.log Is Retained for 365 or More Days and No Maximum Size</t>
        </r>
      </text>
    </comment>
    <comment ref="K167" authorId="0" shapeId="0" xr:uid="{00000000-0006-0000-0700-000047000000}">
      <text>
        <r>
          <rPr>
            <sz val="11"/>
            <rFont val="Calibri"/>
          </rPr>
          <t>Ensure Firewall Logging Is Enabled and Configured</t>
        </r>
      </text>
    </comment>
    <comment ref="H168" authorId="0" shapeId="0" xr:uid="{00000000-0006-0000-0700-000048000000}">
      <text>
        <r>
          <rPr>
            <sz val="11"/>
            <rFont val="Calibri"/>
          </rPr>
          <t>Ensure All Apple-provided Software Is Current</t>
        </r>
      </text>
    </comment>
    <comment ref="I168" authorId="0" shapeId="0" xr:uid="{00000000-0006-0000-0700-000049000000}">
      <text>
        <r>
          <rPr>
            <sz val="11"/>
            <rFont val="Calibri"/>
          </rPr>
          <t>Ensure XProtect Is Running and Updated</t>
        </r>
      </text>
    </comment>
    <comment ref="J168" authorId="0" shapeId="0" xr:uid="{00000000-0006-0000-0700-00004A000000}">
      <text>
        <r>
          <rPr>
            <sz val="11"/>
            <rFont val="Calibri"/>
          </rPr>
          <t>Ensure Show All Filename Extensions Setting is Enabled</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Ensure Firewall Is Enabled</t>
        </r>
      </text>
    </comment>
    <comment ref="H37" authorId="0" shapeId="0" xr:uid="{00000000-0006-0000-0800-000002000000}">
      <text>
        <r>
          <rPr>
            <sz val="11"/>
            <rFont val="Calibri"/>
          </rPr>
          <t>Ensure Firewall Logging Is Enabled and Configured</t>
        </r>
      </text>
    </comment>
    <comment ref="G46" authorId="0" shapeId="0" xr:uid="{00000000-0006-0000-0800-000003000000}">
      <text>
        <r>
          <rPr>
            <sz val="11"/>
            <rFont val="Calibri"/>
          </rPr>
          <t>Ensure Firewall Is Enabled</t>
        </r>
      </text>
    </comment>
    <comment ref="G52" authorId="0" shapeId="0" xr:uid="{00000000-0006-0000-0800-000004000000}">
      <text>
        <r>
          <rPr>
            <sz val="11"/>
            <rFont val="Calibri"/>
          </rPr>
          <t>Ensure Remote Apple Events Is Disabled</t>
        </r>
      </text>
    </comment>
    <comment ref="H52" authorId="0" shapeId="0" xr:uid="{00000000-0006-0000-0800-000007000000}">
      <text>
        <r>
          <rPr>
            <sz val="11"/>
            <rFont val="Calibri"/>
          </rPr>
          <t>Ensure Bonjour Advertising Services Is Disabled</t>
        </r>
      </text>
    </comment>
    <comment ref="I52" authorId="0" shapeId="0" xr:uid="{00000000-0006-0000-0800-000005000000}">
      <text>
        <r>
          <rPr>
            <sz val="11"/>
            <rFont val="Calibri"/>
          </rPr>
          <t>Ensure HTTP Server Is Disabled</t>
        </r>
      </text>
    </comment>
    <comment ref="J52" authorId="0" shapeId="0" xr:uid="{00000000-0006-0000-0800-000006000000}">
      <text>
        <r>
          <rPr>
            <sz val="11"/>
            <rFont val="Calibri"/>
          </rPr>
          <t>Ensure NFS Server Is Disabled</t>
        </r>
      </text>
    </comment>
    <comment ref="G59" authorId="0" shapeId="0" xr:uid="{00000000-0006-0000-0800-000008000000}">
      <text>
        <r>
          <rPr>
            <sz val="11"/>
            <rFont val="Calibri"/>
          </rPr>
          <t>Ensure Gatekeeper Is Enabled</t>
        </r>
      </text>
    </comment>
    <comment ref="H59" authorId="0" shapeId="0" xr:uid="{00000000-0006-0000-0800-000009000000}">
      <text>
        <r>
          <rPr>
            <sz val="11"/>
            <rFont val="Calibri"/>
          </rPr>
          <t>Ensure Apple Mobile File Integrity (AMFI) Is Enabled</t>
        </r>
      </text>
    </comment>
    <comment ref="I59" authorId="0" shapeId="0" xr:uid="{00000000-0006-0000-0800-00000A000000}">
      <text>
        <r>
          <rPr>
            <sz val="11"/>
            <rFont val="Calibri"/>
          </rPr>
          <t>Ensure XProtect Is Running and Updated</t>
        </r>
      </text>
    </comment>
    <comment ref="G63" authorId="0" shapeId="0" xr:uid="{00000000-0006-0000-0800-00000B000000}">
      <text>
        <r>
          <rPr>
            <sz val="11"/>
            <rFont val="Calibri"/>
          </rPr>
          <t>Ensure All Apple-provided Software Is Current</t>
        </r>
      </text>
    </comment>
    <comment ref="H63" authorId="0" shapeId="0" xr:uid="{00000000-0006-0000-0800-00000D000000}">
      <text>
        <r>
          <rPr>
            <sz val="11"/>
            <rFont val="Calibri"/>
          </rPr>
          <t>Ensure Auto Update Is Enabled</t>
        </r>
      </text>
    </comment>
    <comment ref="I63" authorId="0" shapeId="0" xr:uid="{00000000-0006-0000-0800-00000E000000}">
      <text>
        <r>
          <rPr>
            <sz val="11"/>
            <rFont val="Calibri"/>
          </rPr>
          <t>Ensure Download New Updates When Available Is Enabled</t>
        </r>
      </text>
    </comment>
    <comment ref="J63" authorId="0" shapeId="0" xr:uid="{00000000-0006-0000-0800-00000F000000}">
      <text>
        <r>
          <rPr>
            <sz val="11"/>
            <rFont val="Calibri"/>
          </rPr>
          <t>Ensure Install of macOS Updates Is Enabled</t>
        </r>
      </text>
    </comment>
    <comment ref="K63" authorId="0" shapeId="0" xr:uid="{00000000-0006-0000-0800-00000C000000}">
      <text>
        <r>
          <rPr>
            <sz val="11"/>
            <rFont val="Calibri"/>
          </rPr>
          <t>Ensure Install Application Updates from the App Store Is Enabled</t>
        </r>
      </text>
    </comment>
    <comment ref="G64" authorId="0" shapeId="0" xr:uid="{00000000-0006-0000-0800-000010000000}">
      <text>
        <r>
          <rPr>
            <sz val="11"/>
            <rFont val="Calibri"/>
          </rPr>
          <t>Ensure All Apple-provided Software Is Current</t>
        </r>
      </text>
    </comment>
    <comment ref="H64" authorId="0" shapeId="0" xr:uid="{00000000-0006-0000-0800-000011000000}">
      <text>
        <r>
          <rPr>
            <sz val="11"/>
            <rFont val="Calibri"/>
          </rPr>
          <t>Ensure Install of macOS Updates Is Enabled</t>
        </r>
      </text>
    </comment>
    <comment ref="I64" authorId="0" shapeId="0" xr:uid="{00000000-0006-0000-0800-000012000000}">
      <text>
        <r>
          <rPr>
            <sz val="11"/>
            <rFont val="Calibri"/>
          </rPr>
          <t>Ensure Install Security Responses and System Files Is Enabled</t>
        </r>
      </text>
    </comment>
    <comment ref="G80" authorId="0" shapeId="0" xr:uid="{00000000-0006-0000-0800-000013000000}">
      <text>
        <r>
          <rPr>
            <sz val="11"/>
            <rFont val="Calibri"/>
          </rPr>
          <t>Ensure Automatic Login Is Disabled</t>
        </r>
      </text>
    </comment>
    <comment ref="G81" authorId="0" shapeId="0" xr:uid="{00000000-0006-0000-0800-000014000000}">
      <text>
        <r>
          <rPr>
            <sz val="11"/>
            <rFont val="Calibri"/>
          </rPr>
          <t>Ensure Login Window Displays as Name and Password Is Enabled</t>
        </r>
      </text>
    </comment>
    <comment ref="H81" authorId="0" shapeId="0" xr:uid="{00000000-0006-0000-0800-000015000000}">
      <text>
        <r>
          <rPr>
            <sz val="11"/>
            <rFont val="Calibri"/>
          </rPr>
          <t>Ensure Automatic Login Is Disabled</t>
        </r>
      </text>
    </comment>
    <comment ref="G82" authorId="0" shapeId="0" xr:uid="{00000000-0006-0000-0800-000016000000}">
      <text>
        <r>
          <rPr>
            <sz val="11"/>
            <rFont val="Calibri"/>
          </rPr>
          <t>Ensure Guest Account Is Disabled</t>
        </r>
      </text>
    </comment>
    <comment ref="H82" authorId="0" shapeId="0" xr:uid="{00000000-0006-0000-0800-000017000000}">
      <text>
        <r>
          <rPr>
            <sz val="11"/>
            <rFont val="Calibri"/>
          </rPr>
          <t>Ensure Guest Access to Shared Folders Is Disabled</t>
        </r>
      </text>
    </comment>
    <comment ref="I82" authorId="0" shapeId="0" xr:uid="{00000000-0006-0000-0800-00001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2" authorId="0" shapeId="0" xr:uid="{00000000-0006-0000-0800-000019000000}">
      <text>
        <r>
          <rPr>
            <sz val="11"/>
            <rFont val="Calibri"/>
          </rPr>
          <t>Ensure the Guest Home Folder Does Not Exist</t>
        </r>
      </text>
    </comment>
    <comment ref="G85" authorId="0" shapeId="0" xr:uid="{00000000-0006-0000-0800-00001A000000}">
      <text>
        <r>
          <rPr>
            <sz val="11"/>
            <rFont val="Calibri"/>
          </rPr>
          <t>Ensure the Sudo Timeout Period Is Set to Zero</t>
        </r>
      </text>
    </comment>
    <comment ref="H85" authorId="0" shapeId="0" xr:uid="{00000000-0006-0000-0800-00001B000000}">
      <text>
        <r>
          <rPr>
            <sz val="11"/>
            <rFont val="Calibri"/>
          </rPr>
          <t>Ensure a Separate Timestamp Is Enabled for Each User/tty Combo</t>
        </r>
      </text>
    </comment>
    <comment ref="I85" authorId="0" shapeId="0" xr:uid="{00000000-0006-0000-0800-00001C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J85" authorId="0" shapeId="0" xr:uid="{00000000-0006-0000-0800-00001D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G86" authorId="0" shapeId="0" xr:uid="{00000000-0006-0000-0800-00001E000000}">
      <text>
        <r>
          <rPr>
            <sz val="11"/>
            <rFont val="Calibri"/>
          </rPr>
          <t>Ensure the Sudo Timeout Period Is Set to Zero</t>
        </r>
      </text>
    </comment>
    <comment ref="H86" authorId="0" shapeId="0" xr:uid="{00000000-0006-0000-0800-00001F000000}">
      <text>
        <r>
          <rPr>
            <sz val="11"/>
            <rFont val="Calibri"/>
          </rPr>
          <t>Ensure a Separate Timestamp Is Enabled for Each User/tty Combo</t>
        </r>
      </text>
    </comment>
    <comment ref="G87" authorId="0" shapeId="0" xr:uid="{00000000-0006-0000-0800-000020000000}">
      <text>
        <r>
          <rPr>
            <sz val="11"/>
            <rFont val="Calibri"/>
          </rPr>
          <t>Ensure an Inactivity Interval of 20 Minutes Or Less for the Screen Saver Is Enabled</t>
        </r>
      </text>
    </comment>
    <comment ref="H87" authorId="0" shapeId="0" xr:uid="{00000000-0006-0000-0800-000021000000}">
      <text>
        <r>
          <rPr>
            <sz val="11"/>
            <rFont val="Calibri"/>
          </rPr>
          <t>Ensure Require Password After Screen Saver Begins or Display Is Turned Off Is Enabled for 5 Seconds or Immediately</t>
        </r>
      </text>
    </comment>
    <comment ref="G91" authorId="0" shapeId="0" xr:uid="{00000000-0006-0000-0800-000022000000}">
      <text>
        <r>
          <rPr>
            <sz val="11"/>
            <rFont val="Calibri"/>
          </rPr>
          <t>Ensure Password Account Lockout Threshold Is Configured</t>
        </r>
      </text>
    </comment>
    <comment ref="H91" authorId="0" shapeId="0" xr:uid="{00000000-0006-0000-0800-000026000000}">
      <text>
        <r>
          <rPr>
            <sz val="11"/>
            <rFont val="Calibri"/>
          </rPr>
          <t>Ensure Password Minimum Length Is Configured</t>
        </r>
      </text>
    </comment>
    <comment ref="I91" authorId="0" shapeId="0" xr:uid="{00000000-0006-0000-0800-000027000000}">
      <text>
        <r>
          <rPr>
            <sz val="11"/>
            <rFont val="Calibri"/>
          </rPr>
          <t>Ensure Complex Password Must Contain Alphabetic Characters Is Configured</t>
        </r>
      </text>
    </comment>
    <comment ref="J91" authorId="0" shapeId="0" xr:uid="{00000000-0006-0000-0800-000028000000}">
      <text>
        <r>
          <rPr>
            <sz val="11"/>
            <rFont val="Calibri"/>
          </rPr>
          <t>Ensure Complex Password Must Contain Numeric Character Is Configured</t>
        </r>
      </text>
    </comment>
    <comment ref="K91" authorId="0" shapeId="0" xr:uid="{00000000-0006-0000-0800-000029000000}">
      <text>
        <r>
          <rPr>
            <sz val="11"/>
            <rFont val="Calibri"/>
          </rPr>
          <t>Ensure Complex Password Must Contain Special Character Is Configured</t>
        </r>
      </text>
    </comment>
    <comment ref="L91" authorId="0" shapeId="0" xr:uid="{00000000-0006-0000-0800-000023000000}">
      <text>
        <r>
          <rPr>
            <sz val="11"/>
            <rFont val="Calibri"/>
          </rPr>
          <t>Ensure Complex Password Must Contain Uppercase and Lowercase Characters Is Configured</t>
        </r>
      </text>
    </comment>
    <comment ref="M91" authorId="0" shapeId="0" xr:uid="{00000000-0006-0000-0800-000024000000}">
      <text>
        <r>
          <rPr>
            <sz val="11"/>
            <rFont val="Calibri"/>
          </rPr>
          <t>Ensure Password Age Is Configured</t>
        </r>
      </text>
    </comment>
    <comment ref="N91" authorId="0" shapeId="0" xr:uid="{00000000-0006-0000-0800-000025000000}">
      <text>
        <r>
          <rPr>
            <sz val="11"/>
            <rFont val="Calibri"/>
          </rPr>
          <t>Ensure Password History Is Configured</t>
        </r>
      </text>
    </comment>
    <comment ref="G92" authorId="0" shapeId="0" xr:uid="{00000000-0006-0000-0800-00002A000000}">
      <text>
        <r>
          <rPr>
            <sz val="11"/>
            <rFont val="Calibri"/>
          </rPr>
          <t>Ensure Password Account Lockout Threshold Is Configured</t>
        </r>
      </text>
    </comment>
    <comment ref="H92" authorId="0" shapeId="0" xr:uid="{00000000-0006-0000-0800-00002B000000}">
      <text>
        <r>
          <rPr>
            <sz val="11"/>
            <rFont val="Calibri"/>
          </rPr>
          <t>Ensure Password History Is Configured</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16" authorId="0" shapeId="0" xr:uid="{00000000-0006-0000-0A00-000001000000}">
      <text>
        <r>
          <rPr>
            <sz val="11"/>
            <rFont val="Calibri"/>
          </rPr>
          <t>Ensure Firewall Is Enabled</t>
        </r>
      </text>
    </comment>
    <comment ref="L93" authorId="0" shapeId="0" xr:uid="{00000000-0006-0000-0A00-000002000000}">
      <text>
        <r>
          <rPr>
            <sz val="11"/>
            <rFont val="Calibri"/>
          </rPr>
          <t>Ensure XProtect Is Running and Updated</t>
        </r>
      </text>
    </comment>
    <comment ref="L119" authorId="0" shapeId="0" xr:uid="{00000000-0006-0000-0A00-000003000000}">
      <text>
        <r>
          <rPr>
            <sz val="11"/>
            <rFont val="Calibri"/>
          </rPr>
          <t>Ensure All Apple-provided Software Is Current</t>
        </r>
      </text>
    </comment>
    <comment ref="M119" authorId="0" shapeId="0" xr:uid="{00000000-0006-0000-0A00-000007000000}">
      <text>
        <r>
          <rPr>
            <sz val="11"/>
            <rFont val="Calibri"/>
          </rPr>
          <t>Ensure Auto Update Is Enabled</t>
        </r>
      </text>
    </comment>
    <comment ref="N119" authorId="0" shapeId="0" xr:uid="{00000000-0006-0000-0A00-000004000000}">
      <text>
        <r>
          <rPr>
            <sz val="11"/>
            <rFont val="Calibri"/>
          </rPr>
          <t>Ensure Install of macOS Updates Is Enabled</t>
        </r>
      </text>
    </comment>
    <comment ref="O119" authorId="0" shapeId="0" xr:uid="{00000000-0006-0000-0A00-000005000000}">
      <text>
        <r>
          <rPr>
            <sz val="11"/>
            <rFont val="Calibri"/>
          </rPr>
          <t>Ensure Install Security Responses and System Files Is Enabled</t>
        </r>
      </text>
    </comment>
    <comment ref="P119" authorId="0" shapeId="0" xr:uid="{00000000-0006-0000-0A00-000006000000}">
      <text>
        <r>
          <rPr>
            <sz val="11"/>
            <rFont val="Calibri"/>
          </rPr>
          <t>Ensure Gatekeeper Is Enabled</t>
        </r>
      </text>
    </comment>
    <comment ref="L159" authorId="0" shapeId="0" xr:uid="{00000000-0006-0000-0A00-000008000000}">
      <text>
        <r>
          <rPr>
            <sz val="11"/>
            <rFont val="Calibri"/>
          </rPr>
          <t>Ensure an Inactivity Interval of 20 Minutes Or Less for the Screen Saver Is Enabled</t>
        </r>
      </text>
    </comment>
    <comment ref="M159" authorId="0" shapeId="0" xr:uid="{00000000-0006-0000-0A00-000009000000}">
      <text>
        <r>
          <rPr>
            <sz val="11"/>
            <rFont val="Calibri"/>
          </rPr>
          <t>Ensure Require Password After Screen Saver Begins or Display Is Turned Off Is Enabled for 5 Seconds or Immediately</t>
        </r>
      </text>
    </comment>
    <comment ref="L164" authorId="0" shapeId="0" xr:uid="{00000000-0006-0000-0A00-00000A000000}">
      <text>
        <r>
          <rPr>
            <sz val="11"/>
            <rFont val="Calibri"/>
          </rPr>
          <t>Ensure Password Account Lockout Threshold Is Configured</t>
        </r>
      </text>
    </comment>
    <comment ref="L166" authorId="0" shapeId="0" xr:uid="{00000000-0006-0000-0A00-00000B000000}">
      <text>
        <r>
          <rPr>
            <sz val="11"/>
            <rFont val="Calibri"/>
          </rPr>
          <t>Ensure Password Minimum Length Is Configured</t>
        </r>
      </text>
    </comment>
    <comment ref="L167" authorId="0" shapeId="0" xr:uid="{00000000-0006-0000-0A00-00000C000000}">
      <text>
        <r>
          <rPr>
            <sz val="11"/>
            <rFont val="Calibri"/>
          </rPr>
          <t>Ensure Password History Is Configured</t>
        </r>
      </text>
    </comment>
    <comment ref="L169" authorId="0" shapeId="0" xr:uid="{00000000-0006-0000-0A00-00000D000000}">
      <text>
        <r>
          <rPr>
            <sz val="11"/>
            <rFont val="Calibri"/>
          </rPr>
          <t>Ensure Password Age Is Configured</t>
        </r>
      </text>
    </comment>
    <comment ref="L221" authorId="0" shapeId="0" xr:uid="{00000000-0006-0000-0A00-00000E000000}">
      <text>
        <r>
          <rPr>
            <sz val="11"/>
            <rFont val="Calibri"/>
          </rPr>
          <t>Ensure Security Auditing Is Enabled</t>
        </r>
      </text>
    </comment>
    <comment ref="M221" authorId="0" shapeId="0" xr:uid="{00000000-0006-0000-0A00-00000F000000}">
      <text>
        <r>
          <rPr>
            <sz val="11"/>
            <rFont val="Calibri"/>
          </rPr>
          <t>Ensure Security Auditing Flags For User-Attributable Events Are Configured Per Local Organizational Requirements</t>
        </r>
      </text>
    </comment>
    <comment ref="N221" authorId="0" shapeId="0" xr:uid="{00000000-0006-0000-0A00-000010000000}">
      <text>
        <r>
          <rPr>
            <sz val="11"/>
            <rFont val="Calibri"/>
          </rPr>
          <t>Ensure Firewall Logging Is Enabled and Configured</t>
        </r>
      </text>
    </comment>
    <comment ref="L229" authorId="0" shapeId="0" xr:uid="{00000000-0006-0000-0A00-000011000000}">
      <text>
        <r>
          <rPr>
            <sz val="11"/>
            <rFont val="Calibri"/>
          </rPr>
          <t>Ensure Security Auditing Flags For User-Attributable Events Are Configured Per Local Organizational Requirements</t>
        </r>
      </text>
    </comment>
    <comment ref="L242" authorId="0" shapeId="0" xr:uid="{00000000-0006-0000-0A00-000012000000}">
      <text>
        <r>
          <rPr>
            <sz val="11"/>
            <rFont val="Calibri"/>
          </rPr>
          <t>Ensure install.log Is Retained for 365 or More Days and No Maximum Size</t>
        </r>
      </text>
    </comment>
    <comment ref="M242" authorId="0" shapeId="0" xr:uid="{00000000-0006-0000-0A00-000013000000}">
      <text>
        <r>
          <rPr>
            <sz val="11"/>
            <rFont val="Calibri"/>
          </rPr>
          <t>Ensure Security Auditing Retention Is Enabled</t>
        </r>
      </text>
    </comment>
    <comment ref="L244" authorId="0" shapeId="0" xr:uid="{00000000-0006-0000-0A00-000014000000}">
      <text>
        <r>
          <rPr>
            <sz val="11"/>
            <rFont val="Calibri"/>
          </rPr>
          <t>Ensure Set Time and Date Automatically Is Enabled</t>
        </r>
      </text>
    </comment>
    <comment ref="M244" authorId="0" shapeId="0" xr:uid="{00000000-0006-0000-0A00-000015000000}">
      <text>
        <r>
          <rPr>
            <sz val="11"/>
            <rFont val="Calibri"/>
          </rPr>
          <t>Ensure the Time Service Is Enabled</t>
        </r>
      </text>
    </comment>
    <comment ref="L286" authorId="0" shapeId="0" xr:uid="{00000000-0006-0000-0A00-000016000000}">
      <text>
        <r>
          <rPr>
            <sz val="11"/>
            <rFont val="Calibri"/>
          </rPr>
          <t>Ensure a Custom Message for the Login Screen Is Enabled</t>
        </r>
      </text>
    </comment>
    <comment ref="M286" authorId="0" shapeId="0" xr:uid="{00000000-0006-0000-0A00-000017000000}">
      <text>
        <r>
          <rPr>
            <sz val="11"/>
            <rFont val="Calibri"/>
          </rPr>
          <t>Ensure a Login Window Banner Exists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82" authorId="0" shapeId="0" xr:uid="{00000000-0006-0000-0B00-000001000000}">
      <text>
        <r>
          <rPr>
            <sz val="11"/>
            <rFont val="Calibri"/>
          </rPr>
          <t>Ensure Limit Ad Tracking Is Enabled</t>
        </r>
      </text>
    </comment>
    <comment ref="H184" authorId="0" shapeId="0" xr:uid="{00000000-0006-0000-0B00-000002000000}">
      <text>
        <r>
          <rPr>
            <sz val="11"/>
            <rFont val="Calibri"/>
          </rPr>
          <t>Ensure Sending Diagnostic and Usage Data to Apple Is Disabled</t>
        </r>
      </text>
    </comment>
    <comment ref="H202" authorId="0" shapeId="0" xr:uid="{00000000-0006-0000-0B00-000003000000}">
      <text>
        <r>
          <rPr>
            <sz val="11"/>
            <rFont val="Calibri"/>
          </rPr>
          <t>Ensure Apple Mobile File Integrity (AMFI) Is Enabled</t>
        </r>
      </text>
    </comment>
    <comment ref="I202" authorId="0" shapeId="0" xr:uid="{00000000-0006-0000-0B00-000005000000}">
      <text>
        <r>
          <rPr>
            <sz val="11"/>
            <rFont val="Calibri"/>
          </rPr>
          <t>Ensure Signed System Volume (SSV) Is Enabled</t>
        </r>
      </text>
    </comment>
    <comment ref="J202" authorId="0" shapeId="0" xr:uid="{00000000-0006-0000-0B00-000004000000}">
      <text>
        <r>
          <rPr>
            <sz val="11"/>
            <rFont val="Calibri"/>
          </rPr>
          <t>Ensure XProtect Is Running and Updated</t>
        </r>
      </text>
    </comment>
    <comment ref="H205" authorId="0" shapeId="0" xr:uid="{00000000-0006-0000-0B00-000006000000}">
      <text>
        <r>
          <rPr>
            <sz val="11"/>
            <rFont val="Calibri"/>
          </rPr>
          <t>Ensure XProtect Is Running and Updated</t>
        </r>
      </text>
    </comment>
    <comment ref="I205" authorId="0" shapeId="0" xr:uid="{00000000-0006-0000-0B00-000007000000}">
      <text>
        <r>
          <rPr>
            <sz val="11"/>
            <rFont val="Calibri"/>
          </rPr>
          <t>Ensure Show All Filename Extensions Setting is Enabled</t>
        </r>
      </text>
    </comment>
    <comment ref="H210" authorId="0" shapeId="0" xr:uid="{00000000-0006-0000-0B00-000008000000}">
      <text>
        <r>
          <rPr>
            <sz val="11"/>
            <rFont val="Calibri"/>
          </rPr>
          <t>Ensure Firewall Is Enabled</t>
        </r>
      </text>
    </comment>
    <comment ref="H211" authorId="0" shapeId="0" xr:uid="{00000000-0006-0000-0B00-000009000000}">
      <text>
        <r>
          <rPr>
            <sz val="11"/>
            <rFont val="Calibri"/>
          </rPr>
          <t>Ensure Firewall Is Enabled</t>
        </r>
      </text>
    </comment>
    <comment ref="H227" authorId="0" shapeId="0" xr:uid="{00000000-0006-0000-0B00-00000A000000}">
      <text>
        <r>
          <rPr>
            <sz val="11"/>
            <rFont val="Calibri"/>
          </rPr>
          <t>Ensure All Apple-provided Software Is Current</t>
        </r>
      </text>
    </comment>
    <comment ref="I227" authorId="0" shapeId="0" xr:uid="{00000000-0006-0000-0B00-00000B000000}">
      <text>
        <r>
          <rPr>
            <sz val="11"/>
            <rFont val="Calibri"/>
          </rPr>
          <t>Ensure Auto Update Is Enabled</t>
        </r>
      </text>
    </comment>
    <comment ref="J227" authorId="0" shapeId="0" xr:uid="{00000000-0006-0000-0B00-00000C000000}">
      <text>
        <r>
          <rPr>
            <sz val="11"/>
            <rFont val="Calibri"/>
          </rPr>
          <t>Ensure Install of macOS Updates Is Enabled</t>
        </r>
      </text>
    </comment>
    <comment ref="H228" authorId="0" shapeId="0" xr:uid="{00000000-0006-0000-0B00-00000D000000}">
      <text>
        <r>
          <rPr>
            <sz val="11"/>
            <rFont val="Calibri"/>
          </rPr>
          <t>Ensure Install Application Updates from the App Store Is Enabled</t>
        </r>
      </text>
    </comment>
    <comment ref="H229" authorId="0" shapeId="0" xr:uid="{00000000-0006-0000-0B00-00000E000000}">
      <text>
        <r>
          <rPr>
            <sz val="11"/>
            <rFont val="Calibri"/>
          </rPr>
          <t>Ensure Install Security Responses and System Files Is Enabled</t>
        </r>
      </text>
    </comment>
    <comment ref="H231" authorId="0" shapeId="0" xr:uid="{00000000-0006-0000-0B00-00000F000000}">
      <text>
        <r>
          <rPr>
            <sz val="11"/>
            <rFont val="Calibri"/>
          </rPr>
          <t>Ensure Gatekeeper Is Enabled</t>
        </r>
      </text>
    </comment>
    <comment ref="I231" authorId="0" shapeId="0" xr:uid="{00000000-0006-0000-0B00-000010000000}">
      <text>
        <r>
          <rPr>
            <sz val="11"/>
            <rFont val="Calibri"/>
          </rPr>
          <t>Ensure Apple Mobile File Integrity (AMFI) Is Enabled</t>
        </r>
      </text>
    </comment>
    <comment ref="H232" authorId="0" shapeId="0" xr:uid="{00000000-0006-0000-0B00-000011000000}">
      <text>
        <r>
          <rPr>
            <sz val="11"/>
            <rFont val="Calibri"/>
          </rPr>
          <t>Ensure Gatekeeper Is Enabled</t>
        </r>
      </text>
    </comment>
    <comment ref="H239" authorId="0" shapeId="0" xr:uid="{00000000-0006-0000-0B00-000012000000}">
      <text>
        <r>
          <rPr>
            <sz val="11"/>
            <rFont val="Calibri"/>
          </rPr>
          <t>Ensure a Custom Message for the Login Screen Is Enabled</t>
        </r>
      </text>
    </comment>
    <comment ref="I239" authorId="0" shapeId="0" xr:uid="{00000000-0006-0000-0B00-000016000000}">
      <text>
        <r>
          <rPr>
            <sz val="11"/>
            <rFont val="Calibri"/>
          </rPr>
          <t>Ensure Appropriate Permissions Are Enabled for System Wide Applications</t>
        </r>
      </text>
    </comment>
    <comment ref="J239" authorId="0" shapeId="0" xr:uid="{00000000-0006-0000-0B00-000017000000}">
      <text>
        <r>
          <rPr>
            <sz val="11"/>
            <rFont val="Calibri"/>
          </rPr>
          <t>Ensure No World Writable Folders Exist in the System Folder</t>
        </r>
      </text>
    </comment>
    <comment ref="K239" authorId="0" shapeId="0" xr:uid="{00000000-0006-0000-0B00-000013000000}">
      <text>
        <r>
          <rPr>
            <sz val="11"/>
            <rFont val="Calibri"/>
          </rPr>
          <t>Ensure No World Writable Folders Exist in the Library Folder</t>
        </r>
      </text>
    </comment>
    <comment ref="L239" authorId="0" shapeId="0" xr:uid="{00000000-0006-0000-0B00-000014000000}">
      <text>
        <r>
          <rPr>
            <sz val="11"/>
            <rFont val="Calibri"/>
          </rPr>
          <t>Ensure a Login Window Banner Exists</t>
        </r>
      </text>
    </comment>
    <comment ref="M239" authorId="0" shapeId="0" xr:uid="{00000000-0006-0000-0B00-000015000000}">
      <text>
        <r>
          <rPr>
            <sz val="11"/>
            <rFont val="Calibri"/>
          </rPr>
          <t>Ensure Secure Keyboard Entry Terminal.app Is Enabled</t>
        </r>
      </text>
    </comment>
    <comment ref="H241" authorId="0" shapeId="0" xr:uid="{00000000-0006-0000-0B00-000018000000}">
      <text>
        <r>
          <rPr>
            <sz val="11"/>
            <rFont val="Calibri"/>
          </rPr>
          <t>Ensure an Inactivity Interval of 20 Minutes Or Less for the Screen Saver Is Enabled</t>
        </r>
      </text>
    </comment>
    <comment ref="I241" authorId="0" shapeId="0" xr:uid="{00000000-0006-0000-0B00-000019000000}">
      <text>
        <r>
          <rPr>
            <sz val="11"/>
            <rFont val="Calibri"/>
          </rPr>
          <t>Ensure Require Password After Screen Saver Begins or Display Is Turned Off Is Enabled for 5 Seconds or Immediately</t>
        </r>
      </text>
    </comment>
    <comment ref="H252" authorId="0" shapeId="0" xr:uid="{00000000-0006-0000-0B00-00001A000000}">
      <text>
        <r>
          <rPr>
            <sz val="11"/>
            <rFont val="Calibri"/>
          </rPr>
          <t>Ensure All Apple-provided Software Is Current</t>
        </r>
      </text>
    </comment>
    <comment ref="I252" authorId="0" shapeId="0" xr:uid="{00000000-0006-0000-0B00-00001B000000}">
      <text>
        <r>
          <rPr>
            <sz val="11"/>
            <rFont val="Calibri"/>
          </rPr>
          <t>Ensure Auto Update Is Enabled</t>
        </r>
      </text>
    </comment>
    <comment ref="J252" authorId="0" shapeId="0" xr:uid="{00000000-0006-0000-0B00-00001C000000}">
      <text>
        <r>
          <rPr>
            <sz val="11"/>
            <rFont val="Calibri"/>
          </rPr>
          <t>Ensure Download New Updates When Available Is Enabled</t>
        </r>
      </text>
    </comment>
    <comment ref="K252" authorId="0" shapeId="0" xr:uid="{00000000-0006-0000-0B00-00001D000000}">
      <text>
        <r>
          <rPr>
            <sz val="11"/>
            <rFont val="Calibri"/>
          </rPr>
          <t>Ensure Install of macOS Updates Is Enabled</t>
        </r>
      </text>
    </comment>
    <comment ref="L252" authorId="0" shapeId="0" xr:uid="{00000000-0006-0000-0B00-00001E000000}">
      <text>
        <r>
          <rPr>
            <sz val="11"/>
            <rFont val="Calibri"/>
          </rPr>
          <t>Ensure Install Application Updates from the App Store Is Enabled</t>
        </r>
      </text>
    </comment>
    <comment ref="M252" authorId="0" shapeId="0" xr:uid="{00000000-0006-0000-0B00-00001F000000}">
      <text>
        <r>
          <rPr>
            <sz val="11"/>
            <rFont val="Calibri"/>
          </rPr>
          <t>Ensure Install Security Responses and System Files Is Enabled</t>
        </r>
      </text>
    </comment>
    <comment ref="H268" authorId="0" shapeId="0" xr:uid="{00000000-0006-0000-0B00-000020000000}">
      <text>
        <r>
          <rPr>
            <sz val="11"/>
            <rFont val="Calibri"/>
          </rPr>
          <t>Ensure Remote Apple Events Is Disabled</t>
        </r>
      </text>
    </comment>
    <comment ref="I268" authorId="0" shapeId="0" xr:uid="{00000000-0006-0000-0B00-000021000000}">
      <text>
        <r>
          <rPr>
            <sz val="11"/>
            <rFont val="Calibri"/>
          </rPr>
          <t>Ensure Content Caching Is Disabled</t>
        </r>
      </text>
    </comment>
    <comment ref="J268" authorId="0" shapeId="0" xr:uid="{00000000-0006-0000-0B00-000022000000}">
      <text>
        <r>
          <rPr>
            <sz val="11"/>
            <rFont val="Calibri"/>
          </rPr>
          <t>Ensure Bonjour Advertising Services Is Disabled</t>
        </r>
      </text>
    </comment>
    <comment ref="K268" authorId="0" shapeId="0" xr:uid="{00000000-0006-0000-0B00-000023000000}">
      <text>
        <r>
          <rPr>
            <sz val="11"/>
            <rFont val="Calibri"/>
          </rPr>
          <t>Ensure HTTP Server Is Disabled</t>
        </r>
      </text>
    </comment>
    <comment ref="L268" authorId="0" shapeId="0" xr:uid="{00000000-0006-0000-0B00-000024000000}">
      <text>
        <r>
          <rPr>
            <sz val="11"/>
            <rFont val="Calibri"/>
          </rPr>
          <t>Ensure NFS Server Is Disabled</t>
        </r>
      </text>
    </comment>
    <comment ref="H285" authorId="0" shapeId="0" xr:uid="{00000000-0006-0000-0B00-000025000000}">
      <text>
        <r>
          <rPr>
            <sz val="11"/>
            <rFont val="Calibri"/>
          </rPr>
          <t>Ensure Guest Account Is Disabled</t>
        </r>
      </text>
    </comment>
    <comment ref="I285" authorId="0" shapeId="0" xr:uid="{00000000-0006-0000-0B00-000026000000}">
      <text>
        <r>
          <rPr>
            <sz val="11"/>
            <rFont val="Calibri"/>
          </rPr>
          <t>Ensure Guest Access to Shared Folders Is Disabled</t>
        </r>
      </text>
    </comment>
    <comment ref="J285" authorId="0" shapeId="0" xr:uid="{00000000-0006-0000-0B00-000027000000}">
      <text>
        <r>
          <rPr>
            <sz val="11"/>
            <rFont val="Calibri"/>
          </rPr>
          <t>Ensure Automatic Login Is Disabled</t>
        </r>
      </text>
    </comment>
    <comment ref="K285" authorId="0" shapeId="0" xr:uid="{00000000-0006-0000-0B00-000028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L285" authorId="0" shapeId="0" xr:uid="{00000000-0006-0000-0B00-000029000000}">
      <text>
        <r>
          <rPr>
            <sz val="11"/>
            <rFont val="Calibri"/>
          </rPr>
          <t>Ensure the Guest Home Folder Does Not Exist</t>
        </r>
      </text>
    </comment>
    <comment ref="H287" authorId="0" shapeId="0" xr:uid="{00000000-0006-0000-0B00-00002A000000}">
      <text>
        <r>
          <rPr>
            <sz val="11"/>
            <rFont val="Calibri"/>
          </rPr>
          <t>Ensure Login Window Displays as Name and Password Is Enabled</t>
        </r>
      </text>
    </comment>
    <comment ref="I287" authorId="0" shapeId="0" xr:uid="{00000000-0006-0000-0B00-00002B000000}">
      <text>
        <r>
          <rPr>
            <sz val="11"/>
            <rFont val="Calibri"/>
          </rPr>
          <t>Ensure Automatic Login Is Disabled</t>
        </r>
      </text>
    </comment>
    <comment ref="H293" authorId="0" shapeId="0" xr:uid="{00000000-0006-0000-0B00-00002C000000}">
      <text>
        <r>
          <rPr>
            <sz val="11"/>
            <rFont val="Calibri"/>
          </rPr>
          <t>Ensure Show Password Hints Is Disabled</t>
        </r>
      </text>
    </comment>
    <comment ref="I293" authorId="0" shapeId="0" xr:uid="{00000000-0006-0000-0B00-00002D000000}">
      <text>
        <r>
          <rPr>
            <sz val="11"/>
            <rFont val="Calibri"/>
          </rPr>
          <t>Ensure Users</t>
        </r>
        <r>
          <rPr>
            <sz val="11"/>
            <color rgb="FF000000"/>
            <rFont val="Calibri"/>
          </rPr>
          <t>'</t>
        </r>
        <r>
          <rPr>
            <sz val="11"/>
            <color rgb="FF000000"/>
            <rFont val="Calibri"/>
          </rPr>
          <t xml:space="preserve"> Accounts Do Not Have a Password Hint</t>
        </r>
      </text>
    </comment>
    <comment ref="H295" authorId="0" shapeId="0" xr:uid="{00000000-0006-0000-0B00-00002E000000}">
      <text>
        <r>
          <rPr>
            <sz val="11"/>
            <rFont val="Calibri"/>
          </rPr>
          <t>Ensure Password Account Lockout Threshold Is Configured</t>
        </r>
      </text>
    </comment>
    <comment ref="I295" authorId="0" shapeId="0" xr:uid="{00000000-0006-0000-0B00-000031000000}">
      <text>
        <r>
          <rPr>
            <sz val="11"/>
            <rFont val="Calibri"/>
          </rPr>
          <t>Ensure Password Minimum Length Is Configured</t>
        </r>
      </text>
    </comment>
    <comment ref="J295" authorId="0" shapeId="0" xr:uid="{00000000-0006-0000-0B00-000032000000}">
      <text>
        <r>
          <rPr>
            <sz val="11"/>
            <rFont val="Calibri"/>
          </rPr>
          <t>Ensure Complex Password Must Contain Alphabetic Characters Is Configured</t>
        </r>
      </text>
    </comment>
    <comment ref="K295" authorId="0" shapeId="0" xr:uid="{00000000-0006-0000-0B00-000033000000}">
      <text>
        <r>
          <rPr>
            <sz val="11"/>
            <rFont val="Calibri"/>
          </rPr>
          <t>Ensure Complex Password Must Contain Numeric Character Is Configured</t>
        </r>
      </text>
    </comment>
    <comment ref="L295" authorId="0" shapeId="0" xr:uid="{00000000-0006-0000-0B00-000034000000}">
      <text>
        <r>
          <rPr>
            <sz val="11"/>
            <rFont val="Calibri"/>
          </rPr>
          <t>Ensure Complex Password Must Contain Special Character Is Configured</t>
        </r>
      </text>
    </comment>
    <comment ref="M295" authorId="0" shapeId="0" xr:uid="{00000000-0006-0000-0B00-000035000000}">
      <text>
        <r>
          <rPr>
            <sz val="11"/>
            <rFont val="Calibri"/>
          </rPr>
          <t>Ensure Complex Password Must Contain Uppercase and Lowercase Characters Is Configured</t>
        </r>
      </text>
    </comment>
    <comment ref="N295" authorId="0" shapeId="0" xr:uid="{00000000-0006-0000-0B00-00002F000000}">
      <text>
        <r>
          <rPr>
            <sz val="11"/>
            <rFont val="Calibri"/>
          </rPr>
          <t>Ensure Password Age Is Configured</t>
        </r>
      </text>
    </comment>
    <comment ref="O295" authorId="0" shapeId="0" xr:uid="{00000000-0006-0000-0B00-000030000000}">
      <text>
        <r>
          <rPr>
            <sz val="11"/>
            <rFont val="Calibri"/>
          </rPr>
          <t>Ensure Password History Is Configured</t>
        </r>
      </text>
    </comment>
    <comment ref="H296" authorId="0" shapeId="0" xr:uid="{00000000-0006-0000-0B00-000036000000}">
      <text>
        <r>
          <rPr>
            <sz val="11"/>
            <rFont val="Calibri"/>
          </rPr>
          <t>Ensure Password Minimum Length Is Configured</t>
        </r>
      </text>
    </comment>
    <comment ref="I296" authorId="0" shapeId="0" xr:uid="{00000000-0006-0000-0B00-000037000000}">
      <text>
        <r>
          <rPr>
            <sz val="11"/>
            <rFont val="Calibri"/>
          </rPr>
          <t>Ensure Complex Password Must Contain Alphabetic Characters Is Configured</t>
        </r>
      </text>
    </comment>
    <comment ref="J296" authorId="0" shapeId="0" xr:uid="{00000000-0006-0000-0B00-000038000000}">
      <text>
        <r>
          <rPr>
            <sz val="11"/>
            <rFont val="Calibri"/>
          </rPr>
          <t>Ensure Complex Password Must Contain Numeric Character Is Configured</t>
        </r>
      </text>
    </comment>
    <comment ref="K296" authorId="0" shapeId="0" xr:uid="{00000000-0006-0000-0B00-000039000000}">
      <text>
        <r>
          <rPr>
            <sz val="11"/>
            <rFont val="Calibri"/>
          </rPr>
          <t>Ensure Complex Password Must Contain Special Character Is Configured</t>
        </r>
      </text>
    </comment>
    <comment ref="L296" authorId="0" shapeId="0" xr:uid="{00000000-0006-0000-0B00-00003A000000}">
      <text>
        <r>
          <rPr>
            <sz val="11"/>
            <rFont val="Calibri"/>
          </rPr>
          <t>Ensure Complex Password Must Contain Uppercase and Lowercase Characters Is Configured</t>
        </r>
      </text>
    </comment>
    <comment ref="M296" authorId="0" shapeId="0" xr:uid="{00000000-0006-0000-0B00-00003B000000}">
      <text>
        <r>
          <rPr>
            <sz val="11"/>
            <rFont val="Calibri"/>
          </rPr>
          <t>Ensure Password Age Is Configured</t>
        </r>
      </text>
    </comment>
    <comment ref="N296" authorId="0" shapeId="0" xr:uid="{00000000-0006-0000-0B00-00003C000000}">
      <text>
        <r>
          <rPr>
            <sz val="11"/>
            <rFont val="Calibri"/>
          </rPr>
          <t>Ensure Password History Is Configured</t>
        </r>
      </text>
    </comment>
    <comment ref="H308" authorId="0" shapeId="0" xr:uid="{00000000-0006-0000-0B00-00003D000000}">
      <text>
        <r>
          <rPr>
            <sz val="11"/>
            <rFont val="Calibri"/>
          </rPr>
          <t>Ensure the Sudo Timeout Period Is Set to Zero</t>
        </r>
      </text>
    </comment>
    <comment ref="I308" authorId="0" shapeId="0" xr:uid="{00000000-0006-0000-0B00-00003E000000}">
      <text>
        <r>
          <rPr>
            <sz val="11"/>
            <rFont val="Calibri"/>
          </rPr>
          <t>Ensure a Separate Timestamp Is Enabled for Each User/tty Combo</t>
        </r>
      </text>
    </comment>
    <comment ref="J308" authorId="0" shapeId="0" xr:uid="{00000000-0006-0000-0B00-00003F000000}">
      <text>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text>
    </comment>
    <comment ref="K308" authorId="0" shapeId="0" xr:uid="{00000000-0006-0000-0B00-000040000000}">
      <text>
        <r>
          <rPr>
            <sz val="11"/>
            <rFont val="Calibri"/>
          </rPr>
          <t>Ensure an Administrator Account Cannot Login to Another User</t>
        </r>
        <r>
          <rPr>
            <sz val="11"/>
            <color rgb="FF000000"/>
            <rFont val="Calibri"/>
          </rPr>
          <t>'</t>
        </r>
        <r>
          <rPr>
            <sz val="11"/>
            <color rgb="FF000000"/>
            <rFont val="Calibri"/>
          </rPr>
          <t>s Active and Locked Session</t>
        </r>
      </text>
    </comment>
    <comment ref="H312" authorId="0" shapeId="0" xr:uid="{00000000-0006-0000-0B00-000041000000}">
      <text>
        <r>
          <rPr>
            <sz val="11"/>
            <rFont val="Calibri"/>
          </rPr>
          <t>Ensure the Sudo Timeout Period Is Set to Zero</t>
        </r>
      </text>
    </comment>
    <comment ref="I312" authorId="0" shapeId="0" xr:uid="{00000000-0006-0000-0B00-000042000000}">
      <text>
        <r>
          <rPr>
            <sz val="11"/>
            <rFont val="Calibri"/>
          </rPr>
          <t>Ensure a Separate Timestamp Is Enabled for Each User/tty Combo</t>
        </r>
      </text>
    </comment>
    <comment ref="H345" authorId="0" shapeId="0" xr:uid="{00000000-0006-0000-0B00-000043000000}">
      <text>
        <r>
          <rPr>
            <sz val="11"/>
            <rFont val="Calibri"/>
          </rPr>
          <t>Ensure Guest Access to Shared Folders Is Disabled</t>
        </r>
      </text>
    </comment>
    <comment ref="I345" authorId="0" shapeId="0" xr:uid="{00000000-0006-0000-0B00-000044000000}">
      <text>
        <r>
          <rPr>
            <sz val="11"/>
            <rFont val="Calibri"/>
          </rPr>
          <t>Ensure Access to Audit Records Is Controlled</t>
        </r>
      </text>
    </comment>
    <comment ref="J345" authorId="0" shapeId="0" xr:uid="{00000000-0006-0000-0B00-000045000000}">
      <text>
        <r>
          <rPr>
            <sz val="11"/>
            <rFont val="Calibri"/>
          </rPr>
          <t>Ensure Home Folders Are Secure</t>
        </r>
      </text>
    </comment>
    <comment ref="K345" authorId="0" shapeId="0" xr:uid="{00000000-0006-0000-0B00-000046000000}">
      <text>
        <r>
          <rPr>
            <sz val="11"/>
            <rFont val="Calibri"/>
          </rPr>
          <t>Ensure Appropriate Permissions Are Enabled for System Wide Applications</t>
        </r>
      </text>
    </comment>
    <comment ref="L345" authorId="0" shapeId="0" xr:uid="{00000000-0006-0000-0B00-000047000000}">
      <text>
        <r>
          <rPr>
            <sz val="11"/>
            <rFont val="Calibri"/>
          </rPr>
          <t>Ensure No World Writable Folders Exist in the System Folder</t>
        </r>
      </text>
    </comment>
    <comment ref="M345" authorId="0" shapeId="0" xr:uid="{00000000-0006-0000-0B00-000048000000}">
      <text>
        <r>
          <rPr>
            <sz val="11"/>
            <rFont val="Calibri"/>
          </rPr>
          <t>Ensure No World Writable Folders Exist in the Library Folder</t>
        </r>
      </text>
    </comment>
    <comment ref="H355" authorId="0" shapeId="0" xr:uid="{00000000-0006-0000-0B00-000049000000}">
      <text>
        <r>
          <rPr>
            <sz val="11"/>
            <rFont val="Calibri"/>
          </rPr>
          <t>Ensure Set Time and Date Automatically Is Enabled</t>
        </r>
      </text>
    </comment>
    <comment ref="I355" authorId="0" shapeId="0" xr:uid="{00000000-0006-0000-0B00-00004A000000}">
      <text>
        <r>
          <rPr>
            <sz val="11"/>
            <rFont val="Calibri"/>
          </rPr>
          <t>Ensure the Time Service Is Enabled</t>
        </r>
      </text>
    </comment>
    <comment ref="H356" authorId="0" shapeId="0" xr:uid="{00000000-0006-0000-0B00-00004B000000}">
      <text>
        <r>
          <rPr>
            <sz val="11"/>
            <rFont val="Calibri"/>
          </rPr>
          <t>Ensure Security Auditing Is Enabled</t>
        </r>
      </text>
    </comment>
    <comment ref="I356" authorId="0" shapeId="0" xr:uid="{00000000-0006-0000-0B00-00004C000000}">
      <text>
        <r>
          <rPr>
            <sz val="11"/>
            <rFont val="Calibri"/>
          </rPr>
          <t>Ensure Security Auditing Flags For User-Attributable Events Are Configured Per Local Organizational Requirements</t>
        </r>
      </text>
    </comment>
    <comment ref="J356" authorId="0" shapeId="0" xr:uid="{00000000-0006-0000-0B00-00004D000000}">
      <text>
        <r>
          <rPr>
            <sz val="11"/>
            <rFont val="Calibri"/>
          </rPr>
          <t>Ensure Access to Audit Records Is Controlled</t>
        </r>
      </text>
    </comment>
    <comment ref="K356" authorId="0" shapeId="0" xr:uid="{00000000-0006-0000-0B00-00004E000000}">
      <text>
        <r>
          <rPr>
            <sz val="11"/>
            <rFont val="Calibri"/>
          </rPr>
          <t>Ensure Firewall Logging Is Enabled and Configured</t>
        </r>
      </text>
    </comment>
    <comment ref="H360" authorId="0" shapeId="0" xr:uid="{00000000-0006-0000-0B00-00004F000000}">
      <text>
        <r>
          <rPr>
            <sz val="11"/>
            <rFont val="Calibri"/>
          </rPr>
          <t>Ensure Security Auditing Is Enabled</t>
        </r>
      </text>
    </comment>
    <comment ref="H361" authorId="0" shapeId="0" xr:uid="{00000000-0006-0000-0B00-000050000000}">
      <text>
        <r>
          <rPr>
            <sz val="11"/>
            <rFont val="Calibri"/>
          </rPr>
          <t>Ensure Security Auditing Flags For User-Attributable Events Are Configured Per Local Organizational Requirements</t>
        </r>
      </text>
    </comment>
    <comment ref="H363" authorId="0" shapeId="0" xr:uid="{00000000-0006-0000-0B00-000051000000}">
      <text>
        <r>
          <rPr>
            <sz val="11"/>
            <rFont val="Calibri"/>
          </rPr>
          <t>Ensure install.log Is Retained for 365 or More Days and No Maximum Size</t>
        </r>
      </text>
    </comment>
    <comment ref="I363" authorId="0" shapeId="0" xr:uid="{00000000-0006-0000-0B00-000052000000}">
      <text>
        <r>
          <rPr>
            <sz val="11"/>
            <rFont val="Calibri"/>
          </rPr>
          <t>Ensure Security Auditing Retention Is Enabled</t>
        </r>
      </text>
    </comment>
    <comment ref="H368" authorId="0" shapeId="0" xr:uid="{00000000-0006-0000-0B00-000053000000}">
      <text>
        <r>
          <rPr>
            <sz val="11"/>
            <rFont val="Calibri"/>
          </rPr>
          <t>Ensure install.log Is Retained for 365 or More Days and No Maximum Size</t>
        </r>
      </text>
    </comment>
  </commentList>
</comments>
</file>

<file path=xl/sharedStrings.xml><?xml version="1.0" encoding="utf-8"?>
<sst xmlns="http://schemas.openxmlformats.org/spreadsheetml/2006/main" count="11880" uniqueCount="6034">
  <si>
    <t>Section</t>
  </si>
  <si>
    <t>Id</t>
  </si>
  <si>
    <t>Title</t>
  </si>
  <si>
    <t>Assessment</t>
  </si>
  <si>
    <t>Profile</t>
  </si>
  <si>
    <t>MoSCoW</t>
  </si>
  <si>
    <t>OpsImpact</t>
  </si>
  <si>
    <t>Phase</t>
  </si>
  <si>
    <t>ImplStatus</t>
  </si>
  <si>
    <t>Notes</t>
  </si>
  <si>
    <t>Remediation</t>
  </si>
  <si>
    <t>Description</t>
  </si>
  <si>
    <t>Impact</t>
  </si>
  <si>
    <t>Audit</t>
  </si>
  <si>
    <t>Default</t>
  </si>
  <si>
    <t>Status</t>
  </si>
  <si>
    <t>LogID</t>
  </si>
  <si>
    <t>Install Updates, Patches and Additional Security Software</t>
  </si>
  <si>
    <t>1.1</t>
  </si>
  <si>
    <r>
      <rPr>
        <sz val="11"/>
        <rFont val="Calibri"/>
      </rPr>
      <t>Ensure All Apple-provided Software Is Current</t>
    </r>
  </si>
  <si>
    <t>Automated</t>
  </si>
  <si>
    <t>Level 1</t>
  </si>
  <si>
    <t>Unassigned</t>
  </si>
  <si>
    <t>Unassessed</t>
  </si>
  <si>
    <t>Pending</t>
  </si>
  <si>
    <t/>
  </si>
  <si>
    <r>
      <rPr>
        <sz val="11"/>
        <color rgb="FF000000"/>
        <rFont val="Calibri"/>
      </rPr>
      <t>Run the following command to verify what packages need to be installed:</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0000"/>
        <rFont val="Calibri"/>
      </rPr>
      <t xml:space="preserve">
</t>
    </r>
    <r>
      <rPr>
        <sz val="11"/>
        <color rgb="FF000000"/>
        <rFont val="Calibri"/>
      </rPr>
      <t>The output will include the following:</t>
    </r>
    <r>
      <rPr>
        <b/>
        <sz val="11"/>
        <color rgb="FF000000"/>
        <rFont val="Calibri"/>
      </rPr>
      <t>Software Update found the following new or updated software:</t>
    </r>
    <r>
      <rPr>
        <sz val="11"/>
        <color rgb="FF000000"/>
        <rFont val="Calibri"/>
      </rPr>
      <t xml:space="preserve">
</t>
    </r>
    <r>
      <rPr>
        <sz val="11"/>
        <color rgb="FF000000"/>
        <rFont val="Calibri"/>
      </rPr>
      <t>Run the following command to install all the packages that need to be updated:</t>
    </r>
    <r>
      <rPr>
        <sz val="11"/>
        <color rgb="FF000000"/>
        <rFont val="Calibri"/>
      </rPr>
      <t xml:space="preserve">
</t>
    </r>
    <r>
      <rPr>
        <sz val="11"/>
        <color rgb="FF000000"/>
        <rFont val="Calibri"/>
      </rPr>
      <t>To install all updates run the command:</t>
    </r>
    <r>
      <rPr>
        <sz val="11"/>
        <color rgb="FF000000"/>
        <rFont val="Calibri"/>
      </rPr>
      <t xml:space="preserve">
</t>
    </r>
    <r>
      <rPr>
        <sz val="11"/>
        <color rgb="FF006096"/>
        <rFont val="Roboto Condensed"/>
      </rPr>
      <t>% /usr/bin/sudo /usr/sbin/softwareupdate -i -a</t>
    </r>
    <r>
      <rPr>
        <sz val="11"/>
        <color rgb="FF006096"/>
        <rFont val="Roboto Condensed"/>
      </rPr>
      <t xml:space="preserve">
</t>
    </r>
    <r>
      <rPr>
        <sz val="11"/>
        <color rgb="FF000000"/>
        <rFont val="Calibri"/>
      </rPr>
      <t xml:space="preserve">
</t>
    </r>
    <r>
      <rPr>
        <sz val="11"/>
        <color rgb="FF000000"/>
        <rFont val="Calibri"/>
      </rPr>
      <t>Or run the following command to install individual packages:</t>
    </r>
    <r>
      <rPr>
        <sz val="11"/>
        <color rgb="FF000000"/>
        <rFont val="Calibri"/>
      </rPr>
      <t xml:space="preserve">
</t>
    </r>
    <r>
      <rPr>
        <sz val="11"/>
        <color rgb="FF006096"/>
        <rFont val="Roboto Condensed"/>
      </rPr>
      <t>% /usr/bin/sudo /usr/sbin/softwareupdate -i '&lt;package name&gt;'</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one of the software updates listed includes </t>
    </r>
    <r>
      <rPr>
        <b/>
        <sz val="11"/>
        <color rgb="FF000000"/>
        <rFont val="Calibri"/>
      </rPr>
      <t>Action: restart</t>
    </r>
    <r>
      <rPr>
        <sz val="11"/>
        <color rgb="FF000000"/>
        <rFont val="Calibri"/>
      </rPr>
      <t xml:space="preserve">, then you must attach the </t>
    </r>
    <r>
      <rPr>
        <b/>
        <sz val="11"/>
        <color rgb="FF000000"/>
        <rFont val="Calibri"/>
      </rPr>
      <t>-R</t>
    </r>
    <r>
      <rPr>
        <sz val="11"/>
        <color rgb="FF000000"/>
        <rFont val="Calibri"/>
      </rPr>
      <t xml:space="preserve"> flag to force a system restart. If the system update is complete but no restart occurs, then the system is in an unknown state that requires a future restart. It is advised to run updates and forced restarts during system downtime and not while in active use.</t>
    </r>
    <r>
      <rPr>
        <sz val="11"/>
        <color rgb="FF000000"/>
        <rFont val="Calibri"/>
      </rPr>
      <t xml:space="preserve">
</t>
    </r>
    <r>
      <rPr>
        <i/>
        <sz val="11"/>
        <color rgb="FF000000"/>
        <rFont val="Calibri"/>
      </rPr>
      <t>example:</t>
    </r>
    <r>
      <rPr>
        <sz val="11"/>
        <color rgb="FF000000"/>
        <rFont val="Calibri"/>
      </rPr>
      <t xml:space="preserve">
</t>
    </r>
    <r>
      <rPr>
        <sz val="11"/>
        <color rgb="FF006096"/>
        <rFont val="Roboto Condensed"/>
      </rPr>
      <t xml:space="preserve">% /usr/bin/sudo /usr/sbin/softwareupdate -l </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Software Update found the following new or updated software:</t>
    </r>
    <r>
      <rPr>
        <sz val="11"/>
        <color rgb="FF006096"/>
        <rFont val="Roboto Condensed"/>
      </rPr>
      <t xml:space="preserve">
</t>
    </r>
    <r>
      <rPr>
        <sz val="11"/>
        <color rgb="FF006096"/>
        <rFont val="Roboto Condensed"/>
      </rPr>
      <t>* Label: ProVideoFormats-2.2.7</t>
    </r>
    <r>
      <rPr>
        <sz val="11"/>
        <color rgb="FF006096"/>
        <rFont val="Roboto Condensed"/>
      </rPr>
      <t xml:space="preserve">
</t>
    </r>
    <r>
      <rPr>
        <sz val="11"/>
        <color rgb="FF006096"/>
        <rFont val="Roboto Condensed"/>
      </rPr>
      <t xml:space="preserve">	Title: Pro Video Formats, Version: 2.2.7, Size: 9693KiB, Recommended: YES, </t>
    </r>
    <r>
      <rPr>
        <sz val="11"/>
        <color rgb="FF006096"/>
        <rFont val="Roboto Condensed"/>
      </rPr>
      <t xml:space="preserve">
</t>
    </r>
    <r>
      <rPr>
        <sz val="11"/>
        <color rgb="FF006096"/>
        <rFont val="Roboto Condensed"/>
      </rPr>
      <t>* Label: Command Line Tools for Xcode-15.0</t>
    </r>
    <r>
      <rPr>
        <sz val="11"/>
        <color rgb="FF006096"/>
        <rFont val="Roboto Condensed"/>
      </rPr>
      <t xml:space="preserve">
</t>
    </r>
    <r>
      <rPr>
        <sz val="11"/>
        <color rgb="FF006096"/>
        <rFont val="Roboto Condensed"/>
      </rPr>
      <t xml:space="preserve">	Title: Command Line Tools for Xcode, Version: 15.0, Size: 721962KiB, Recommended: YES, </t>
    </r>
    <r>
      <rPr>
        <sz val="11"/>
        <color rgb="FF006096"/>
        <rFont val="Roboto Condensed"/>
      </rPr>
      <t xml:space="preserve">
</t>
    </r>
    <r>
      <rPr>
        <sz val="11"/>
        <color rgb="FF006096"/>
        <rFont val="Roboto Condensed"/>
      </rPr>
      <t>% /usr/bin/sudo /usr/sbin/softwareupdate -i 'ProVideoFormats-2.2.7'</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Attempting to quit apps: (</t>
    </r>
    <r>
      <rPr>
        <sz val="11"/>
        <color rgb="FF006096"/>
        <rFont val="Roboto Condensed"/>
      </rPr>
      <t xml:space="preserve">
</t>
    </r>
    <r>
      <rPr>
        <sz val="11"/>
        <color rgb="FF006096"/>
        <rFont val="Roboto Condensed"/>
      </rPr>
      <t xml:space="preserve">    "com.apple.Compressor"</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Waiting for user to quit any relevant apps</t>
    </r>
    <r>
      <rPr>
        <sz val="11"/>
        <color rgb="FF006096"/>
        <rFont val="Roboto Condensed"/>
      </rPr>
      <t xml:space="preserve">
</t>
    </r>
    <r>
      <rPr>
        <sz val="11"/>
        <color rgb="FF006096"/>
        <rFont val="Roboto Condensed"/>
      </rPr>
      <t>Successfully quit all apps</t>
    </r>
    <r>
      <rPr>
        <sz val="11"/>
        <color rgb="FF006096"/>
        <rFont val="Roboto Condensed"/>
      </rPr>
      <t xml:space="preserve">
</t>
    </r>
    <r>
      <rPr>
        <sz val="11"/>
        <color rgb="FF006096"/>
        <rFont val="Roboto Condensed"/>
      </rPr>
      <t>Downloaded Pro Video Formats</t>
    </r>
    <r>
      <rPr>
        <sz val="11"/>
        <color rgb="FF006096"/>
        <rFont val="Roboto Condensed"/>
      </rPr>
      <t xml:space="preserve">
</t>
    </r>
    <r>
      <rPr>
        <sz val="11"/>
        <color rgb="FF006096"/>
        <rFont val="Roboto Condensed"/>
      </rPr>
      <t>Installing Pro Video Formats</t>
    </r>
    <r>
      <rPr>
        <sz val="11"/>
        <color rgb="FF006096"/>
        <rFont val="Roboto Condensed"/>
      </rPr>
      <t xml:space="preserve">
</t>
    </r>
    <r>
      <rPr>
        <sz val="11"/>
        <color rgb="FF006096"/>
        <rFont val="Roboto Condensed"/>
      </rPr>
      <t>Done with Pro Video Formats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sz val="11"/>
        <color rgb="FF000000"/>
        <rFont val="Calibri"/>
      </rPr>
      <t xml:space="preserve">In the above example, if a restart was required, the command to remediate would be </t>
    </r>
    <r>
      <rPr>
        <b/>
        <sz val="11"/>
        <color rgb="FF000000"/>
        <rFont val="Calibri"/>
      </rPr>
      <t>/usr/bin/sudo /usr/sbin/softwareupdate -i 'ProVideoFormats-2.2.7' -R</t>
    </r>
  </si>
  <si>
    <r>
      <rPr>
        <sz val="11"/>
        <color rgb="FF000000"/>
        <rFont val="Calibri"/>
      </rPr>
      <t>Software vendors release security patches and software updates for their products when security vulnerabilities are discovered. There is no simple way to complete this action without a network connection to an Apple software repository. Please ensure appropriate access for this control. This check is only for what Apple provides through software update.</t>
    </r>
    <r>
      <rPr>
        <sz val="11"/>
        <color rgb="FF000000"/>
        <rFont val="Calibri"/>
      </rPr>
      <t xml:space="preserve">
</t>
    </r>
    <r>
      <rPr>
        <sz val="11"/>
        <color rgb="FF000000"/>
        <rFont val="Calibri"/>
      </rPr>
      <t>Software updates should be run at minimum every 30 days. Run the following command to verify when software update was previously run:</t>
    </r>
    <r>
      <rPr>
        <sz val="11"/>
        <color rgb="FF000000"/>
        <rFont val="Calibri"/>
      </rPr>
      <t xml:space="preserve">
</t>
    </r>
    <r>
      <rPr>
        <b/>
        <sz val="11"/>
        <color rgb="FF000000"/>
        <rFont val="Calibri"/>
      </rPr>
      <t>$ /usr/bin/sudo defaults read /Library/Preferences/com.apple.SoftwareUpdate | grep -e LastFullSuccessfulDate</t>
    </r>
    <r>
      <rPr>
        <sz val="11"/>
        <color rgb="FF000000"/>
        <rFont val="Calibri"/>
      </rPr>
      <t>.</t>
    </r>
    <r>
      <rPr>
        <sz val="11"/>
        <color rgb="FF000000"/>
        <rFont val="Calibri"/>
      </rPr>
      <t xml:space="preserve">
</t>
    </r>
    <r>
      <rPr>
        <sz val="11"/>
        <color rgb="FF000000"/>
        <rFont val="Calibri"/>
      </rPr>
      <t>The response should be in the last 30 days (</t>
    </r>
    <r>
      <rPr>
        <i/>
        <sz val="11"/>
        <color rgb="FF000000"/>
        <rFont val="Calibri"/>
      </rPr>
      <t>Example</t>
    </r>
    <r>
      <rPr>
        <sz val="11"/>
        <color rgb="FF000000"/>
        <rFont val="Calibri"/>
      </rPr>
      <t xml:space="preserve">): </t>
    </r>
    <r>
      <rPr>
        <b/>
        <sz val="11"/>
        <color rgb="FF000000"/>
        <rFont val="Calibri"/>
      </rPr>
      <t>LastFullSuccessfulDate = "2020-07-30 12:45:25 +0000";</t>
    </r>
  </si>
  <si>
    <r>
      <rPr>
        <sz val="11"/>
        <color rgb="FF000000"/>
        <rFont val="Calibri"/>
      </rPr>
      <t>Installation of updates can be disruptive to the users especially if a restart is required. Major updates need to be applied after creating an organizational patch policy. It is also advised to run updates and forced restarts during system downtime and not while in active use.</t>
    </r>
  </si>
  <si>
    <r>
      <rPr>
        <sz val="11"/>
        <color rgb="FF000000"/>
        <rFont val="Calibri"/>
      </rPr>
      <t>Run the following command to verify there are no software updates:</t>
    </r>
    <r>
      <rPr>
        <sz val="11"/>
        <color rgb="FF000000"/>
        <rFont val="Calibri"/>
      </rPr>
      <t xml:space="preserve">
</t>
    </r>
    <r>
      <rPr>
        <sz val="11"/>
        <color rgb="FF006096"/>
        <rFont val="Roboto Condensed"/>
      </rPr>
      <t>% /usr/bin/sudo /usr/sbin/softwareupdate -l</t>
    </r>
    <r>
      <rPr>
        <sz val="11"/>
        <color rgb="FF006096"/>
        <rFont val="Roboto Condensed"/>
      </rPr>
      <t xml:space="preserve">
</t>
    </r>
    <r>
      <rPr>
        <sz val="11"/>
        <color rgb="FF006096"/>
        <rFont val="Roboto Condensed"/>
      </rPr>
      <t>Software Update Tool</t>
    </r>
    <r>
      <rPr>
        <sz val="11"/>
        <color rgb="FF006096"/>
        <rFont val="Roboto Condensed"/>
      </rPr>
      <t xml:space="preserve">
</t>
    </r>
    <r>
      <rPr>
        <sz val="11"/>
        <color rgb="FF006096"/>
        <rFont val="Roboto Condensed"/>
      </rPr>
      <t>Finding available software</t>
    </r>
    <r>
      <rPr>
        <sz val="11"/>
        <color rgb="FF006096"/>
        <rFont val="Roboto Condensed"/>
      </rPr>
      <t xml:space="preserve">
</t>
    </r>
    <r>
      <rPr>
        <sz val="11"/>
        <color rgb="FF006096"/>
        <rFont val="Roboto Condensed"/>
      </rPr>
      <t xml:space="preserve">No new software available.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 are running a previous version of macOS, the output will say that the current version is available. As long as the system is on the current point release of macOS, it is compliant. It is recommended that your organization moves to the current version of macOS once a .1 version is released. Be aware that old macOS versions will stop receiving any updates.</t>
    </r>
  </si>
  <si>
    <t>1.2</t>
  </si>
  <si>
    <r>
      <rPr>
        <sz val="11"/>
        <rFont val="Calibri"/>
      </rPr>
      <t>Ensure Auto Update Is Enabled</t>
    </r>
  </si>
  <si>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AutomaticCheckEnabled -bool true  </t>
    </r>
    <r>
      <rPr>
        <sz val="11"/>
        <color rgb="FF006096"/>
        <rFont val="Roboto Condensed"/>
      </rPr>
      <t xml:space="preserve">
</t>
    </r>
  </si>
  <si>
    <r>
      <rPr>
        <sz val="11"/>
        <color rgb="FF000000"/>
        <rFont val="Calibri"/>
      </rPr>
      <t>Auto Update verifies that your system has the newest security patches and software updates. If "Automatically check for updates" is not selected, background updates for new malware definition files from Apple for XProtect and Gatekeeper will not occur.</t>
    </r>
    <r>
      <rPr>
        <sz val="11"/>
        <color rgb="FF000000"/>
        <rFont val="Calibri"/>
      </rPr>
      <t xml:space="preserve">
</t>
    </r>
    <r>
      <rPr>
        <sz val="11"/>
        <color rgb="FF000000"/>
        <rFont val="Calibri"/>
      </rPr>
      <t>http://macops.ca/os-x-admins-your-clients-are-not-getting-background-security-updates/</t>
    </r>
    <r>
      <rPr>
        <sz val="11"/>
        <color rgb="FF000000"/>
        <rFont val="Calibri"/>
      </rPr>
      <t xml:space="preserve">
</t>
    </r>
    <r>
      <rPr>
        <sz val="11"/>
        <color rgb="FF000000"/>
        <rFont val="Calibri"/>
      </rPr>
      <t>https://derflounder.wordpress.com/2014/12/17/forcing-xprotect-blacklist-updates-on-mavericks-and-yosemite/</t>
    </r>
  </si>
  <si>
    <r>
      <rPr>
        <sz val="11"/>
        <color rgb="FF000000"/>
        <rFont val="Calibri"/>
      </rPr>
      <t>Without automatic update, updates may not be made in a timely manner and the system will be exposed to additional risk.</t>
    </r>
  </si>
  <si>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.objectForKey('AutomaticCheckEnabled').js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</si>
  <si>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1.3</t>
  </si>
  <si>
    <r>
      <rPr>
        <sz val="11"/>
        <rFont val="Calibri"/>
      </rPr>
      <t>Ensure Download New Updates When Available Is Enabled</t>
    </r>
  </si>
  <si>
    <r>
      <rPr>
        <sz val="11"/>
        <color rgb="FF000000"/>
        <rFont val="Calibri"/>
      </rPr>
      <t>Run the following command to enable auto update:</t>
    </r>
    <r>
      <rPr>
        <sz val="11"/>
        <color rgb="FF000000"/>
        <rFont val="Calibri"/>
      </rPr>
      <t xml:space="preserve">
</t>
    </r>
    <r>
      <rPr>
        <sz val="11"/>
        <color rgb="FF006096"/>
        <rFont val="Roboto Condensed"/>
      </rPr>
      <t xml:space="preserve">% /usr/bin/sudo /usr/bin/defaults write /Library/Preferences/com.apple.SoftwareUpdate AutomaticDownload -bool true  </t>
    </r>
    <r>
      <rPr>
        <sz val="11"/>
        <color rgb="FF006096"/>
        <rFont val="Roboto Condensed"/>
      </rPr>
      <t xml:space="preserve">
</t>
    </r>
  </si>
  <si>
    <r>
      <rPr>
        <sz val="11"/>
        <color rgb="FF000000"/>
        <rFont val="Calibri"/>
      </rPr>
      <t>In the GUI, both "Install macOS updates" and "Install app updates from the App Store" are dependent on whether "Download new updates when available" is selected.</t>
    </r>
  </si>
  <si>
    <r>
      <rPr>
        <sz val="11"/>
        <color rgb="FF000000"/>
        <rFont val="Calibri"/>
      </rPr>
      <t>If "Download new updates when available" is not selected, updates may not be made in a timely manner and the system will be exposed to additional risk.</t>
    </r>
  </si>
  <si>
    <r>
      <rPr>
        <sz val="11"/>
        <color rgb="FF000000"/>
        <rFont val="Calibri"/>
      </rPr>
      <t>Run the following command to verify that software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.objectForKey('AutomaticDownload').js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</si>
  <si>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1.4</t>
  </si>
  <si>
    <r>
      <rPr>
        <sz val="11"/>
        <rFont val="Calibri"/>
      </rPr>
      <t>Ensure Install of macOS Updates Is Enabled</t>
    </r>
  </si>
  <si>
    <r>
      <rPr>
        <sz val="11"/>
        <color rgb="FF000000"/>
        <rFont val="Calibri"/>
      </rPr>
      <t>Run the following command to to enable automatic checking and installing of macOS updates:</t>
    </r>
    <r>
      <rPr>
        <sz val="11"/>
        <color rgb="FF000000"/>
        <rFont val="Calibri"/>
      </rPr>
      <t xml:space="preserve">
</t>
    </r>
    <r>
      <rPr>
        <sz val="11"/>
        <color rgb="FF006096"/>
        <rFont val="Roboto Condensed"/>
      </rPr>
      <t>% /usr/bin/sudo /usr/bin/defaults write /Library/Preferences/com.apple.SoftwareUpdate AutomaticallyInstallMacOSUpdates -bool TRUE</t>
    </r>
    <r>
      <rPr>
        <sz val="11"/>
        <color rgb="FF006096"/>
        <rFont val="Roboto Condensed"/>
      </rPr>
      <t xml:space="preserve">
</t>
    </r>
  </si>
  <si>
    <r>
      <rPr>
        <sz val="11"/>
        <color rgb="FF000000"/>
        <rFont val="Calibri"/>
      </rPr>
      <t>Ensure that macOS updates are installed after they are available from Apple. This setting enables macOS updates to be automatically installed. Some environments will want to approve and test updates before they are delivered. It is best practice to test first where updates can and have caused disruptions to operations. Automatic updates should be turned off where changes are tightly controlled and there are mature testing and approval processes. Automatic updates should not be turned off simply to allow the administrator to contact users in order to verify installation. A dependable, repeatable process involving a patch agent or remote management tool should be in place before auto-updates are turned off.</t>
    </r>
  </si>
  <si>
    <r>
      <rPr>
        <sz val="11"/>
        <color rgb="FF000000"/>
        <rFont val="Calibri"/>
      </rPr>
      <t>Unpatched software may be exploited.</t>
    </r>
  </si>
  <si>
    <r>
      <rPr>
        <sz val="11"/>
        <color rgb="FF000000"/>
        <rFont val="Calibri"/>
      </rPr>
      <t>Run the following command to verify that macOS updates are automatically checked and installed: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$.NSUserDefaults.alloc.initWithSuiteName('com.apple.SoftwareUpdate')\</t>
    </r>
    <r>
      <rPr>
        <sz val="11"/>
        <color rgb="FF006096"/>
        <rFont val="Roboto Condensed"/>
      </rPr>
      <t xml:space="preserve">
</t>
    </r>
    <r>
      <rPr>
        <sz val="11"/>
        <color rgb="FF006096"/>
        <rFont val="Roboto Condensed"/>
      </rPr>
      <t>.objectForKey('AutomaticallyInstallMacOSUpdates').js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</si>
  <si>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1.5</t>
  </si>
  <si>
    <r>
      <rPr>
        <sz val="11"/>
        <rFont val="Calibri"/>
      </rPr>
      <t>Ensure Install Application Updates from the App Store Is Enabled</t>
    </r>
  </si>
  <si>
    <r>
      <rPr>
        <sz val="11"/>
        <color rgb="FF000000"/>
        <rFont val="Calibri"/>
      </rPr>
      <t>Run the following command to turn on App Store auto updating:</t>
    </r>
    <r>
      <rPr>
        <sz val="11"/>
        <color rgb="FF000000"/>
        <rFont val="Calibri"/>
      </rPr>
      <t xml:space="preserve">
</t>
    </r>
    <r>
      <rPr>
        <sz val="11"/>
        <color rgb="FF006096"/>
        <rFont val="Roboto Condensed"/>
      </rPr>
      <t>% /usr/bin/sudo /usr/bin/defaults write /Library/Preferences/com.apple.commerce AutoUpdate -bool TRUE</t>
    </r>
    <r>
      <rPr>
        <sz val="11"/>
        <color rgb="FF006096"/>
        <rFont val="Roboto Condensed"/>
      </rPr>
      <t xml:space="preserve">
</t>
    </r>
  </si>
  <si>
    <r>
      <rPr>
        <sz val="11"/>
        <color rgb="FF000000"/>
        <rFont val="Calibri"/>
      </rPr>
      <t>Ensure that application updates are installed after they are available from Apple. These updates do not require reboots or administrator privileges for end users.</t>
    </r>
  </si>
  <si>
    <r>
      <rPr>
        <sz val="11"/>
        <color rgb="FF000000"/>
        <rFont val="Calibri"/>
      </rPr>
      <t>Run the following command to verify that App Store updates are auto updating:</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$.NSUserDefaults.alloc.initWithSuiteName('com.apple.commerce')\</t>
    </r>
    <r>
      <rPr>
        <sz val="11"/>
        <color rgb="FF006096"/>
        <rFont val="Roboto Condensed"/>
      </rPr>
      <t xml:space="preserve">
</t>
    </r>
    <r>
      <rPr>
        <sz val="11"/>
        <color rgb="FF006096"/>
        <rFont val="Roboto Condensed"/>
      </rPr>
      <t>.objectForKey('AutoUpdate').js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</si>
  <si>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1.6</t>
  </si>
  <si>
    <r>
      <rPr>
        <sz val="11"/>
        <rFont val="Calibri"/>
      </rPr>
      <t>Ensure Install Security Responses and System Files Is Enabled</t>
    </r>
  </si>
  <si>
    <r>
      <rPr>
        <sz val="11"/>
        <color rgb="FF000000"/>
        <rFont val="Calibri"/>
      </rPr>
      <t>Run the following commands to enable automatic checking of system data files and security updates:</t>
    </r>
    <r>
      <rPr>
        <sz val="11"/>
        <color rgb="FF000000"/>
        <rFont val="Calibri"/>
      </rPr>
      <t xml:space="preserve">
</t>
    </r>
    <r>
      <rPr>
        <sz val="11"/>
        <color rgb="FF006096"/>
        <rFont val="Roboto Condensed"/>
      </rPr>
      <t xml:space="preserve">% /usr/bin/sudo  /usr/bin/defaults write /Library/Preferences/com.apple.SoftwareUpdate ConfigDataInstall -bool true </t>
    </r>
    <r>
      <rPr>
        <sz val="11"/>
        <color rgb="FF006096"/>
        <rFont val="Roboto Condensed"/>
      </rPr>
      <t xml:space="preserve">
</t>
    </r>
    <r>
      <rPr>
        <sz val="11"/>
        <color rgb="FF006096"/>
        <rFont val="Roboto Condensed"/>
      </rPr>
      <t>% /usr/bin/sudo  /usr/bin/defaults write /Library/Preferences/com.apple.SoftwareUpdate CriticalUpdateInstall -bool true</t>
    </r>
    <r>
      <rPr>
        <sz val="11"/>
        <color rgb="FF006096"/>
        <rFont val="Roboto Condensed"/>
      </rPr>
      <t xml:space="preserve">
</t>
    </r>
  </si>
  <si>
    <r>
      <rPr>
        <sz val="11"/>
        <color rgb="FF000000"/>
        <rFont val="Calibri"/>
      </rPr>
      <t>Ensure that system and security updates are installed after they are available from Apple. This setting enables definition updates for XProtect and Gatekeeper. With this setting in place, new malware and adware that Apple has added to the list of malware or untrusted software will not execute. These updates do not require reboots or end user admin rights.</t>
    </r>
    <r>
      <rPr>
        <sz val="11"/>
        <color rgb="FF000000"/>
        <rFont val="Calibri"/>
      </rPr>
      <t xml:space="preserve">
</t>
    </r>
    <r>
      <rPr>
        <sz val="11"/>
        <color rgb="FF000000"/>
        <rFont val="Calibri"/>
      </rPr>
      <t>Apple has introduced a security feature that allows for smaller downloads and the installation of security updates when a reboot is not required. This feature is only available when the last regular update has already been applied. This feature emphasizes that a Mac must be up-to-date on patches so that Apple's security tools can be used to quickly patch when a rapid response is necessary.</t>
    </r>
  </si>
  <si>
    <r>
      <rPr>
        <sz val="11"/>
        <color rgb="FF000000"/>
        <rFont val="Calibri"/>
      </rPr>
      <t>Run the following commands to verify that system data files and security updates are automatically checked: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ObjC.unwrap($.NSUserDefaults.alloc.initWithSuiteName('com.apple.SoftwareUpdate')\</t>
    </r>
    <r>
      <rPr>
        <sz val="11"/>
        <color rgb="FF006096"/>
        <rFont val="Roboto Condensed"/>
      </rPr>
      <t xml:space="preserve">
</t>
    </r>
    <r>
      <rPr>
        <sz val="11"/>
        <color rgb="FF006096"/>
        <rFont val="Roboto Condensed"/>
      </rPr>
      <t xml:space="preserve">  .objectForKey('ConfigDataInstall'))</t>
    </r>
    <r>
      <rPr>
        <sz val="11"/>
        <color rgb="FF006096"/>
        <rFont val="Roboto Condensed"/>
      </rPr>
      <t xml:space="preserve">
</t>
    </r>
    <r>
      <rPr>
        <sz val="11"/>
        <color rgb="FF006096"/>
        <rFont val="Roboto Condensed"/>
      </rPr>
      <t xml:space="preserve">  let pref2 = ObjC.unwrap($.NSUserDefaults.alloc.initWithSuiteName('com.apple.SoftwareUpdate')\</t>
    </r>
    <r>
      <rPr>
        <sz val="11"/>
        <color rgb="FF006096"/>
        <rFont val="Roboto Condensed"/>
      </rPr>
      <t xml:space="preserve">
</t>
    </r>
    <r>
      <rPr>
        <sz val="11"/>
        <color rgb="FF006096"/>
        <rFont val="Roboto Condensed"/>
      </rPr>
      <t xml:space="preserve">  .objectForKey('CriticalUpdateInstall'))</t>
    </r>
    <r>
      <rPr>
        <sz val="11"/>
        <color rgb="FF006096"/>
        <rFont val="Roboto Condensed"/>
      </rPr>
      <t xml:space="preserve">
</t>
    </r>
    <r>
      <rPr>
        <sz val="11"/>
        <color rgb="FF006096"/>
        <rFont val="Roboto Condensed"/>
      </rPr>
      <t xml:space="preserve">  if ( pref1 == 1 &amp;&amp; pref2 == 1 )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</si>
  <si>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Network</t>
  </si>
  <si>
    <t>2.1.1</t>
  </si>
  <si>
    <r>
      <rPr>
        <sz val="11"/>
        <rFont val="Calibri"/>
      </rPr>
      <t>Ensure Firewall Is Enabled</t>
    </r>
  </si>
  <si>
    <r>
      <rPr>
        <sz val="11"/>
        <color rgb="FF000000"/>
        <rFont val="Calibri"/>
      </rPr>
      <t>Run the following command to enable the firewall:</t>
    </r>
    <r>
      <rPr>
        <sz val="11"/>
        <color rgb="FF000000"/>
        <rFont val="Calibri"/>
      </rPr>
      <t xml:space="preserve">
</t>
    </r>
    <r>
      <rPr>
        <sz val="11"/>
        <color rgb="FF006096"/>
        <rFont val="Roboto Condensed"/>
      </rPr>
      <t>% /usr/bin/sudo /usr/bin/defaults write /Library/Preferences/com.apple.alf globalstate -int &lt;value&gt;</t>
    </r>
    <r>
      <rPr>
        <sz val="11"/>
        <color rgb="FF006096"/>
        <rFont val="Roboto Condensed"/>
      </rPr>
      <t xml:space="preserve">
</t>
    </r>
    <r>
      <rPr>
        <sz val="11"/>
        <color rgb="FF000000"/>
        <rFont val="Calibri"/>
      </rPr>
      <t xml:space="preserve">
</t>
    </r>
    <r>
      <rPr>
        <sz val="11"/>
        <color rgb="FF000000"/>
        <rFont val="Calibri"/>
      </rPr>
      <t xml:space="preserve">For the </t>
    </r>
    <r>
      <rPr>
        <b/>
        <sz val="11"/>
        <color rgb="FF000000"/>
        <rFont val="Calibri"/>
      </rPr>
      <t>&lt;value&gt;</t>
    </r>
    <r>
      <rPr>
        <sz val="11"/>
        <color rgb="FF000000"/>
        <rFont val="Calibri"/>
      </rPr>
      <t xml:space="preserve">, use either </t>
    </r>
    <r>
      <rPr>
        <b/>
        <sz val="11"/>
        <color rgb="FF000000"/>
        <rFont val="Calibri"/>
      </rPr>
      <t>1</t>
    </r>
    <r>
      <rPr>
        <sz val="11"/>
        <color rgb="FF000000"/>
        <rFont val="Calibri"/>
      </rPr>
      <t xml:space="preserve">, specific services, or </t>
    </r>
    <r>
      <rPr>
        <b/>
        <sz val="11"/>
        <color rgb="FF000000"/>
        <rFont val="Calibri"/>
      </rPr>
      <t>2</t>
    </r>
    <r>
      <rPr>
        <sz val="11"/>
        <color rgb="FF000000"/>
        <rFont val="Calibri"/>
      </rPr>
      <t>, essential services only.</t>
    </r>
  </si>
  <si>
    <r>
      <rPr>
        <sz val="11"/>
        <color rgb="FF000000"/>
        <rFont val="Calibri"/>
      </rPr>
      <t>A firewall is a piece of software that blocks unwanted incoming connections to a system.</t>
    </r>
  </si>
  <si>
    <r>
      <rPr>
        <sz val="11"/>
        <color rgb="FF000000"/>
        <rFont val="Calibri"/>
      </rPr>
      <t>The firewall may block legitimate traffic. Applications that are unsigned will require special handling.</t>
    </r>
  </si>
  <si>
    <r>
      <rPr>
        <sz val="11"/>
        <color rgb="FF000000"/>
        <rFont val="Calibri"/>
      </rPr>
      <t>Run the following command to verify that the firewall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firewallstate = ObjC.unwrap($.NSUserDefaults.alloc.initWithSuiteName('com.apple.alf')\</t>
    </r>
    <r>
      <rPr>
        <sz val="11"/>
        <color rgb="FF006096"/>
        <rFont val="Roboto Condensed"/>
      </rPr>
      <t xml:space="preserve">
</t>
    </r>
    <r>
      <rPr>
        <sz val="11"/>
        <color rgb="FF006096"/>
        <rFont val="Roboto Condensed"/>
      </rPr>
      <t>.objectForKey('globalstate'))</t>
    </r>
    <r>
      <rPr>
        <sz val="11"/>
        <color rgb="FF006096"/>
        <rFont val="Roboto Condensed"/>
      </rPr>
      <t xml:space="preserve">
</t>
    </r>
    <r>
      <rPr>
        <sz val="11"/>
        <color rgb="FF006096"/>
        <rFont val="Roboto Condensed"/>
      </rPr>
      <t xml:space="preserve">  if ( ( firewallstate == 1 ) || ( firewallstate == 2 )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</si>
  <si>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Date &amp; Time</t>
  </si>
  <si>
    <t>2.2.1.1</t>
  </si>
  <si>
    <r>
      <rPr>
        <sz val="11"/>
        <rFont val="Calibri"/>
      </rPr>
      <t>Ensure Set Time and Date Automatically Is Enabled</t>
    </r>
  </si>
  <si>
    <r>
      <rPr>
        <sz val="11"/>
        <color rgb="FF000000"/>
        <rFont val="Calibri"/>
      </rPr>
      <t>Run the following commands to enable the date and time setting automatically:</t>
    </r>
    <r>
      <rPr>
        <sz val="11"/>
        <color rgb="FF000000"/>
        <rFont val="Calibri"/>
      </rPr>
      <t xml:space="preserve">
</t>
    </r>
    <r>
      <rPr>
        <sz val="11"/>
        <color rgb="FF006096"/>
        <rFont val="Roboto Condensed"/>
      </rPr>
      <t>% /usr/bin/sudo /usr/sbin/systemsetup -setnetworktimeserver &lt;your.time.server&gt;</t>
    </r>
    <r>
      <rPr>
        <sz val="11"/>
        <color rgb="FF006096"/>
        <rFont val="Roboto Condensed"/>
      </rPr>
      <t xml:space="preserve">
</t>
    </r>
    <r>
      <rPr>
        <sz val="11"/>
        <color rgb="FF006096"/>
        <rFont val="Roboto Condensed"/>
      </rPr>
      <t>setNetworkTimeServer: &lt;your.time.server&gt;</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-setnetworktimeserver time.apple.com</t>
    </r>
    <r>
      <rPr>
        <sz val="11"/>
        <color rgb="FF006096"/>
        <rFont val="Roboto Condensed"/>
      </rPr>
      <t xml:space="preserve">
</t>
    </r>
    <r>
      <rPr>
        <sz val="11"/>
        <color rgb="FF006096"/>
        <rFont val="Roboto Condensed"/>
      </rPr>
      <t>setNetworkTimeServer: time.apple.com</t>
    </r>
    <r>
      <rPr>
        <sz val="11"/>
        <color rgb="FF006096"/>
        <rFont val="Roboto Condensed"/>
      </rPr>
      <t xml:space="preserve">
</t>
    </r>
    <r>
      <rPr>
        <sz val="11"/>
        <color rgb="FF006096"/>
        <rFont val="Roboto Condensed"/>
      </rPr>
      <t>% /usr/bin/sudo /usr/sbin/systemsetup -setusingnetworktime on</t>
    </r>
    <r>
      <rPr>
        <sz val="11"/>
        <color rgb="FF006096"/>
        <rFont val="Roboto Condensed"/>
      </rPr>
      <t xml:space="preserve">
</t>
    </r>
    <r>
      <rPr>
        <sz val="11"/>
        <color rgb="FF006096"/>
        <rFont val="Roboto Condensed"/>
      </rPr>
      <t>setUsingNetworkTime: On</t>
    </r>
    <r>
      <rPr>
        <sz val="11"/>
        <color rgb="FF006096"/>
        <rFont val="Roboto Condensed"/>
      </rPr>
      <t xml:space="preserve">
</t>
    </r>
    <r>
      <rPr>
        <sz val="11"/>
        <color rgb="FF000000"/>
        <rFont val="Calibri"/>
      </rPr>
      <t xml:space="preserve">
</t>
    </r>
    <r>
      <rPr>
        <sz val="11"/>
        <color rgb="FF000000"/>
        <rFont val="Calibri"/>
      </rPr>
      <t>Run the following commands if you have not set, or need to set, a new time zone:</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 /usr/bin/sudo /usr/sbin/systemsetup -settimezone &lt;selected time zone&gt;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/usr/sbin/systemsetup -listtimezones</t>
    </r>
    <r>
      <rPr>
        <sz val="11"/>
        <color rgb="FF006096"/>
        <rFont val="Roboto Condensed"/>
      </rPr>
      <t xml:space="preserve">
</t>
    </r>
    <r>
      <rPr>
        <sz val="11"/>
        <color rgb="FF006096"/>
        <rFont val="Roboto Condensed"/>
      </rPr>
      <t>Time Zones:</t>
    </r>
    <r>
      <rPr>
        <sz val="11"/>
        <color rgb="FF006096"/>
        <rFont val="Roboto Condensed"/>
      </rPr>
      <t xml:space="preserve">
</t>
    </r>
    <r>
      <rPr>
        <sz val="11"/>
        <color rgb="FF006096"/>
        <rFont val="Roboto Condensed"/>
      </rPr>
      <t xml:space="preserve"> Africa/Abidjan</t>
    </r>
    <r>
      <rPr>
        <sz val="11"/>
        <color rgb="FF006096"/>
        <rFont val="Roboto Condensed"/>
      </rPr>
      <t xml:space="preserve">
</t>
    </r>
    <r>
      <rPr>
        <sz val="11"/>
        <color rgb="FF006096"/>
        <rFont val="Roboto Condensed"/>
      </rPr>
      <t xml:space="preserve"> Africa/Accra</t>
    </r>
    <r>
      <rPr>
        <sz val="11"/>
        <color rgb="FF006096"/>
        <rFont val="Roboto Condensed"/>
      </rPr>
      <t xml:space="preserve">
</t>
    </r>
    <r>
      <rPr>
        <sz val="11"/>
        <color rgb="FF006096"/>
        <rFont val="Roboto Condensed"/>
      </rPr>
      <t xml:space="preserve"> Africa/Addis_Ababa</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 /usr/bin/sudo /usr/sbin/systemsetup -settimezone America/New_York</t>
    </r>
    <r>
      <rPr>
        <sz val="11"/>
        <color rgb="FF006096"/>
        <rFont val="Roboto Condensed"/>
      </rPr>
      <t xml:space="preserve">
</t>
    </r>
    <r>
      <rPr>
        <sz val="11"/>
        <color rgb="FF006096"/>
        <rFont val="Roboto Condensed"/>
      </rPr>
      <t>Set TimeZone: America/New_York</t>
    </r>
    <r>
      <rPr>
        <sz val="11"/>
        <color rgb="FF006096"/>
        <rFont val="Roboto Condensed"/>
      </rPr>
      <t xml:space="preserve">
</t>
    </r>
  </si>
  <si>
    <r>
      <rPr>
        <sz val="11"/>
        <color rgb="FF000000"/>
        <rFont val="Calibri"/>
      </rPr>
      <t>Correct date and time settings are required for authentication protocols, file creation, modification dates, and log entries.</t>
    </r>
    <r>
      <rPr>
        <sz val="11"/>
        <color rgb="FF000000"/>
        <rFont val="Calibri"/>
      </rPr>
      <t xml:space="preserve">
</t>
    </r>
    <r>
      <rPr>
        <b/>
        <sz val="11"/>
        <color rgb="FF000000"/>
        <rFont val="Calibri"/>
      </rPr>
      <t>Note:</t>
    </r>
    <r>
      <rPr>
        <sz val="11"/>
        <color rgb="FF000000"/>
        <rFont val="Calibri"/>
      </rPr>
      <t xml:space="preserve"> If your organization has internal time servers, enter them here. Enterprise mobile devices may need to use a mix of internal and external time servers. If multiple servers are required, use the Date &amp; Time System Preference with each server separated by a space.</t>
    </r>
    <r>
      <rPr>
        <sz val="11"/>
        <color rgb="FF000000"/>
        <rFont val="Calibri"/>
      </rPr>
      <t xml:space="preserve">
</t>
    </r>
    <r>
      <rPr>
        <b/>
        <sz val="11"/>
        <color rgb="FF000000"/>
        <rFont val="Calibri"/>
      </rPr>
      <t>Additional Note:</t>
    </r>
    <r>
      <rPr>
        <sz val="11"/>
        <color rgb="FF000000"/>
        <rFont val="Calibri"/>
      </rPr>
      <t xml:space="preserve"> The default Apple time server is time.apple.com. Variations include time.euro.apple.com. While it is certainly more efficient to use internal time servers, there is no reason to block access to global Apple time servers or to add a time.apple.com alias to internal DNS records. There are no reports that Apple gathers any information from NTP synchronization, as the computers already phone home to Apple for Apple services including iCloud use and software updates. Best practice is to allow DNS resolution to an authoritative time service for time.apple.com, preferably to connect to Apple servers, but local servers are acceptable as well.</t>
    </r>
  </si>
  <si>
    <r>
      <rPr>
        <sz val="11"/>
        <color rgb="FF000000"/>
        <rFont val="Calibri"/>
      </rPr>
      <t xml:space="preserve">The </t>
    </r>
    <r>
      <rPr>
        <b/>
        <sz val="11"/>
        <color rgb="FF000000"/>
        <rFont val="Calibri"/>
      </rPr>
      <t>timed</t>
    </r>
    <r>
      <rPr>
        <sz val="11"/>
        <color rgb="FF000000"/>
        <rFont val="Calibri"/>
      </rPr>
      <t xml:space="preserve"> service will periodically synchronize with named time servers and will make the computer time more accurate.</t>
    </r>
  </si>
  <si>
    <r>
      <rPr>
        <sz val="11"/>
        <color rgb="FF000000"/>
        <rFont val="Calibri"/>
      </rPr>
      <t>Run the following command to ensure that date and time are automatically set:</t>
    </r>
    <r>
      <rPr>
        <sz val="11"/>
        <color rgb="FF000000"/>
        <rFont val="Calibri"/>
      </rPr>
      <t xml:space="preserve">
</t>
    </r>
    <r>
      <rPr>
        <sz val="11"/>
        <color rgb="FF006096"/>
        <rFont val="Roboto Condensed"/>
      </rPr>
      <t xml:space="preserve">% /usr/bin/sudo /usr/sbin/systemsetup -getusingnetworktime </t>
    </r>
    <r>
      <rPr>
        <sz val="11"/>
        <color rgb="FF006096"/>
        <rFont val="Roboto Condensed"/>
      </rPr>
      <t xml:space="preserve">
</t>
    </r>
    <r>
      <rPr>
        <sz val="11"/>
        <color rgb="FF006096"/>
        <rFont val="Roboto Condensed"/>
      </rPr>
      <t>Network Time: On</t>
    </r>
    <r>
      <rPr>
        <sz val="11"/>
        <color rgb="FF006096"/>
        <rFont val="Roboto Condensed"/>
      </rPr>
      <t xml:space="preserve">
</t>
    </r>
  </si>
  <si>
    <t>2.2.1.2</t>
  </si>
  <si>
    <r>
      <rPr>
        <sz val="11"/>
        <rFont val="Calibri"/>
      </rPr>
      <t>Ensure the Time Service Is Enabled</t>
    </r>
  </si>
  <si>
    <r>
      <rPr>
        <b/>
        <sz val="11"/>
        <color rgb="FF000000"/>
        <rFont val="Calibri"/>
      </rPr>
      <t>Terminal Method:</t>
    </r>
    <r>
      <rPr>
        <sz val="11"/>
        <color rgb="FF000000"/>
        <rFont val="Calibri"/>
      </rPr>
      <t xml:space="preserve">
</t>
    </r>
    <r>
      <rPr>
        <sz val="11"/>
        <color rgb="FF000000"/>
        <rFont val="Calibri"/>
      </rPr>
      <t>Run the following commands to enable the timed service:</t>
    </r>
    <r>
      <rPr>
        <sz val="11"/>
        <color rgb="FF000000"/>
        <rFont val="Calibri"/>
      </rPr>
      <t xml:space="preserve">
</t>
    </r>
    <r>
      <rPr>
        <sz val="11"/>
        <color rgb="FF006096"/>
        <rFont val="Roboto Condensed"/>
      </rPr>
      <t>$ /usr/bin/sudo /bin/launchctl load -w /System/Library/LaunchDaemons/com.apple.timed.plist</t>
    </r>
    <r>
      <rPr>
        <sz val="11"/>
        <color rgb="FF006096"/>
        <rFont val="Roboto Condensed"/>
      </rPr>
      <t xml:space="preserve">
</t>
    </r>
  </si>
  <si>
    <r>
      <rPr>
        <sz val="11"/>
        <color rgb="FF000000"/>
        <rFont val="Calibri"/>
      </rPr>
      <t xml:space="preserve">In macOS 10.14, Apple replace </t>
    </r>
    <r>
      <rPr>
        <b/>
        <sz val="11"/>
        <color rgb="FF000000"/>
        <rFont val="Calibri"/>
      </rPr>
      <t>ntp</t>
    </r>
    <r>
      <rPr>
        <sz val="11"/>
        <color rgb="FF000000"/>
        <rFont val="Calibri"/>
      </rPr>
      <t xml:space="preserve"> with </t>
    </r>
    <r>
      <rPr>
        <b/>
        <sz val="11"/>
        <color rgb="FF000000"/>
        <rFont val="Calibri"/>
      </rPr>
      <t>timed</t>
    </r>
    <r>
      <rPr>
        <sz val="11"/>
        <color rgb="FF000000"/>
        <rFont val="Calibri"/>
      </rPr>
      <t xml:space="preserve"> for time services, and is used to ensure correct time is kept. Correct date and time settings are required for authentication protocols, file creation, modification dates, and log entries.</t>
    </r>
  </si>
  <si>
    <r>
      <rPr>
        <sz val="11"/>
        <color rgb="FF000000"/>
        <rFont val="Calibri"/>
      </rPr>
      <t>Accurate time is required for many computer functions.</t>
    </r>
  </si>
  <si>
    <r>
      <rPr>
        <b/>
        <sz val="11"/>
        <color rgb="FF000000"/>
        <rFont val="Calibri"/>
      </rPr>
      <t>Terminal Method:</t>
    </r>
    <r>
      <rPr>
        <sz val="11"/>
        <color rgb="FF000000"/>
        <rFont val="Calibri"/>
      </rPr>
      <t xml:space="preserve">
</t>
    </r>
    <r>
      <rPr>
        <sz val="11"/>
        <color rgb="FF000000"/>
        <rFont val="Calibri"/>
      </rPr>
      <t>Run the following command to ensure that the timed service is enabled:</t>
    </r>
    <r>
      <rPr>
        <sz val="11"/>
        <color rgb="FF000000"/>
        <rFont val="Calibri"/>
      </rPr>
      <t xml:space="preserve">
</t>
    </r>
    <r>
      <rPr>
        <sz val="11"/>
        <color rgb="FF006096"/>
        <rFont val="Roboto Condensed"/>
      </rPr>
      <t>$ /usr/bin/sudo /bin/launchctl list | /usr/bin/grep -c com.apple.timed</t>
    </r>
    <r>
      <rPr>
        <sz val="11"/>
        <color rgb="FF006096"/>
        <rFont val="Roboto Condensed"/>
      </rPr>
      <t xml:space="preserve">
</t>
    </r>
    <r>
      <rPr>
        <sz val="11"/>
        <color rgb="FF006096"/>
        <rFont val="Roboto Condensed"/>
      </rPr>
      <t>1</t>
    </r>
    <r>
      <rPr>
        <sz val="11"/>
        <color rgb="FF006096"/>
        <rFont val="Roboto Condensed"/>
      </rPr>
      <t xml:space="preserve">
</t>
    </r>
  </si>
  <si>
    <t>Sharing</t>
  </si>
  <si>
    <t>2.2.2.1</t>
  </si>
  <si>
    <r>
      <rPr>
        <sz val="11"/>
        <rFont val="Calibri"/>
      </rPr>
      <t>Ensure Remote Apple Events Is Disabled</t>
    </r>
  </si>
  <si>
    <r>
      <rPr>
        <sz val="11"/>
        <color rgb="FF000000"/>
        <rFont val="Calibri"/>
      </rPr>
      <t>Run the following commands to set Remote Apple Events to Off:</t>
    </r>
    <r>
      <rPr>
        <sz val="11"/>
        <color rgb="FF000000"/>
        <rFont val="Calibri"/>
      </rPr>
      <t xml:space="preserve">
</t>
    </r>
    <r>
      <rPr>
        <sz val="11"/>
        <color rgb="FF006096"/>
        <rFont val="Roboto Condensed"/>
      </rPr>
      <t xml:space="preserve">% /usr/bin/sudo /usr/sbin/systemsetup -setremoteappleevents off </t>
    </r>
    <r>
      <rPr>
        <sz val="11"/>
        <color rgb="FF006096"/>
        <rFont val="Roboto Condensed"/>
      </rPr>
      <t xml:space="preserve">
</t>
    </r>
    <r>
      <rPr>
        <sz val="11"/>
        <color rgb="FF006096"/>
        <rFont val="Roboto Condensed"/>
      </rPr>
      <t>setremoteappleevents: Off</t>
    </r>
    <r>
      <rPr>
        <sz val="11"/>
        <color rgb="FF006096"/>
        <rFont val="Roboto Condensed"/>
      </rPr>
      <t xml:space="preserve">
</t>
    </r>
  </si>
  <si>
    <r>
      <rPr>
        <sz val="11"/>
        <color rgb="FF000000"/>
        <rFont val="Calibri"/>
      </rPr>
      <t>Apple Events is a technology that allows one program to communicate with other programs. Remote Apple Events allows a program on one computer to communicate with a program on a different computer.</t>
    </r>
  </si>
  <si>
    <r>
      <rPr>
        <sz val="11"/>
        <color rgb="FF000000"/>
        <rFont val="Calibri"/>
      </rPr>
      <t>With remote Apple events turned on, an AppleScript program running on another Mac can interact with the local computer.</t>
    </r>
  </si>
  <si>
    <r>
      <rPr>
        <sz val="11"/>
        <color rgb="FF000000"/>
        <rFont val="Calibri"/>
      </rPr>
      <t>Run the following commands to verify that Remote Apple Events is not set</t>
    </r>
    <r>
      <rPr>
        <sz val="11"/>
        <color rgb="FF000000"/>
        <rFont val="Calibri"/>
      </rPr>
      <t xml:space="preserve">
</t>
    </r>
    <r>
      <rPr>
        <sz val="11"/>
        <color rgb="FF006096"/>
        <rFont val="Roboto Condensed"/>
      </rPr>
      <t xml:space="preserve">% /usr/bin/sudo /usr/sbin/systemsetup -getremoteappleevents </t>
    </r>
    <r>
      <rPr>
        <sz val="11"/>
        <color rgb="FF006096"/>
        <rFont val="Roboto Condensed"/>
      </rPr>
      <t xml:space="preserve">
</t>
    </r>
    <r>
      <rPr>
        <sz val="11"/>
        <color rgb="FF006096"/>
        <rFont val="Roboto Condensed"/>
      </rPr>
      <t>Remote Apple Events: Off</t>
    </r>
    <r>
      <rPr>
        <sz val="11"/>
        <color rgb="FF006096"/>
        <rFont val="Roboto Condensed"/>
      </rPr>
      <t xml:space="preserve">
</t>
    </r>
  </si>
  <si>
    <t>2.2.2.2</t>
  </si>
  <si>
    <r>
      <rPr>
        <sz val="11"/>
        <rFont val="Calibri"/>
      </rPr>
      <t>Ensure Content Caching Is Disabled</t>
    </r>
  </si>
  <si>
    <t>Level 2</t>
  </si>
  <si>
    <r>
      <rPr>
        <sz val="11"/>
        <color rgb="FF000000"/>
        <rFont val="Calibri"/>
      </rPr>
      <t>Run the following command to disable Content Caching:</t>
    </r>
    <r>
      <rPr>
        <sz val="11"/>
        <color rgb="FF000000"/>
        <rFont val="Calibri"/>
      </rPr>
      <t xml:space="preserve">
</t>
    </r>
    <r>
      <rPr>
        <sz val="11"/>
        <color rgb="FF006096"/>
        <rFont val="Roboto Condensed"/>
      </rPr>
      <t>% /usr/bin/sudo /usr/bin/AssetCacheManagerUtil deactivate</t>
    </r>
    <r>
      <rPr>
        <sz val="11"/>
        <color rgb="FF006096"/>
        <rFont val="Roboto Condensed"/>
      </rPr>
      <t xml:space="preserve">
</t>
    </r>
    <r>
      <rPr>
        <sz val="11"/>
        <color rgb="FF000000"/>
        <rFont val="Calibri"/>
      </rPr>
      <t xml:space="preserve">
</t>
    </r>
    <r>
      <rPr>
        <sz val="11"/>
        <color rgb="FF000000"/>
        <rFont val="Calibri"/>
      </rPr>
      <t xml:space="preserve">The output will include </t>
    </r>
    <r>
      <rPr>
        <b/>
        <sz val="11"/>
        <color rgb="FF000000"/>
        <rFont val="Calibri"/>
      </rPr>
      <t>Content caching deactivated</t>
    </r>
  </si>
  <si>
    <r>
      <rPr>
        <sz val="11"/>
        <color rgb="FF000000"/>
        <rFont val="Calibri"/>
      </rPr>
      <t>Starting with 10.13 (macOS High Sierra), Apple introduced a service to make it easier to deploy data from Apple, including software updates, where there are bandwidth constraints to the Internet and fewer constraints or greater bandwidth exist on the local subnet. This capability can be very valuable for organizations that have throttled and possibly metered Internet connections. In heterogeneous enterprise networks with multiple subnets, the effectiveness of this capability would be determined by how many Macs were on each subnet at the time new, large updates were made available upstream.This capability requires the use of mac OS clients as P2P nodes for updated Apple content. Unless there is a business requirement to manage operational Internet connectivity and bandwidth, user endpoints should not store content and act as a cluster to provision data.</t>
    </r>
    <r>
      <rPr>
        <sz val="11"/>
        <color rgb="FF000000"/>
        <rFont val="Calibri"/>
      </rPr>
      <t xml:space="preserve">
</t>
    </r>
    <r>
      <rPr>
        <sz val="11"/>
        <color rgb="FF000000"/>
        <rFont val="Calibri"/>
      </rPr>
      <t xml:space="preserve">Content types supported by Content Caching in macOS </t>
    </r>
    <r>
      <rPr>
        <sz val="11"/>
        <color rgb="FF0000FF"/>
        <rFont val="Calibri"/>
      </rPr>
      <t>(https://support.apple.com/en-us/HT204675)</t>
    </r>
  </si>
  <si>
    <r>
      <rPr>
        <sz val="11"/>
        <color rgb="FF000000"/>
        <rFont val="Calibri"/>
      </rPr>
      <t>This setting will adversely affect bandwidth usage between local subnets and the Internet.</t>
    </r>
  </si>
  <si>
    <r>
      <rPr>
        <sz val="11"/>
        <color rgb="FF000000"/>
        <rFont val="Calibri"/>
      </rPr>
      <t>Run the following command to verify that Content Caching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$.NSUserDefaults.alloc.initWithSuiteName('com.apple.AssetCache')\</t>
    </r>
    <r>
      <rPr>
        <sz val="11"/>
        <color rgb="FF006096"/>
        <rFont val="Roboto Condensed"/>
      </rPr>
      <t xml:space="preserve">
</t>
    </r>
    <r>
      <rPr>
        <sz val="11"/>
        <color rgb="FF006096"/>
        <rFont val="Roboto Condensed"/>
      </rPr>
      <t>.objectForKey('Activated').js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</si>
  <si>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Privacy &amp; Security</t>
  </si>
  <si>
    <t>2.3.1</t>
  </si>
  <si>
    <r>
      <rPr>
        <sz val="11"/>
        <rFont val="Calibri"/>
      </rPr>
      <t>Ensure Sending Diagnostic and Usage Data to Apple Is Disabled</t>
    </r>
  </si>
  <si>
    <r>
      <rPr>
        <sz val="11"/>
        <color rgb="FF000000"/>
        <rFont val="Calibri"/>
      </rPr>
      <t>Run the following commands to disable the sending of diagnostic data to Apple:</t>
    </r>
    <r>
      <rPr>
        <sz val="11"/>
        <color rgb="FF000000"/>
        <rFont val="Calibri"/>
      </rPr>
      <t xml:space="preserve">
</t>
    </r>
    <r>
      <rPr>
        <sz val="11"/>
        <color rgb="FF006096"/>
        <rFont val="Roboto Condensed"/>
      </rPr>
      <t>% /usr/bin/sudo /usr/bin/defaults write /Library/Application\ Support/CrashReporter/DiagnosticMessagesHistory.plist AutoSubmit -bool false</t>
    </r>
    <r>
      <rPr>
        <sz val="11"/>
        <color rgb="FF006096"/>
        <rFont val="Roboto Condensed"/>
      </rPr>
      <t xml:space="preserve">
</t>
    </r>
    <r>
      <rPr>
        <sz val="11"/>
        <color rgb="FF006096"/>
        <rFont val="Roboto Condensed"/>
      </rPr>
      <t>/usr/bin/sudo /usr/bin/defaults write /Library/Application\ Support/CrashReporter/DiagnosticMessagesHistory.plist ThirdPartyDataSubmit -bool false</t>
    </r>
    <r>
      <rPr>
        <sz val="11"/>
        <color rgb="FF006096"/>
        <rFont val="Roboto Condensed"/>
      </rPr>
      <t xml:space="preserve">
</t>
    </r>
    <r>
      <rPr>
        <sz val="11"/>
        <color rgb="FF006096"/>
        <rFont val="Roboto Condensed"/>
      </rPr>
      <t>% /usr/bin/sudo /bin/chmod 644 /Library/Application\ Support/CrashReporter/DiagnosticMessagesHistory.plist</t>
    </r>
    <r>
      <rPr>
        <sz val="11"/>
        <color rgb="FF006096"/>
        <rFont val="Roboto Condensed"/>
      </rPr>
      <t xml:space="preserve">
</t>
    </r>
    <r>
      <rPr>
        <sz val="11"/>
        <color rgb="FF006096"/>
        <rFont val="Roboto Condensed"/>
      </rPr>
      <t>% /usr/bin/sudo /usr/bin/chgrp admin /Library/Application\ Support/CrashReporter/DiagnosticMessagesHistory.plist</t>
    </r>
    <r>
      <rPr>
        <sz val="11"/>
        <color rgb="FF006096"/>
        <rFont val="Roboto Condensed"/>
      </rPr>
      <t xml:space="preserve">
</t>
    </r>
    <r>
      <rPr>
        <sz val="11"/>
        <color rgb="FF006096"/>
        <rFont val="Roboto Condensed"/>
      </rPr>
      <t>% /usr/bin/sudo -u &lt;username&gt; /usr/bin/defaults write /Users/&lt;username&gt;/Library/Preferences/com.apple.assistant.support "Siri Data Sharing Opt-In Status" -int 2</t>
    </r>
    <r>
      <rPr>
        <sz val="11"/>
        <color rgb="FF006096"/>
        <rFont val="Roboto Condensed"/>
      </rPr>
      <t xml:space="preserve">
</t>
    </r>
  </si>
  <si>
    <r>
      <rPr>
        <sz val="11"/>
        <color rgb="FF000000"/>
        <rFont val="Calibri"/>
      </rPr>
      <t>Apple provides a mechanism to send diagnostic and analytics data back to Apple to help them improve the platform. Information sent to Apple may contain internal organizational information that should be controlled and not available for processing by Apple.Turn off all Analytics and Improvements sharing.</t>
    </r>
    <r>
      <rPr>
        <sz val="11"/>
        <color rgb="FF000000"/>
        <rFont val="Calibri"/>
      </rPr>
      <t xml:space="preserve">
</t>
    </r>
    <r>
      <rPr>
        <sz val="11"/>
        <color rgb="FF000000"/>
        <rFont val="Calibri"/>
      </rPr>
      <t>Share Mac Analytics (Share with App Developers dependent on Mac Analytic sharing)</t>
    </r>
    <r>
      <rPr>
        <sz val="11"/>
        <color rgb="FF000000"/>
        <rFont val="Calibri"/>
      </rPr>
      <t xml:space="preserve">
</t>
    </r>
    <r>
      <rPr>
        <sz val="11"/>
        <color rgb="FF000000"/>
        <rFont val="Calibri"/>
      </rPr>
      <t>- Includes diagnostics, usage and location data</t>
    </r>
    <r>
      <rPr>
        <sz val="11"/>
        <color rgb="FF000000"/>
        <rFont val="Calibri"/>
      </rPr>
      <t xml:space="preserve">
</t>
    </r>
    <r>
      <rPr>
        <sz val="11"/>
        <color rgb="FF000000"/>
        <rFont val="Calibri"/>
      </rPr>
      <t>Share iCloud Analytics</t>
    </r>
    <r>
      <rPr>
        <sz val="11"/>
        <color rgb="FF000000"/>
        <rFont val="Calibri"/>
      </rPr>
      <t xml:space="preserve">
</t>
    </r>
    <r>
      <rPr>
        <sz val="11"/>
        <color rgb="FF000000"/>
        <rFont val="Calibri"/>
      </rPr>
      <t>- Includes iCloud data and usage information</t>
    </r>
  </si>
  <si>
    <r>
      <rPr>
        <sz val="11"/>
        <color rgb="FF000000"/>
        <rFont val="Calibri"/>
      </rPr>
      <t>Run the following command to verify that sending diagnostic and usage data to Apple is disabled:</t>
    </r>
    <r>
      <rPr>
        <sz val="11"/>
        <color rgb="FF000000"/>
        <rFont val="Calibri"/>
      </rPr>
      <t xml:space="preserve">
</t>
    </r>
    <r>
      <rPr>
        <sz val="11"/>
        <color rgb="FF006096"/>
        <rFont val="Roboto Condensed"/>
      </rPr>
      <t>% /usr/bin/sudo /usr/bin/defaults read /Library/Application\ Support/CrashReporter/DiagnosticMessagesHistory.plist AutoSubmit</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/usr/bin/defaults read /Library/Application\ Support/CrashReporter/DiagnosticMessagesHistory.plist ThirdPartyDataSubmit</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-u &lt;username&gt; /usr/bin/defaults read /Users/&lt;username&gt;/Library/Preferences/com.apple.assistant.support "Siri Data Sharing Opt-In Status"</t>
    </r>
    <r>
      <rPr>
        <sz val="11"/>
        <color rgb="FF006096"/>
        <rFont val="Roboto Condensed"/>
      </rPr>
      <t xml:space="preserve">
</t>
    </r>
    <r>
      <rPr>
        <sz val="11"/>
        <color rgb="FF006096"/>
        <rFont val="Roboto Condensed"/>
      </rPr>
      <t>2</t>
    </r>
    <r>
      <rPr>
        <sz val="11"/>
        <color rgb="FF006096"/>
        <rFont val="Roboto Condensed"/>
      </rPr>
      <t xml:space="preserve">
</t>
    </r>
  </si>
  <si>
    <t>2.3.2</t>
  </si>
  <si>
    <r>
      <rPr>
        <sz val="11"/>
        <rFont val="Calibri"/>
      </rPr>
      <t>Ensure Limit Ad Tracking Is Enabled</t>
    </r>
  </si>
  <si>
    <r>
      <rPr>
        <sz val="11"/>
        <color rgb="FF000000"/>
        <rFont val="Calibri"/>
      </rPr>
      <t>For each needed user, run the following command to enable limited ad tracking:</t>
    </r>
    <r>
      <rPr>
        <sz val="11"/>
        <color rgb="FF000000"/>
        <rFont val="Calibri"/>
      </rPr>
      <t xml:space="preserve">
</t>
    </r>
    <r>
      <rPr>
        <sz val="11"/>
        <color rgb="FF006096"/>
        <rFont val="Roboto Condensed"/>
      </rPr>
      <t>% /usr/bin/sudo -u &lt;username&gt; /usr/bin/defaults write /Users/&lt;username&gt;/Library/Preferences/com.apple.Adlib.plist allowApplePersonalizedAdvertising -bool false</t>
    </r>
    <r>
      <rPr>
        <sz val="11"/>
        <color rgb="FF006096"/>
        <rFont val="Roboto Condensed"/>
      </rPr>
      <t xml:space="preserve">
</t>
    </r>
  </si>
  <si>
    <r>
      <rPr>
        <sz val="11"/>
        <color rgb="FF000000"/>
        <rFont val="Calibri"/>
      </rPr>
      <t>Apple provides a framework that allows advertisers to target Apple users and end-users with advertisements. While many people prefer to see advertising that is relevant to them and their interests, the detailed information that is collected, correlated, and available to advertisers in repositories via data mining is often disconcerting. This information is valuable to both advertisers and attackers, and has been used with other metadata to reveal users' identities.</t>
    </r>
    <r>
      <rPr>
        <sz val="11"/>
        <color rgb="FF000000"/>
        <rFont val="Calibri"/>
      </rPr>
      <t xml:space="preserve">
</t>
    </r>
    <r>
      <rPr>
        <sz val="11"/>
        <color rgb="FF000000"/>
        <rFont val="Calibri"/>
      </rPr>
      <t>Organizations should manage advertising settings on computers rather than allow users to configure the settings.</t>
    </r>
    <r>
      <rPr>
        <sz val="11"/>
        <color rgb="FF000000"/>
        <rFont val="Calibri"/>
      </rPr>
      <t xml:space="preserve">
</t>
    </r>
    <r>
      <rPr>
        <sz val="11"/>
        <color rgb="FF000000"/>
        <rFont val="Calibri"/>
      </rPr>
      <t xml:space="preserve">Apple Information </t>
    </r>
    <r>
      <rPr>
        <sz val="11"/>
        <color rgb="FF0000FF"/>
        <rFont val="Calibri"/>
      </rPr>
      <t>(https://support.apple.com/en-us/HT205223)</t>
    </r>
    <r>
      <rPr>
        <sz val="11"/>
        <color rgb="FF000000"/>
        <rFont val="Calibri"/>
      </rPr>
      <t xml:space="preserve">
</t>
    </r>
    <r>
      <rPr>
        <sz val="11"/>
        <color rgb="FF000000"/>
        <rFont val="Calibri"/>
      </rPr>
      <t>Ad tracking should be limited on 10.15 and prior.</t>
    </r>
  </si>
  <si>
    <r>
      <rPr>
        <sz val="11"/>
        <color rgb="FF000000"/>
        <rFont val="Calibri"/>
      </rPr>
      <t>Uses will see generic advertising rather than targeted advertising. Apple warns that this will reduce the number of relevant ads.</t>
    </r>
  </si>
  <si>
    <r>
      <rPr>
        <sz val="11"/>
        <color rgb="FF000000"/>
        <rFont val="Calibri"/>
      </rPr>
      <t>For each user, run the following command to verify that ad tracking is limited:</t>
    </r>
    <r>
      <rPr>
        <sz val="11"/>
        <color rgb="FF000000"/>
        <rFont val="Calibri"/>
      </rPr>
      <t xml:space="preserve">
</t>
    </r>
    <r>
      <rPr>
        <sz val="11"/>
        <color rgb="FF006096"/>
        <rFont val="Roboto Condensed"/>
      </rPr>
      <t>% /usr/bin/sudo -u &lt;username&gt; /usr/bin/defaults read /Users/&lt;username&gt;/Library/Preferences/com.apple.AdLib.plist allowApplePersonalizedAdvertising</t>
    </r>
    <r>
      <rPr>
        <sz val="11"/>
        <color rgb="FF006096"/>
        <rFont val="Roboto Condensed"/>
      </rPr>
      <t xml:space="preserve">
</t>
    </r>
    <r>
      <rPr>
        <sz val="11"/>
        <color rgb="FF006096"/>
        <rFont val="Roboto Condensed"/>
      </rPr>
      <t>0</t>
    </r>
    <r>
      <rPr>
        <sz val="11"/>
        <color rgb="FF006096"/>
        <rFont val="Roboto Condensed"/>
      </rPr>
      <t xml:space="preserve">
</t>
    </r>
  </si>
  <si>
    <t>2.3.3</t>
  </si>
  <si>
    <r>
      <rPr>
        <sz val="11"/>
        <rFont val="Calibri"/>
      </rPr>
      <t>Ensure Gatekeeper Is Enabled</t>
    </r>
  </si>
  <si>
    <r>
      <rPr>
        <sz val="11"/>
        <color rgb="FF000000"/>
        <rFont val="Calibri"/>
      </rPr>
      <t>Run the following command to enable Gatekeeper to allow applications from App Store and identified developers:</t>
    </r>
    <r>
      <rPr>
        <sz val="11"/>
        <color rgb="FF000000"/>
        <rFont val="Calibri"/>
      </rPr>
      <t xml:space="preserve">
</t>
    </r>
    <r>
      <rPr>
        <sz val="11"/>
        <color rgb="FF006096"/>
        <rFont val="Roboto Condensed"/>
      </rPr>
      <t>% /usr/bin/sudo /usr/sbin/spctl --global-enable</t>
    </r>
    <r>
      <rPr>
        <sz val="11"/>
        <color rgb="FF006096"/>
        <rFont val="Roboto Condensed"/>
      </rPr>
      <t xml:space="preserve">
</t>
    </r>
  </si>
  <si>
    <r>
      <rPr>
        <sz val="11"/>
        <color rgb="FF000000"/>
        <rFont val="Calibri"/>
      </rPr>
      <t>Gatekeeper is Apple’s application that utilizes allowlisting to restrict downloaded applications from launching. It functions as a control to limit applications from unverified sources from running without authorization. In an update to Gatekeeper in macOS 13 Ventura, Gatekeeper checks every application on every launch, not just quarantined apps.</t>
    </r>
  </si>
  <si>
    <r>
      <rPr>
        <sz val="11"/>
        <color rgb="FF000000"/>
        <rFont val="Calibri"/>
      </rPr>
      <t>Run the following command to verify that Gatekeeper is enabled:</t>
    </r>
    <r>
      <rPr>
        <sz val="11"/>
        <color rgb="FF000000"/>
        <rFont val="Calibri"/>
      </rPr>
      <t xml:space="preserve">
</t>
    </r>
    <r>
      <rPr>
        <sz val="11"/>
        <color rgb="FF006096"/>
        <rFont val="Roboto Condensed"/>
      </rPr>
      <t>% /usr/bin/sudo /usr/sbin/spctl --status</t>
    </r>
    <r>
      <rPr>
        <sz val="11"/>
        <color rgb="FF006096"/>
        <rFont val="Roboto Condensed"/>
      </rPr>
      <t xml:space="preserve">
</t>
    </r>
    <r>
      <rPr>
        <sz val="11"/>
        <color rgb="FF006096"/>
        <rFont val="Roboto Condensed"/>
      </rPr>
      <t>assessments enabled</t>
    </r>
    <r>
      <rPr>
        <sz val="11"/>
        <color rgb="FF006096"/>
        <rFont val="Roboto Condensed"/>
      </rPr>
      <t xml:space="preserve">
</t>
    </r>
  </si>
  <si>
    <t>Lock Screen</t>
  </si>
  <si>
    <t>2.4.1</t>
  </si>
  <si>
    <r>
      <rPr>
        <sz val="11"/>
        <rFont val="Calibri"/>
      </rPr>
      <t>Ensure an Inactivity Interval of 20 Minutes Or Less for the Screen Saver Is Enabled</t>
    </r>
  </si>
  <si>
    <r>
      <rPr>
        <sz val="11"/>
        <color rgb="FF000000"/>
        <rFont val="Calibri"/>
      </rPr>
      <t>Run the following command to verify that the idle time of the screen saver to 20 minutes of less (≤1200)</t>
    </r>
    <r>
      <rPr>
        <sz val="11"/>
        <color rgb="FF000000"/>
        <rFont val="Calibri"/>
      </rPr>
      <t xml:space="preserve">
</t>
    </r>
    <r>
      <rPr>
        <sz val="11"/>
        <color rgb="FF006096"/>
        <rFont val="Roboto Condensed"/>
      </rPr>
      <t>% sudo -u &lt;username&gt; defaults -currentHost write com.apple.screensaver idleTime -int &lt;value ≤1200&gt;</t>
    </r>
    <r>
      <rPr>
        <sz val="11"/>
        <color rgb="FF006096"/>
        <rFont val="Roboto Condensed"/>
      </rPr>
      <t xml:space="preserve">
</t>
    </r>
    <r>
      <rPr>
        <sz val="11"/>
        <color rgb="FF000000"/>
        <rFont val="Calibri"/>
      </rPr>
      <t xml:space="preserve">
</t>
    </r>
    <r>
      <rPr>
        <i/>
        <sz val="11"/>
        <color rgb="FF000000"/>
        <rFont val="Calibri"/>
      </rPr>
      <t>Note:</t>
    </r>
    <r>
      <rPr>
        <sz val="11"/>
        <color rgb="FF000000"/>
        <rFont val="Calibri"/>
      </rPr>
      <t xml:space="preserve"> Issues arise if the command line is used to make the setting something other than what is available in the GUI Menu. The GUI allows the options of 1 (60), 2 (120), 5 (300), 10 (600), or 20 (120) minutes, so use one of those values to avoid any issues.</t>
    </r>
  </si>
  <si>
    <r>
      <rPr>
        <sz val="11"/>
        <color rgb="FF000000"/>
        <rFont val="Calibri"/>
      </rPr>
      <t>A locking screen saver is one of the standard security controls to limit access to a computer and the current user's session when the computer is temporarily unused or unattended. In macOS, the screen saver starts after a value is selected in the drop-down menu. 20 minutes or less is an acceptable value. Any value can be selected through the command line or script, but a number that is not reflected in the GUI can be problematic. 20 minutes is the default for new accounts.</t>
    </r>
  </si>
  <si>
    <r>
      <rPr>
        <sz val="11"/>
        <color rgb="FF000000"/>
        <rFont val="Calibri"/>
      </rPr>
      <t>If the screen saver is not set, users may leave the computer available for an unauthorized person to access information.</t>
    </r>
  </si>
  <si>
    <r>
      <rPr>
        <sz val="11"/>
        <color rgb="FF000000"/>
        <rFont val="Calibri"/>
      </rPr>
      <t>Run this script to verify the idle times for all users:</t>
    </r>
    <r>
      <rPr>
        <sz val="11"/>
        <color rgb="FF000000"/>
        <rFont val="Calibri"/>
      </rPr>
      <t xml:space="preserve">
</t>
    </r>
    <r>
      <rPr>
        <sz val="11"/>
        <color rgb="FF006096"/>
        <rFont val="Roboto Condensed"/>
      </rPr>
      <t>UUID=`ioreg -rd1 -c IOPlatformExpertDevice | grep "IOPlatformUUID" | sed -e 's/^.* "\(.*\)"$/\1/'`</t>
    </r>
    <r>
      <rPr>
        <sz val="11"/>
        <color rgb="FF006096"/>
        <rFont val="Roboto Condensed"/>
      </rPr>
      <t xml:space="preserve">
</t>
    </r>
    <r>
      <rPr>
        <sz val="11"/>
        <color rgb="FF006096"/>
        <rFont val="Roboto Condensed"/>
      </rPr>
      <t>for i in $(find /Users -type d -maxdepth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PREF=$i/Library/Preferences/ByHost/com.apple.screensaver.$UUID</t>
    </r>
    <r>
      <rPr>
        <sz val="11"/>
        <color rgb="FF006096"/>
        <rFont val="Roboto Condensed"/>
      </rPr>
      <t xml:space="preserve">
</t>
    </r>
    <r>
      <rPr>
        <sz val="11"/>
        <color rgb="FF006096"/>
        <rFont val="Roboto Condensed"/>
      </rPr>
      <t xml:space="preserve">  if [ -e $PREF.plist ]</t>
    </r>
    <r>
      <rPr>
        <sz val="11"/>
        <color rgb="FF006096"/>
        <rFont val="Roboto Condensed"/>
      </rPr>
      <t xml:space="preserve">
</t>
    </r>
    <r>
      <rPr>
        <sz val="11"/>
        <color rgb="FF006096"/>
        <rFont val="Roboto Condensed"/>
      </rPr>
      <t xml:space="preserve">  then</t>
    </r>
    <r>
      <rPr>
        <sz val="11"/>
        <color rgb="FF006096"/>
        <rFont val="Roboto Condensed"/>
      </rPr>
      <t xml:space="preserve">
</t>
    </r>
    <r>
      <rPr>
        <sz val="11"/>
        <color rgb="FF006096"/>
        <rFont val="Roboto Condensed"/>
      </rPr>
      <t xml:space="preserve">  echo -n "Checking User: '$i': "</t>
    </r>
    <r>
      <rPr>
        <sz val="11"/>
        <color rgb="FF006096"/>
        <rFont val="Roboto Condensed"/>
      </rPr>
      <t xml:space="preserve">
</t>
    </r>
    <r>
      <rPr>
        <sz val="11"/>
        <color rgb="FF006096"/>
        <rFont val="Roboto Condensed"/>
      </rPr>
      <t xml:space="preserve">  defaults read $PREF.plist idleTime 2&gt;&amp;1</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the output of the script includes </t>
    </r>
    <r>
      <rPr>
        <b/>
        <sz val="11"/>
        <color rgb="FF000000"/>
        <rFont val="Calibri"/>
      </rPr>
      <t>The domain/default pair of (com.apple.screensaver, idleTime) does not exist</t>
    </r>
    <r>
      <rPr>
        <sz val="11"/>
        <color rgb="FF000000"/>
        <rFont val="Calibri"/>
      </rPr>
      <t xml:space="preserve"> for any user, then the setting has not been changed from the default. Follow the remediation instructions to set the idle time to match your organization's policy.</t>
    </r>
  </si>
  <si>
    <t>2.4.2</t>
  </si>
  <si>
    <r>
      <rPr>
        <sz val="11"/>
        <rFont val="Calibri"/>
      </rPr>
      <t>Ensure Require Password After Screen Saver Begins or Display Is Turned Off Is Enabled for 5 Seconds or Immediately</t>
    </r>
  </si>
  <si>
    <r>
      <rPr>
        <sz val="11"/>
        <color rgb="FF000000"/>
        <rFont val="Calibri"/>
      </rPr>
      <t>Run the following command to require a password to unlock the computer after the screen saver engages or the computer sleeps:</t>
    </r>
    <r>
      <rPr>
        <sz val="11"/>
        <color rgb="FF000000"/>
        <rFont val="Calibri"/>
      </rPr>
      <t xml:space="preserve">
</t>
    </r>
    <r>
      <rPr>
        <sz val="11"/>
        <color rgb="FF006096"/>
        <rFont val="Roboto Condensed"/>
      </rPr>
      <t>% /usr/bin/sudo /usr/sbin/sysadminctl -screenLock immediate -password &lt;administrator password&gt;</t>
    </r>
    <r>
      <rPr>
        <sz val="11"/>
        <color rgb="FF006096"/>
        <rFont val="Roboto Condensed"/>
      </rPr>
      <t xml:space="preserve">
</t>
    </r>
    <r>
      <rPr>
        <sz val="11"/>
        <color rgb="FF000000"/>
        <rFont val="Calibri"/>
      </rPr>
      <t xml:space="preserve">
</t>
    </r>
    <r>
      <rPr>
        <sz val="11"/>
        <color rgb="FF000000"/>
        <rFont val="Calibri"/>
      </rPr>
      <t>or</t>
    </r>
    <r>
      <rPr>
        <sz val="11"/>
        <color rgb="FF000000"/>
        <rFont val="Calibri"/>
      </rPr>
      <t xml:space="preserve">
</t>
    </r>
    <r>
      <rPr>
        <sz val="11"/>
        <color rgb="FF006096"/>
        <rFont val="Roboto Condensed"/>
      </rPr>
      <t>% /usr/bin/sudo /usr/sbin/sysadminctl -screenLock 5 seconds -password &lt;administrator password&gt;</t>
    </r>
    <r>
      <rPr>
        <sz val="11"/>
        <color rgb="FF006096"/>
        <rFont val="Roboto Condensed"/>
      </rPr>
      <t xml:space="preserve">
</t>
    </r>
  </si>
  <si>
    <r>
      <rPr>
        <sz val="11"/>
        <color rgb="FF000000"/>
        <rFont val="Calibri"/>
      </rPr>
      <t>Sleep and screen saver modes are low power modes that reduce electrical consumption while the system is not in use.</t>
    </r>
  </si>
  <si>
    <r>
      <rPr>
        <sz val="11"/>
        <color rgb="FF000000"/>
        <rFont val="Calibri"/>
      </rPr>
      <t>Without a screenlock in place, anyone with physical access to the computer would be logged in and able to use the active user's session.</t>
    </r>
  </si>
  <si>
    <r>
      <rPr>
        <sz val="11"/>
        <color rgb="FF000000"/>
        <rFont val="Calibri"/>
      </rPr>
      <t>Run the following command to verify that a password is required to wake the computer from sleep or from the screen saver after 5 seconds of less:</t>
    </r>
    <r>
      <rPr>
        <sz val="11"/>
        <color rgb="FF000000"/>
        <rFont val="Calibri"/>
      </rPr>
      <t xml:space="preserve">
</t>
    </r>
    <r>
      <rPr>
        <sz val="11"/>
        <color rgb="FF006096"/>
        <rFont val="Roboto Condensed"/>
      </rPr>
      <t>% /usr/bin/sudo /usr/sbin/sysadminctl -screenLock status</t>
    </r>
    <r>
      <rPr>
        <sz val="11"/>
        <color rgb="FF006096"/>
        <rFont val="Roboto Condensed"/>
      </rPr>
      <t xml:space="preserve">
</t>
    </r>
    <r>
      <rPr>
        <sz val="11"/>
        <color rgb="FF000000"/>
        <rFont val="Calibri"/>
      </rPr>
      <t xml:space="preserve">
</t>
    </r>
    <r>
      <rPr>
        <sz val="11"/>
        <color rgb="FF000000"/>
        <rFont val="Calibri"/>
      </rPr>
      <t xml:space="preserve">The output should include either </t>
    </r>
    <r>
      <rPr>
        <b/>
        <sz val="11"/>
        <color rgb="FF000000"/>
        <rFont val="Calibri"/>
      </rPr>
      <t>screenLock delay is immediate</t>
    </r>
    <r>
      <rPr>
        <sz val="11"/>
        <color rgb="FF000000"/>
        <rFont val="Calibri"/>
      </rPr>
      <t xml:space="preserve"> or </t>
    </r>
    <r>
      <rPr>
        <b/>
        <sz val="11"/>
        <color rgb="FF000000"/>
        <rFont val="Calibri"/>
      </rPr>
      <t>screenLock delay is 5 seconds</t>
    </r>
    <r>
      <rPr>
        <sz val="11"/>
        <color rgb="FF000000"/>
        <rFont val="Calibri"/>
      </rPr>
      <t>.</t>
    </r>
  </si>
  <si>
    <t>2.4.3</t>
  </si>
  <si>
    <r>
      <rPr>
        <sz val="11"/>
        <rFont val="Calibri"/>
      </rPr>
      <t>Ensure a Custom Message for the Login Screen Is Enabled</t>
    </r>
  </si>
  <si>
    <r>
      <rPr>
        <sz val="11"/>
        <color rgb="FF000000"/>
        <rFont val="Calibri"/>
      </rPr>
      <t>Run the following command to enable a custom login screen message:</t>
    </r>
    <r>
      <rPr>
        <sz val="11"/>
        <color rgb="FF000000"/>
        <rFont val="Calibri"/>
      </rPr>
      <t xml:space="preserve">
</t>
    </r>
    <r>
      <rPr>
        <sz val="11"/>
        <color rgb="FF006096"/>
        <rFont val="Roboto Condensed"/>
      </rPr>
      <t>% /usr/bin/sudo /usr/bin/defaults write /Library/Preferences/com.apple.loginwindow LoginwindowText -string "&lt;custom message&gt;"</t>
    </r>
    <r>
      <rPr>
        <sz val="11"/>
        <color rgb="FF006096"/>
        <rFont val="Roboto Condensed"/>
      </rPr>
      <t xml:space="preserve">
</t>
    </r>
  </si>
  <si>
    <r>
      <rPr>
        <sz val="11"/>
        <color rgb="FF000000"/>
        <rFont val="Calibri"/>
      </rPr>
      <t>An access warning informs the user that the system is reserved for authorized use only, and that the use of the system may be monitored.</t>
    </r>
  </si>
  <si>
    <r>
      <rPr>
        <sz val="11"/>
        <color rgb="FF000000"/>
        <rFont val="Calibri"/>
      </rPr>
      <t>If users are not informed of their responsibilities, unapproved activities may occur. Users that are not approved for access may take the lack of a warning banner as implied consent to access.</t>
    </r>
  </si>
  <si>
    <r>
      <rPr>
        <sz val="11"/>
        <color rgb="FF000000"/>
        <rFont val="Calibri"/>
      </rPr>
      <t>Run the following command to verify that a custom message on the login screen is configured: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.objectForKey('LoginwindowText').js</t>
    </r>
    <r>
      <rPr>
        <sz val="11"/>
        <color rgb="FF006096"/>
        <rFont val="Roboto Condensed"/>
      </rPr>
      <t xml:space="preserve">
</t>
    </r>
    <r>
      <rPr>
        <sz val="11"/>
        <color rgb="FF006096"/>
        <rFont val="Roboto Condensed"/>
      </rPr>
      <t>EOS</t>
    </r>
    <r>
      <rPr>
        <sz val="11"/>
        <color rgb="FF006096"/>
        <rFont val="Roboto Condensed"/>
      </rPr>
      <t xml:space="preserve">
</t>
    </r>
    <r>
      <rPr>
        <sz val="11"/>
        <color rgb="FF000000"/>
        <rFont val="Calibri"/>
      </rPr>
      <t xml:space="preserve">
</t>
    </r>
    <r>
      <rPr>
        <sz val="11"/>
        <color rgb="FF000000"/>
        <rFont val="Calibri"/>
      </rPr>
      <t>The output should be a message that is configured to your organization's required text.</t>
    </r>
  </si>
  <si>
    <t>2.4.4</t>
  </si>
  <si>
    <r>
      <rPr>
        <sz val="11"/>
        <rFont val="Calibri"/>
      </rPr>
      <t>Ensure Login Window Displays as Name and Password Is Enabled</t>
    </r>
  </si>
  <si>
    <r>
      <rPr>
        <sz val="11"/>
        <color rgb="FF000000"/>
        <rFont val="Calibri"/>
      </rPr>
      <t>Run the following command to enable the login window to display name and password:</t>
    </r>
    <r>
      <rPr>
        <sz val="11"/>
        <color rgb="FF000000"/>
        <rFont val="Calibri"/>
      </rPr>
      <t xml:space="preserve">
</t>
    </r>
    <r>
      <rPr>
        <sz val="11"/>
        <color rgb="FF006096"/>
        <rFont val="Roboto Condensed"/>
      </rPr>
      <t>% /usr/bin/sudo /usr/bin/defaults write /Library/Preferences/com.apple.loginwindow SHOWFULLNAME -bool true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GUI will not display the updated setting until the current user(s) logs out.</t>
    </r>
  </si>
  <si>
    <r>
      <rPr>
        <sz val="11"/>
        <color rgb="FF000000"/>
        <rFont val="Calibri"/>
      </rPr>
      <t>The login window prompts a user for his/her credentials, verifies their authorization level, and then allows or denies the user access to the system.</t>
    </r>
  </si>
  <si>
    <r>
      <rPr>
        <sz val="11"/>
        <color rgb="FF000000"/>
        <rFont val="Calibri"/>
      </rPr>
      <t>Run the following command to verify the login window displays name and password: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.objectForKey('SHOWFULLNAME').js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</si>
  <si>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2.4.5</t>
  </si>
  <si>
    <r>
      <rPr>
        <sz val="11"/>
        <rFont val="Calibri"/>
      </rPr>
      <t>Ensure Show Password Hints Is Disabled</t>
    </r>
  </si>
  <si>
    <r>
      <rPr>
        <sz val="11"/>
        <color rgb="FF000000"/>
        <rFont val="Calibri"/>
      </rPr>
      <t>Run the following command to disable password hints:</t>
    </r>
    <r>
      <rPr>
        <sz val="11"/>
        <color rgb="FF000000"/>
        <rFont val="Calibri"/>
      </rPr>
      <t xml:space="preserve">
</t>
    </r>
    <r>
      <rPr>
        <sz val="11"/>
        <color rgb="FF006096"/>
        <rFont val="Roboto Condensed"/>
      </rPr>
      <t>% /usr/bin/sudo /usr/bin/defaults write /Library/Preferences/com.apple.loginwindow RetriesUntilHint -int 0</t>
    </r>
    <r>
      <rPr>
        <sz val="11"/>
        <color rgb="FF006096"/>
        <rFont val="Roboto Condensed"/>
      </rPr>
      <t xml:space="preserve">
</t>
    </r>
  </si>
  <si>
    <r>
      <rPr>
        <sz val="11"/>
        <color rgb="FF000000"/>
        <rFont val="Calibri"/>
      </rPr>
      <t>Password hints are user-created text displayed when an incorrect password is used for an account.</t>
    </r>
  </si>
  <si>
    <r>
      <rPr>
        <sz val="11"/>
        <color rgb="FF000000"/>
        <rFont val="Calibri"/>
      </rPr>
      <t>The user can set the hint to any value, including the password itself or clues that allow trivial social engineering attacks.</t>
    </r>
  </si>
  <si>
    <r>
      <rPr>
        <sz val="11"/>
        <color rgb="FF000000"/>
        <rFont val="Calibri"/>
      </rPr>
      <t>Run the following command to verify that password hints are not displayed: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.objectForKey('RetriesUntilHint').js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The default setting is not auditable through the command line. Please run the Terminal command for the remediation to set an initial value.</t>
    </r>
  </si>
  <si>
    <t>Login Password</t>
  </si>
  <si>
    <t>2.5.1</t>
  </si>
  <si>
    <r>
      <rPr>
        <sz val="11"/>
        <rFont val="Calibri"/>
      </rPr>
      <t>Ensure Users</t>
    </r>
    <r>
      <rPr>
        <sz val="11"/>
        <color rgb="FF000000"/>
        <rFont val="Calibri"/>
      </rPr>
      <t>'</t>
    </r>
    <r>
      <rPr>
        <sz val="11"/>
        <color rgb="FF000000"/>
        <rFont val="Calibri"/>
      </rPr>
      <t xml:space="preserve"> Accounts Do Not Have a Password Hint</t>
    </r>
  </si>
  <si>
    <r>
      <rPr>
        <sz val="11"/>
        <color rgb="FF000000"/>
        <rFont val="Calibri"/>
      </rPr>
      <t>Run the following command to remove a user's password hint:</t>
    </r>
    <r>
      <rPr>
        <sz val="11"/>
        <color rgb="FF000000"/>
        <rFont val="Calibri"/>
      </rPr>
      <t xml:space="preserve">
</t>
    </r>
    <r>
      <rPr>
        <sz val="11"/>
        <color rgb="FF006096"/>
        <rFont val="Roboto Condensed"/>
      </rPr>
      <t>% /usr/bin/sudo /usr/bin/dscl . -list /Users hint . -delete /Users/&lt;username&gt; hint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-delete /Users/firstuser hint</t>
    </r>
    <r>
      <rPr>
        <sz val="11"/>
        <color rgb="FF006096"/>
        <rFont val="Roboto Condensed"/>
      </rPr>
      <t xml:space="preserve">
</t>
    </r>
    <r>
      <rPr>
        <sz val="11"/>
        <color rgb="FF006096"/>
        <rFont val="Roboto Condensed"/>
      </rPr>
      <t>% /usr/bin/sudo /usr/bin/dscl . -list /Users hint . -delete /Users/seconduser hint</t>
    </r>
    <r>
      <rPr>
        <sz val="11"/>
        <color rgb="FF006096"/>
        <rFont val="Roboto Condensed"/>
      </rPr>
      <t xml:space="preserve">
</t>
    </r>
  </si>
  <si>
    <r>
      <rPr>
        <sz val="11"/>
        <color rgb="FF000000"/>
        <rFont val="Calibri"/>
      </rPr>
      <t>Password hints help the user recall their passwords for various systems and/or accounts. In most cases, password hints are simple and closely related to the user's password.</t>
    </r>
  </si>
  <si>
    <r>
      <rPr>
        <sz val="11"/>
        <color rgb="FF000000"/>
        <rFont val="Calibri"/>
      </rPr>
      <t>Run the following command to verify that no users have a password hint:</t>
    </r>
    <r>
      <rPr>
        <sz val="11"/>
        <color rgb="FF000000"/>
        <rFont val="Calibri"/>
      </rPr>
      <t xml:space="preserve">
</t>
    </r>
    <r>
      <rPr>
        <sz val="11"/>
        <color rgb="FF006096"/>
        <rFont val="Roboto Condensed"/>
      </rPr>
      <t>% /usr/bin/sudo /usr/bin/dscl . -list /Users hint</t>
    </r>
    <r>
      <rPr>
        <sz val="11"/>
        <color rgb="FF006096"/>
        <rFont val="Roboto Condensed"/>
      </rPr>
      <t xml:space="preserve">
</t>
    </r>
    <r>
      <rPr>
        <sz val="11"/>
        <color rgb="FF000000"/>
        <rFont val="Calibri"/>
      </rPr>
      <t xml:space="preserve">
</t>
    </r>
    <r>
      <rPr>
        <sz val="11"/>
        <color rgb="FF000000"/>
        <rFont val="Calibri"/>
      </rPr>
      <t>The output will list all users. If there are any text listed with the user, then the machine is not compliant.</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/usr/bin/dscl . -list /Users hint . -list /Users hint</t>
    </r>
    <r>
      <rPr>
        <sz val="11"/>
        <color rgb="FF006096"/>
        <rFont val="Roboto Condensed"/>
      </rPr>
      <t xml:space="preserve">
</t>
    </r>
    <r>
      <rPr>
        <sz val="11"/>
        <color rgb="FF006096"/>
        <rFont val="Roboto Condensed"/>
      </rPr>
      <t>firstuser    passwordhint</t>
    </r>
    <r>
      <rPr>
        <sz val="11"/>
        <color rgb="FF006096"/>
        <rFont val="Roboto Condensed"/>
      </rPr>
      <t xml:space="preserve">
</t>
    </r>
    <r>
      <rPr>
        <sz val="11"/>
        <color rgb="FF006096"/>
        <rFont val="Roboto Condensed"/>
      </rPr>
      <t>seconduser   passwordhint2</t>
    </r>
    <r>
      <rPr>
        <sz val="11"/>
        <color rgb="FF006096"/>
        <rFont val="Roboto Condensed"/>
      </rPr>
      <t xml:space="preserve">
</t>
    </r>
    <r>
      <rPr>
        <sz val="11"/>
        <color rgb="FF006096"/>
        <rFont val="Roboto Condensed"/>
      </rPr>
      <t>thirduser</t>
    </r>
    <r>
      <rPr>
        <sz val="11"/>
        <color rgb="FF006096"/>
        <rFont val="Roboto Condensed"/>
      </rPr>
      <t xml:space="preserve">
</t>
    </r>
    <r>
      <rPr>
        <sz val="11"/>
        <color rgb="FF006096"/>
        <rFont val="Roboto Condensed"/>
      </rPr>
      <t xml:space="preserve">fourthuser     </t>
    </r>
    <r>
      <rPr>
        <sz val="11"/>
        <color rgb="FF006096"/>
        <rFont val="Roboto Condensed"/>
      </rPr>
      <t xml:space="preserve">
</t>
    </r>
    <r>
      <rPr>
        <sz val="11"/>
        <color rgb="FF006096"/>
        <rFont val="Roboto Condensed"/>
      </rPr>
      <t xml:space="preserve">Guest        </t>
    </r>
    <r>
      <rPr>
        <sz val="11"/>
        <color rgb="FF006096"/>
        <rFont val="Roboto Condensed"/>
      </rPr>
      <t xml:space="preserve">
</t>
    </r>
  </si>
  <si>
    <t>Users &amp; Groups</t>
  </si>
  <si>
    <t>2.6.1</t>
  </si>
  <si>
    <r>
      <rPr>
        <sz val="11"/>
        <rFont val="Calibri"/>
      </rPr>
      <t>Ensure Guest Account Is Disabled</t>
    </r>
  </si>
  <si>
    <r>
      <rPr>
        <sz val="11"/>
        <color rgb="FF000000"/>
        <rFont val="Calibri"/>
      </rPr>
      <t>Run the following command to disable the guest account:</t>
    </r>
    <r>
      <rPr>
        <sz val="11"/>
        <color rgb="FF000000"/>
        <rFont val="Calibri"/>
      </rPr>
      <t xml:space="preserve">
</t>
    </r>
    <r>
      <rPr>
        <sz val="11"/>
        <color rgb="FF006096"/>
        <rFont val="Roboto Condensed"/>
      </rPr>
      <t>% /usr/bin/sudo /usr/bin/defaults write /Library/Preferences/com.apple.loginwindow GuestEnabled -bool false</t>
    </r>
    <r>
      <rPr>
        <sz val="11"/>
        <color rgb="FF006096"/>
        <rFont val="Roboto Condensed"/>
      </rPr>
      <t xml:space="preserve">
</t>
    </r>
  </si>
  <si>
    <r>
      <rPr>
        <sz val="11"/>
        <color rgb="FF000000"/>
        <rFont val="Calibri"/>
      </rPr>
      <t>The guest account allows users access to the system without having to create an account or password. Guest users are unable to make setting changes and cannot remotely login to the system. All files, caches, and passwords created by the guest user are deleted upon logging out.</t>
    </r>
  </si>
  <si>
    <r>
      <rPr>
        <sz val="11"/>
        <color rgb="FF000000"/>
        <rFont val="Calibri"/>
      </rPr>
      <t>A guest user can use that access to find out additional information about the system and might be able to use privilege escalation vulnerabilities to establish greater access.</t>
    </r>
  </si>
  <si>
    <r>
      <rPr>
        <sz val="11"/>
        <color rgb="FF000000"/>
        <rFont val="Calibri"/>
      </rPr>
      <t>Run the following command to verify if the guest account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$.NSUserDefaults.alloc.initWithSuiteName('com.apple.loginwindow')\</t>
    </r>
    <r>
      <rPr>
        <sz val="11"/>
        <color rgb="FF006096"/>
        <rFont val="Roboto Condensed"/>
      </rPr>
      <t xml:space="preserve">
</t>
    </r>
    <r>
      <rPr>
        <sz val="11"/>
        <color rgb="FF006096"/>
        <rFont val="Roboto Condensed"/>
      </rPr>
      <t>.objectForKey('GuestEnabled').js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false</t>
    </r>
    <r>
      <rPr>
        <sz val="11"/>
        <color rgb="FF006096"/>
        <rFont val="Roboto Condensed"/>
      </rPr>
      <t xml:space="preserve">
</t>
    </r>
  </si>
  <si>
    <t>2.6.2</t>
  </si>
  <si>
    <r>
      <rPr>
        <sz val="11"/>
        <rFont val="Calibri"/>
      </rPr>
      <t>Ensure Guest Access to Shared Folders Is Disabled</t>
    </r>
  </si>
  <si>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off</t>
    </r>
    <r>
      <rPr>
        <sz val="11"/>
        <color rgb="FF006096"/>
        <rFont val="Roboto Condensed"/>
      </rPr>
      <t xml:space="preserve">
</t>
    </r>
  </si>
  <si>
    <r>
      <rPr>
        <sz val="11"/>
        <color rgb="FF000000"/>
        <rFont val="Calibri"/>
      </rPr>
      <t>Allowing guests to connect to shared folders enables users to access selected shared folders and their contents from different computers on a network.</t>
    </r>
  </si>
  <si>
    <r>
      <rPr>
        <sz val="11"/>
        <color rgb="FF000000"/>
        <rFont val="Calibri"/>
      </rPr>
      <t>Unauthorized users could access shared files on the system.</t>
    </r>
  </si>
  <si>
    <r>
      <rPr>
        <sz val="11"/>
        <color rgb="FF000000"/>
        <rFont val="Calibri"/>
      </rPr>
      <t>Run the following commands to verify that shared folders are not accessible to guest users:</t>
    </r>
    <r>
      <rPr>
        <sz val="11"/>
        <color rgb="FF000000"/>
        <rFont val="Calibri"/>
      </rPr>
      <t xml:space="preserve">
</t>
    </r>
    <r>
      <rPr>
        <sz val="11"/>
        <color rgb="FF006096"/>
        <rFont val="Roboto Condensed"/>
      </rPr>
      <t>% /usr/bin/sudo /usr/sbin/sysadminctl -smbGuestAccess status</t>
    </r>
    <r>
      <rPr>
        <sz val="11"/>
        <color rgb="FF006096"/>
        <rFont val="Roboto Condensed"/>
      </rPr>
      <t xml:space="preserve">
</t>
    </r>
    <r>
      <rPr>
        <sz val="11"/>
        <color rgb="FF000000"/>
        <rFont val="Calibri"/>
      </rPr>
      <t xml:space="preserve">
</t>
    </r>
    <r>
      <rPr>
        <sz val="11"/>
        <color rgb="FF000000"/>
        <rFont val="Calibri"/>
      </rPr>
      <t xml:space="preserve">The output should include </t>
    </r>
    <r>
      <rPr>
        <b/>
        <sz val="11"/>
        <color rgb="FF000000"/>
        <rFont val="Calibri"/>
      </rPr>
      <t>SMB guest access disabled</t>
    </r>
    <r>
      <rPr>
        <sz val="11"/>
        <color rgb="FF000000"/>
        <rFont val="Calibri"/>
      </rPr>
      <t>.</t>
    </r>
  </si>
  <si>
    <t>2.6.3</t>
  </si>
  <si>
    <r>
      <rPr>
        <sz val="11"/>
        <rFont val="Calibri"/>
      </rPr>
      <t>Ensure Automatic Login Is Disabled</t>
    </r>
  </si>
  <si>
    <r>
      <rPr>
        <sz val="11"/>
        <color rgb="FF000000"/>
        <rFont val="Calibri"/>
      </rPr>
      <t>Run the following command to disable automatic login:</t>
    </r>
    <r>
      <rPr>
        <sz val="11"/>
        <color rgb="FF000000"/>
        <rFont val="Calibri"/>
      </rPr>
      <t xml:space="preserve">
</t>
    </r>
    <r>
      <rPr>
        <sz val="11"/>
        <color rgb="FF006096"/>
        <rFont val="Roboto Condensed"/>
      </rPr>
      <t>% /usr/bin/sudo /usr/bin/defaults delete /Library/Preferences/com.apple.loginwindow autoLoginUser</t>
    </r>
    <r>
      <rPr>
        <sz val="11"/>
        <color rgb="FF006096"/>
        <rFont val="Roboto Condensed"/>
      </rPr>
      <t xml:space="preserve">
</t>
    </r>
  </si>
  <si>
    <r>
      <rPr>
        <sz val="11"/>
        <color rgb="FF000000"/>
        <rFont val="Calibri"/>
      </rPr>
      <t>The automatic login feature saves a user's system access credentials and bypasses the login screen. Instead, the system automatically loads to the user's desktop screen.</t>
    </r>
  </si>
  <si>
    <r>
      <rPr>
        <sz val="11"/>
        <color rgb="FF000000"/>
        <rFont val="Calibri"/>
      </rPr>
      <t>If automatic login is not disabled, an unauthorized user could gain access to the system without supplying any credentials.</t>
    </r>
  </si>
  <si>
    <r>
      <rPr>
        <sz val="11"/>
        <color rgb="FF000000"/>
        <rFont val="Calibri"/>
      </rPr>
      <t>Run the following command to verify that automatic login has not been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ObjC.unwrap($.NSUserDefaults.alloc.initWithSuiteName('com.apple.loginwindow')\</t>
    </r>
    <r>
      <rPr>
        <sz val="11"/>
        <color rgb="FF006096"/>
        <rFont val="Roboto Condensed"/>
      </rPr>
      <t xml:space="preserve">
</t>
    </r>
    <r>
      <rPr>
        <sz val="11"/>
        <color rgb="FF006096"/>
        <rFont val="Roboto Condensed"/>
      </rPr>
      <t xml:space="preserve">  .objectForKey('autoLoginUser'))</t>
    </r>
    <r>
      <rPr>
        <sz val="11"/>
        <color rgb="FF006096"/>
        <rFont val="Roboto Condensed"/>
      </rPr>
      <t xml:space="preserve">
</t>
    </r>
    <r>
      <rPr>
        <sz val="11"/>
        <color rgb="FF006096"/>
        <rFont val="Roboto Condensed"/>
      </rPr>
      <t xml:space="preserve">  if ( pref1 ==  null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</si>
  <si>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Logging and Auditing</t>
  </si>
  <si>
    <t>3.1</t>
  </si>
  <si>
    <r>
      <rPr>
        <sz val="11"/>
        <rFont val="Calibri"/>
      </rPr>
      <t>Ensure Security Auditing Is Enabled</t>
    </r>
  </si>
  <si>
    <r>
      <rPr>
        <sz val="11"/>
        <color rgb="FF000000"/>
        <rFont val="Calibri"/>
      </rPr>
      <t>Run the following command to load auditd:</t>
    </r>
    <r>
      <rPr>
        <sz val="11"/>
        <color rgb="FF000000"/>
        <rFont val="Calibri"/>
      </rPr>
      <t xml:space="preserve">
</t>
    </r>
    <r>
      <rPr>
        <sz val="11"/>
        <color rgb="FF006096"/>
        <rFont val="Roboto Condensed"/>
      </rPr>
      <t>% /usr/bin/sudo /bin/launchctl load -w /System/Library/LaunchDaemons/com.apple.auditd.plist</t>
    </r>
    <r>
      <rPr>
        <sz val="11"/>
        <color rgb="FF006096"/>
        <rFont val="Roboto Condensed"/>
      </rPr>
      <t xml:space="preserve">
</t>
    </r>
  </si>
  <si>
    <r>
      <rPr>
        <sz val="11"/>
        <color rgb="FF000000"/>
        <rFont val="Calibri"/>
      </rPr>
      <t xml:space="preserve">macOS's audit facility, </t>
    </r>
    <r>
      <rPr>
        <b/>
        <sz val="11"/>
        <color rgb="FF000000"/>
        <rFont val="Calibri"/>
      </rPr>
      <t>auditd</t>
    </r>
    <r>
      <rPr>
        <sz val="11"/>
        <color rgb="FF000000"/>
        <rFont val="Calibri"/>
      </rPr>
      <t xml:space="preserve">, receives notifications from the kernel when certain system calls, such as </t>
    </r>
    <r>
      <rPr>
        <b/>
        <sz val="11"/>
        <color rgb="FF000000"/>
        <rFont val="Calibri"/>
      </rPr>
      <t>open</t>
    </r>
    <r>
      <rPr>
        <sz val="11"/>
        <color rgb="FF000000"/>
        <rFont val="Calibri"/>
      </rPr>
      <t xml:space="preserve">, </t>
    </r>
    <r>
      <rPr>
        <b/>
        <sz val="11"/>
        <color rgb="FF000000"/>
        <rFont val="Calibri"/>
      </rPr>
      <t>fork</t>
    </r>
    <r>
      <rPr>
        <sz val="11"/>
        <color rgb="FF000000"/>
        <rFont val="Calibri"/>
      </rPr>
      <t xml:space="preserve">, and </t>
    </r>
    <r>
      <rPr>
        <b/>
        <sz val="11"/>
        <color rgb="FF000000"/>
        <rFont val="Calibri"/>
      </rPr>
      <t>exit</t>
    </r>
    <r>
      <rPr>
        <sz val="11"/>
        <color rgb="FF000000"/>
        <rFont val="Calibri"/>
      </rPr>
      <t>, are made. These notifications are captured and written to an audit log.</t>
    </r>
    <r>
      <rPr>
        <sz val="11"/>
        <color rgb="FF000000"/>
        <rFont val="Calibri"/>
      </rPr>
      <t xml:space="preserve">
</t>
    </r>
    <r>
      <rPr>
        <sz val="11"/>
        <color rgb="FF000000"/>
        <rFont val="Calibri"/>
      </rPr>
      <t xml:space="preserve">Apple has deprecated </t>
    </r>
    <r>
      <rPr>
        <b/>
        <sz val="11"/>
        <color rgb="FF000000"/>
        <rFont val="Calibri"/>
      </rPr>
      <t>auditd</t>
    </r>
    <r>
      <rPr>
        <sz val="11"/>
        <color rgb="FF000000"/>
        <rFont val="Calibri"/>
      </rPr>
      <t xml:space="preserve"> as of macOS 11.0 Big Sur. In macOS 14.0 Sonoma it is no longer enabled by default and it is suggested to use an application that integrates with the EndpointSecurity API. These applications are 3rd party and not built into the macOS. Until </t>
    </r>
    <r>
      <rPr>
        <b/>
        <sz val="11"/>
        <color rgb="FF000000"/>
        <rFont val="Calibri"/>
      </rPr>
      <t>auditd</t>
    </r>
    <r>
      <rPr>
        <sz val="11"/>
        <color rgb="FF000000"/>
        <rFont val="Calibri"/>
      </rPr>
      <t xml:space="preserve"> is removed from macOS completely, running the binary is the best way to collect logging in macOS and the only one that is part of the OS.</t>
    </r>
  </si>
  <si>
    <r>
      <rPr>
        <sz val="11"/>
        <color rgb="FF000000"/>
        <rFont val="Calibri"/>
      </rPr>
      <t>Run the following command to verify auditd:</t>
    </r>
    <r>
      <rPr>
        <sz val="11"/>
        <color rgb="FF000000"/>
        <rFont val="Calibri"/>
      </rPr>
      <t xml:space="preserve">
</t>
    </r>
    <r>
      <rPr>
        <sz val="11"/>
        <color rgb="FF006096"/>
        <rFont val="Roboto Condensed"/>
      </rPr>
      <t xml:space="preserve">% /usr/bin/sudo /bin/launchctl list | /usr/bin/grep -i auditd </t>
    </r>
    <r>
      <rPr>
        <sz val="11"/>
        <color rgb="FF006096"/>
        <rFont val="Roboto Condensed"/>
      </rPr>
      <t xml:space="preserve">
</t>
    </r>
    <r>
      <rPr>
        <sz val="11"/>
        <color rgb="FF006096"/>
        <rFont val="Roboto Condensed"/>
      </rPr>
      <t>-	0	com.apple.auditd</t>
    </r>
    <r>
      <rPr>
        <sz val="11"/>
        <color rgb="FF006096"/>
        <rFont val="Roboto Condensed"/>
      </rPr>
      <t xml:space="preserve">
</t>
    </r>
  </si>
  <si>
    <t>3.2</t>
  </si>
  <si>
    <r>
      <rPr>
        <sz val="11"/>
        <rFont val="Calibri"/>
      </rPr>
      <t>Ensure Security Auditing Flags For User-Attributable Events Are Configured Per Local Organizational Requirements</t>
    </r>
  </si>
  <si>
    <r>
      <rPr>
        <sz val="11"/>
        <color rgb="FF000000"/>
        <rFont val="Calibri"/>
      </rPr>
      <t>Perform the following to set the required Security Auditing Flags:</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and add </t>
    </r>
    <r>
      <rPr>
        <b/>
        <sz val="11"/>
        <color rgb="FF000000"/>
        <rFont val="Calibri"/>
      </rPr>
      <t>-fm</t>
    </r>
    <r>
      <rPr>
        <sz val="11"/>
        <color rgb="FF000000"/>
        <rFont val="Calibri"/>
      </rPr>
      <t xml:space="preserve">, </t>
    </r>
    <r>
      <rPr>
        <b/>
        <sz val="11"/>
        <color rgb="FF000000"/>
        <rFont val="Calibri"/>
      </rPr>
      <t>ad</t>
    </r>
    <r>
      <rPr>
        <sz val="11"/>
        <color rgb="FF000000"/>
        <rFont val="Calibri"/>
      </rPr>
      <t xml:space="preserve">, </t>
    </r>
    <r>
      <rPr>
        <b/>
        <sz val="11"/>
        <color rgb="FF000000"/>
        <rFont val="Calibri"/>
      </rPr>
      <t>-ex</t>
    </r>
    <r>
      <rPr>
        <sz val="11"/>
        <color rgb="FF000000"/>
        <rFont val="Calibri"/>
      </rPr>
      <t xml:space="preserve">, </t>
    </r>
    <r>
      <rPr>
        <b/>
        <sz val="11"/>
        <color rgb="FF000000"/>
        <rFont val="Calibri"/>
      </rPr>
      <t>aa</t>
    </r>
    <r>
      <rPr>
        <sz val="11"/>
        <color rgb="FF000000"/>
        <rFont val="Calibri"/>
      </rPr>
      <t xml:space="preserve">, </t>
    </r>
    <r>
      <rPr>
        <b/>
        <sz val="11"/>
        <color rgb="FF000000"/>
        <rFont val="Calibri"/>
      </rPr>
      <t>-fr</t>
    </r>
    <r>
      <rPr>
        <sz val="11"/>
        <color rgb="FF000000"/>
        <rFont val="Calibri"/>
      </rPr>
      <t xml:space="preserve">, </t>
    </r>
    <r>
      <rPr>
        <b/>
        <sz val="11"/>
        <color rgb="FF000000"/>
        <rFont val="Calibri"/>
      </rPr>
      <t>lo</t>
    </r>
    <r>
      <rPr>
        <sz val="11"/>
        <color rgb="FF000000"/>
        <rFont val="Calibri"/>
      </rPr>
      <t xml:space="preserve">, and </t>
    </r>
    <r>
      <rPr>
        <b/>
        <sz val="11"/>
        <color rgb="FF000000"/>
        <rFont val="Calibri"/>
      </rPr>
      <t>-fw</t>
    </r>
    <r>
      <rPr>
        <sz val="11"/>
        <color rgb="FF000000"/>
        <rFont val="Calibri"/>
      </rPr>
      <t xml:space="preserve"> to </t>
    </r>
    <r>
      <rPr>
        <b/>
        <sz val="11"/>
        <color rgb="FF000000"/>
        <rFont val="Calibri"/>
      </rPr>
      <t>flags</t>
    </r>
    <r>
      <rPr>
        <sz val="11"/>
        <color rgb="FF000000"/>
        <rFont val="Calibri"/>
      </rPr>
      <t xml:space="preserve">. You can also substitute </t>
    </r>
    <r>
      <rPr>
        <b/>
        <sz val="11"/>
        <color rgb="FF000000"/>
        <rFont val="Calibri"/>
      </rPr>
      <t>-all</t>
    </r>
    <r>
      <rPr>
        <sz val="11"/>
        <color rgb="FF000000"/>
        <rFont val="Calibri"/>
      </rPr>
      <t xml:space="preserve"> for </t>
    </r>
    <r>
      <rPr>
        <b/>
        <sz val="11"/>
        <color rgb="FF000000"/>
        <rFont val="Calibri"/>
      </rPr>
      <t>-fm</t>
    </r>
    <r>
      <rPr>
        <sz val="11"/>
        <color rgb="FF000000"/>
        <rFont val="Calibri"/>
      </rPr>
      <t xml:space="preserve">, </t>
    </r>
    <r>
      <rPr>
        <b/>
        <sz val="11"/>
        <color rgb="FF000000"/>
        <rFont val="Calibri"/>
      </rPr>
      <t>-ex</t>
    </r>
    <r>
      <rPr>
        <sz val="11"/>
        <color rgb="FF000000"/>
        <rFont val="Calibri"/>
      </rPr>
      <t xml:space="preserve">, </t>
    </r>
    <r>
      <rPr>
        <b/>
        <sz val="11"/>
        <color rgb="FF000000"/>
        <rFont val="Calibri"/>
      </rPr>
      <t>-fr</t>
    </r>
    <r>
      <rPr>
        <sz val="11"/>
        <color rgb="FF000000"/>
        <rFont val="Calibri"/>
      </rPr>
      <t xml:space="preserve">, and </t>
    </r>
    <r>
      <rPr>
        <b/>
        <sz val="11"/>
        <color rgb="FF000000"/>
        <rFont val="Calibri"/>
      </rPr>
      <t>-fw</t>
    </r>
    <r>
      <rPr>
        <sz val="11"/>
        <color rgb="FF000000"/>
        <rFont val="Calibri"/>
      </rPr>
      <t>.</t>
    </r>
  </si>
  <si>
    <r>
      <rPr>
        <sz val="11"/>
        <color rgb="FF000000"/>
        <rFont val="Calibri"/>
      </rPr>
      <t>Auditing is the capture and maintenance of information about security-related events. Auditable events often depend on differing organizational requirements.</t>
    </r>
  </si>
  <si>
    <r>
      <rPr>
        <sz val="11"/>
        <color rgb="FF000000"/>
        <rFont val="Calibri"/>
      </rPr>
      <t>Run the following command to verify the Security Auditing Flags that are enabled:</t>
    </r>
    <r>
      <rPr>
        <sz val="11"/>
        <color rgb="FF000000"/>
        <rFont val="Calibri"/>
      </rPr>
      <t xml:space="preserve">
</t>
    </r>
    <r>
      <rPr>
        <sz val="11"/>
        <color rgb="FF006096"/>
        <rFont val="Roboto Condensed"/>
      </rPr>
      <t>% /usr/bin/sudo /usr/bin/grep -e "^flags:" /etc/security/audit_control</t>
    </r>
    <r>
      <rPr>
        <sz val="11"/>
        <color rgb="FF006096"/>
        <rFont val="Roboto Condensed"/>
      </rPr>
      <t xml:space="preserve">
</t>
    </r>
    <r>
      <rPr>
        <sz val="11"/>
        <color rgb="FF000000"/>
        <rFont val="Calibri"/>
      </rPr>
      <t xml:space="preserve">
</t>
    </r>
    <r>
      <rPr>
        <sz val="11"/>
        <color rgb="FF000000"/>
        <rFont val="Calibri"/>
      </rPr>
      <t>The output should include the following flags:</t>
    </r>
    <r>
      <rPr>
        <sz val="11"/>
        <color rgb="FF000000"/>
        <rFont val="Calibri"/>
      </rPr>
      <t xml:space="preserve">
</t>
    </r>
    <r>
      <rPr>
        <sz val="11"/>
        <color rgb="FF000000"/>
        <rFont val="Calibri"/>
      </rPr>
      <t xml:space="preserve">- </t>
    </r>
    <r>
      <rPr>
        <b/>
        <sz val="11"/>
        <color rgb="FF000000"/>
        <rFont val="Calibri"/>
      </rPr>
      <t>-fm</t>
    </r>
    <r>
      <rPr>
        <sz val="11"/>
        <color rgb="FF000000"/>
        <rFont val="Calibri"/>
      </rPr>
      <t xml:space="preserve"> - audit failed file attribute modification events</t>
    </r>
    <r>
      <rPr>
        <sz val="11"/>
        <color rgb="FF000000"/>
        <rFont val="Calibri"/>
      </rPr>
      <t xml:space="preserve">
</t>
    </r>
    <r>
      <rPr>
        <sz val="11"/>
        <color rgb="FF000000"/>
        <rFont val="Calibri"/>
      </rPr>
      <t xml:space="preserve">- </t>
    </r>
    <r>
      <rPr>
        <b/>
        <sz val="11"/>
        <color rgb="FF000000"/>
        <rFont val="Calibri"/>
      </rPr>
      <t>ad</t>
    </r>
    <r>
      <rPr>
        <sz val="11"/>
        <color rgb="FF000000"/>
        <rFont val="Calibri"/>
      </rPr>
      <t xml:space="preserve"> - audit successful/failed administrative events</t>
    </r>
    <r>
      <rPr>
        <sz val="11"/>
        <color rgb="FF000000"/>
        <rFont val="Calibri"/>
      </rPr>
      <t xml:space="preserve">
</t>
    </r>
    <r>
      <rPr>
        <sz val="11"/>
        <color rgb="FF000000"/>
        <rFont val="Calibri"/>
      </rPr>
      <t xml:space="preserve">- </t>
    </r>
    <r>
      <rPr>
        <b/>
        <sz val="11"/>
        <color rgb="FF000000"/>
        <rFont val="Calibri"/>
      </rPr>
      <t>-ex</t>
    </r>
    <r>
      <rPr>
        <sz val="11"/>
        <color rgb="FF000000"/>
        <rFont val="Calibri"/>
      </rPr>
      <t xml:space="preserve"> - audit failed program execution</t>
    </r>
    <r>
      <rPr>
        <sz val="11"/>
        <color rgb="FF000000"/>
        <rFont val="Calibri"/>
      </rPr>
      <t xml:space="preserve">
</t>
    </r>
    <r>
      <rPr>
        <sz val="11"/>
        <color rgb="FF000000"/>
        <rFont val="Calibri"/>
      </rPr>
      <t xml:space="preserve">- </t>
    </r>
    <r>
      <rPr>
        <b/>
        <sz val="11"/>
        <color rgb="FF000000"/>
        <rFont val="Calibri"/>
      </rPr>
      <t>aa</t>
    </r>
    <r>
      <rPr>
        <sz val="11"/>
        <color rgb="FF000000"/>
        <rFont val="Calibri"/>
      </rPr>
      <t xml:space="preserve"> - audit all authorization and authentication events</t>
    </r>
    <r>
      <rPr>
        <sz val="11"/>
        <color rgb="FF000000"/>
        <rFont val="Calibri"/>
      </rPr>
      <t xml:space="preserve">
</t>
    </r>
    <r>
      <rPr>
        <sz val="11"/>
        <color rgb="FF000000"/>
        <rFont val="Calibri"/>
      </rPr>
      <t xml:space="preserve">- </t>
    </r>
    <r>
      <rPr>
        <b/>
        <sz val="11"/>
        <color rgb="FF000000"/>
        <rFont val="Calibri"/>
      </rPr>
      <t>-fr</t>
    </r>
    <r>
      <rPr>
        <sz val="11"/>
        <color rgb="FF000000"/>
        <rFont val="Calibri"/>
      </rPr>
      <t xml:space="preserve"> - audit all failed read actions where enforcement stops a read of a file</t>
    </r>
    <r>
      <rPr>
        <sz val="11"/>
        <color rgb="FF000000"/>
        <rFont val="Calibri"/>
      </rPr>
      <t xml:space="preserve">
</t>
    </r>
    <r>
      <rPr>
        <sz val="11"/>
        <color rgb="FF000000"/>
        <rFont val="Calibri"/>
      </rPr>
      <t xml:space="preserve">- </t>
    </r>
    <r>
      <rPr>
        <b/>
        <sz val="11"/>
        <color rgb="FF000000"/>
        <rFont val="Calibri"/>
      </rPr>
      <t>lo</t>
    </r>
    <r>
      <rPr>
        <sz val="11"/>
        <color rgb="FF000000"/>
        <rFont val="Calibri"/>
      </rPr>
      <t xml:space="preserve"> - audit successful/failed login/logout events</t>
    </r>
    <r>
      <rPr>
        <sz val="11"/>
        <color rgb="FF000000"/>
        <rFont val="Calibri"/>
      </rPr>
      <t xml:space="preserve">
</t>
    </r>
    <r>
      <rPr>
        <sz val="11"/>
        <color rgb="FF000000"/>
        <rFont val="Calibri"/>
      </rPr>
      <t xml:space="preserve">- </t>
    </r>
    <r>
      <rPr>
        <b/>
        <sz val="11"/>
        <color rgb="FF000000"/>
        <rFont val="Calibri"/>
      </rPr>
      <t>-fw</t>
    </r>
    <r>
      <rPr>
        <sz val="11"/>
        <color rgb="FF000000"/>
        <rFont val="Calibri"/>
      </rPr>
      <t xml:space="preserve"> - audit all failed write actions where enforcement stopped a file write</t>
    </r>
    <r>
      <rPr>
        <sz val="11"/>
        <color rgb="FF000000"/>
        <rFont val="Calibri"/>
      </rPr>
      <t xml:space="preserve">
</t>
    </r>
    <r>
      <rPr>
        <sz val="11"/>
        <color rgb="FF000000"/>
        <rFont val="Calibri"/>
      </rPr>
      <t xml:space="preserve">The </t>
    </r>
    <r>
      <rPr>
        <b/>
        <sz val="11"/>
        <color rgb="FF000000"/>
        <rFont val="Calibri"/>
      </rPr>
      <t>-all</t>
    </r>
    <r>
      <rPr>
        <sz val="11"/>
        <color rgb="FF000000"/>
        <rFont val="Calibri"/>
      </rPr>
      <t xml:space="preserve"> flag will capture all failed events across all audit classes and can be used to supersede the individual flags for failed events.</t>
    </r>
    <r>
      <rPr>
        <sz val="11"/>
        <color rgb="FF000000"/>
        <rFont val="Calibri"/>
      </rPr>
      <t xml:space="preserve">
</t>
    </r>
    <r>
      <rPr>
        <b/>
        <sz val="11"/>
        <color rgb="FF000000"/>
        <rFont val="Calibri"/>
      </rPr>
      <t>Note:</t>
    </r>
    <r>
      <rPr>
        <sz val="11"/>
        <color rgb="FF000000"/>
        <rFont val="Calibri"/>
      </rPr>
      <t xml:space="preserve"> Excluding potentially noisy audit events may be ideal, depending on your use-case.</t>
    </r>
    <r>
      <rPr>
        <sz val="11"/>
        <color rgb="FF000000"/>
        <rFont val="Calibri"/>
      </rPr>
      <t xml:space="preserve">
</t>
    </r>
    <r>
      <rPr>
        <b/>
        <sz val="11"/>
        <color rgb="FF000000"/>
        <rFont val="Calibri"/>
      </rPr>
      <t>Note:</t>
    </r>
    <r>
      <rPr>
        <sz val="11"/>
        <color rgb="FF000000"/>
        <rFont val="Calibri"/>
      </rPr>
      <t xml:space="preserve"> Historical audit flags are listed below as preliminary guidance.</t>
    </r>
  </si>
  <si>
    <t>3.3</t>
  </si>
  <si>
    <r>
      <rPr>
        <sz val="11"/>
        <rFont val="Calibri"/>
      </rPr>
      <t>Ensure install.log Is Retained for 365 or More Days and No Maximum Size</t>
    </r>
  </si>
  <si>
    <r>
      <rPr>
        <sz val="11"/>
        <color rgb="FF000000"/>
        <rFont val="Calibri"/>
      </rPr>
      <t>Perform the following to ensure that install logs are retained for at least 365 days:</t>
    </r>
    <r>
      <rPr>
        <sz val="11"/>
        <color rgb="FF000000"/>
        <rFont val="Calibri"/>
      </rPr>
      <t xml:space="preserve">
</t>
    </r>
    <r>
      <rPr>
        <sz val="11"/>
        <color rgb="FF000000"/>
        <rFont val="Calibri"/>
      </rPr>
      <t xml:space="preserve">Edit the </t>
    </r>
    <r>
      <rPr>
        <b/>
        <sz val="11"/>
        <color rgb="FF000000"/>
        <rFont val="Calibri"/>
      </rPr>
      <t>/etc/asl/com.apple.install</t>
    </r>
    <r>
      <rPr>
        <sz val="11"/>
        <color rgb="FF000000"/>
        <rFont val="Calibri"/>
      </rPr>
      <t xml:space="preserve"> file and add or modify the </t>
    </r>
    <r>
      <rPr>
        <b/>
        <sz val="11"/>
        <color rgb="FF000000"/>
        <rFont val="Calibri"/>
      </rPr>
      <t>ttl</t>
    </r>
    <r>
      <rPr>
        <sz val="11"/>
        <color rgb="FF000000"/>
        <rFont val="Calibri"/>
      </rPr>
      <t xml:space="preserve"> value to </t>
    </r>
    <r>
      <rPr>
        <b/>
        <sz val="11"/>
        <color rgb="FF000000"/>
        <rFont val="Calibri"/>
      </rPr>
      <t>365</t>
    </r>
    <r>
      <rPr>
        <sz val="11"/>
        <color rgb="FF000000"/>
        <rFont val="Calibri"/>
      </rPr>
      <t xml:space="preserve"> or greater on the </t>
    </r>
    <r>
      <rPr>
        <b/>
        <sz val="11"/>
        <color rgb="FF000000"/>
        <rFont val="Calibri"/>
      </rPr>
      <t>file</t>
    </r>
    <r>
      <rPr>
        <sz val="11"/>
        <color rgb="FF000000"/>
        <rFont val="Calibri"/>
      </rPr>
      <t xml:space="preserve"> line. Also, remove the </t>
    </r>
    <r>
      <rPr>
        <b/>
        <sz val="11"/>
        <color rgb="FF000000"/>
        <rFont val="Calibri"/>
      </rPr>
      <t>all_max=</t>
    </r>
    <r>
      <rPr>
        <sz val="11"/>
        <color rgb="FF000000"/>
        <rFont val="Calibri"/>
      </rPr>
      <t xml:space="preserve"> setting and value from the </t>
    </r>
    <r>
      <rPr>
        <b/>
        <sz val="11"/>
        <color rgb="FF000000"/>
        <rFont val="Calibri"/>
      </rPr>
      <t>file</t>
    </r>
    <r>
      <rPr>
        <sz val="11"/>
        <color rgb="FF000000"/>
        <rFont val="Calibri"/>
      </rPr>
      <t xml:space="preserve"> line.</t>
    </r>
  </si>
  <si>
    <r>
      <rPr>
        <sz val="11"/>
        <color rgb="FF000000"/>
        <rFont val="Calibri"/>
      </rPr>
      <t xml:space="preserve">macOS writes information pertaining to system-related events to the file </t>
    </r>
    <r>
      <rPr>
        <b/>
        <sz val="11"/>
        <color rgb="FF000000"/>
        <rFont val="Calibri"/>
      </rPr>
      <t>/var/log/install.log</t>
    </r>
    <r>
      <rPr>
        <sz val="11"/>
        <color rgb="FF000000"/>
        <rFont val="Calibri"/>
      </rPr>
      <t xml:space="preserve"> and has a configurable retention policy for this file. The default logging setting limits the file size of the logs and the maximum size for all logs. The default allows for an errant application to fill the log files and does not enforce sufficient log retention. The Benchmark recommends a value based on standard use cases. The value should align with local requirements within the organization.</t>
    </r>
    <r>
      <rPr>
        <sz val="11"/>
        <color rgb="FF000000"/>
        <rFont val="Calibri"/>
      </rPr>
      <t xml:space="preserve">
</t>
    </r>
    <r>
      <rPr>
        <sz val="11"/>
        <color rgb="FF000000"/>
        <rFont val="Calibri"/>
      </rPr>
      <t>The default value has an "all_max" file limitation, no reference to a minimum retention, and a less precise rotation argument.</t>
    </r>
    <r>
      <rPr>
        <sz val="11"/>
        <color rgb="FF000000"/>
        <rFont val="Calibri"/>
      </rPr>
      <t xml:space="preserve">
</t>
    </r>
    <r>
      <rPr>
        <sz val="11"/>
        <color rgb="FF000000"/>
        <rFont val="Calibri"/>
      </rPr>
      <t>The all_max flag control will remove old log entries based only on the size of the log files. Log size can vary widely depending on how verbose installing applications are in their log entries. The decision here is to ensure that logs go back a year, and depending on the applications a size restriction could compromise the ability to store a full year.</t>
    </r>
    <r>
      <rPr>
        <sz val="11"/>
        <color rgb="FF000000"/>
        <rFont val="Calibri"/>
      </rPr>
      <t xml:space="preserve">
</t>
    </r>
    <r>
      <rPr>
        <sz val="11"/>
        <color rgb="FF000000"/>
        <rFont val="Calibri"/>
      </rPr>
      <t>While this Benchmark is not scoring for a rotation flag, the default rotation is sequential rather than using a timestamp. Auditors may prefer timestamps in order to simply review specific dates where event information is desired.</t>
    </r>
    <r>
      <rPr>
        <sz val="11"/>
        <color rgb="FF000000"/>
        <rFont val="Calibri"/>
      </rPr>
      <t xml:space="preserve">
</t>
    </r>
    <r>
      <rPr>
        <sz val="11"/>
        <color rgb="FF000000"/>
        <rFont val="Calibri"/>
      </rPr>
      <t>Please review the File Rotation section in the man page for more information.</t>
    </r>
    <r>
      <rPr>
        <sz val="11"/>
        <color rgb="FF000000"/>
        <rFont val="Calibri"/>
      </rPr>
      <t xml:space="preserve">
</t>
    </r>
    <r>
      <rPr>
        <sz val="11"/>
        <color rgb="FF006096"/>
        <rFont val="Roboto Condensed"/>
      </rPr>
      <t>man asl.conf</t>
    </r>
    <r>
      <rPr>
        <sz val="11"/>
        <color rgb="FF006096"/>
        <rFont val="Roboto Condensed"/>
      </rPr>
      <t xml:space="preserve">
</t>
    </r>
    <r>
      <rPr>
        <sz val="11"/>
        <color rgb="FF000000"/>
        <rFont val="Calibri"/>
      </rPr>
      <t xml:space="preserve">
</t>
    </r>
    <r>
      <rPr>
        <sz val="11"/>
        <color rgb="FF000000"/>
        <rFont val="Calibri"/>
      </rPr>
      <t>- The maximum file size limitation string should be removed "all_max="</t>
    </r>
    <r>
      <rPr>
        <sz val="11"/>
        <color rgb="FF000000"/>
        <rFont val="Calibri"/>
      </rPr>
      <t xml:space="preserve">
</t>
    </r>
    <r>
      <rPr>
        <sz val="11"/>
        <color rgb="FF000000"/>
        <rFont val="Calibri"/>
      </rPr>
      <t>- An organization appropriate retention should be added "ttl="</t>
    </r>
    <r>
      <rPr>
        <sz val="11"/>
        <color rgb="FF000000"/>
        <rFont val="Calibri"/>
      </rPr>
      <t xml:space="preserve">
</t>
    </r>
    <r>
      <rPr>
        <sz val="11"/>
        <color rgb="FF000000"/>
        <rFont val="Calibri"/>
      </rPr>
      <t>- The rotation should be set with timestamps "rotate=utc" or "rotate=local"</t>
    </r>
  </si>
  <si>
    <r>
      <rPr>
        <sz val="11"/>
        <color rgb="FF000000"/>
        <rFont val="Calibri"/>
      </rPr>
      <t>Without log files system maintenance and security forensics cannot be properly performed.</t>
    </r>
  </si>
  <si>
    <r>
      <rPr>
        <sz val="11"/>
        <color rgb="FF000000"/>
        <rFont val="Calibri"/>
      </rPr>
      <t>Run the following command to verify that log files are retained for at least 365 days with no maximum size:</t>
    </r>
    <r>
      <rPr>
        <sz val="11"/>
        <color rgb="FF000000"/>
        <rFont val="Calibri"/>
      </rPr>
      <t xml:space="preserve">
</t>
    </r>
    <r>
      <rPr>
        <sz val="11"/>
        <color rgb="FF006096"/>
        <rFont val="Roboto Condensed"/>
      </rPr>
      <t xml:space="preserve">% /usr/bin/sudo /usr/bin/grep -i ttl /etc/asl/com.apple.install  </t>
    </r>
    <r>
      <rPr>
        <sz val="11"/>
        <color rgb="FF006096"/>
        <rFont val="Roboto Condensed"/>
      </rPr>
      <t xml:space="preserve">
</t>
    </r>
    <r>
      <rPr>
        <sz val="11"/>
        <color rgb="FF000000"/>
        <rFont val="Calibri"/>
      </rPr>
      <t xml:space="preserve">
</t>
    </r>
    <r>
      <rPr>
        <sz val="11"/>
        <color rgb="FF000000"/>
        <rFont val="Calibri"/>
      </rPr>
      <t xml:space="preserve">The output must include </t>
    </r>
    <r>
      <rPr>
        <b/>
        <sz val="11"/>
        <color rgb="FF000000"/>
        <rFont val="Calibri"/>
      </rPr>
      <t>ttl≥365</t>
    </r>
    <r>
      <rPr>
        <sz val="11"/>
        <color rgb="FF000000"/>
        <rFont val="Calibri"/>
      </rPr>
      <t xml:space="preserve">
</t>
    </r>
    <r>
      <rPr>
        <sz val="11"/>
        <color rgb="FF006096"/>
        <rFont val="Roboto Condensed"/>
      </rPr>
      <t>% /usr/bin/sudo /usr/bin/grep -i all_max= /etc/asl/com.apple.install</t>
    </r>
    <r>
      <rPr>
        <sz val="11"/>
        <color rgb="FF006096"/>
        <rFont val="Roboto Condensed"/>
      </rPr>
      <t xml:space="preserve">
</t>
    </r>
    <r>
      <rPr>
        <sz val="11"/>
        <color rgb="FF000000"/>
        <rFont val="Calibri"/>
      </rPr>
      <t xml:space="preserve">
</t>
    </r>
    <r>
      <rPr>
        <sz val="11"/>
        <color rgb="FF000000"/>
        <rFont val="Calibri"/>
      </rPr>
      <t>No results should be returned.</t>
    </r>
  </si>
  <si>
    <t>3.4</t>
  </si>
  <si>
    <r>
      <rPr>
        <sz val="11"/>
        <rFont val="Calibri"/>
      </rPr>
      <t>Ensure Security Auditing Retention Is Enabled</t>
    </r>
  </si>
  <si>
    <r>
      <rPr>
        <sz val="11"/>
        <color rgb="FF000000"/>
        <rFont val="Calibri"/>
      </rPr>
      <t>Perform the following to set the audit retention length:</t>
    </r>
    <r>
      <rPr>
        <sz val="11"/>
        <color rgb="FF000000"/>
        <rFont val="Calibri"/>
      </rPr>
      <t xml:space="preserve">
</t>
    </r>
    <r>
      <rPr>
        <sz val="11"/>
        <color rgb="FF000000"/>
        <rFont val="Calibri"/>
      </rPr>
      <t xml:space="preserve">Edit the </t>
    </r>
    <r>
      <rPr>
        <b/>
        <sz val="11"/>
        <color rgb="FF000000"/>
        <rFont val="Calibri"/>
      </rPr>
      <t>/etc/security/audit_control</t>
    </r>
    <r>
      <rPr>
        <sz val="11"/>
        <color rgb="FF000000"/>
        <rFont val="Calibri"/>
      </rPr>
      <t xml:space="preserve"> file so that </t>
    </r>
    <r>
      <rPr>
        <b/>
        <sz val="11"/>
        <color rgb="FF000000"/>
        <rFont val="Calibri"/>
      </rPr>
      <t>expire-after:</t>
    </r>
    <r>
      <rPr>
        <sz val="11"/>
        <color rgb="FF000000"/>
        <rFont val="Calibri"/>
      </rPr>
      <t xml:space="preserve"> is at least </t>
    </r>
    <r>
      <rPr>
        <b/>
        <sz val="11"/>
        <color rgb="FF000000"/>
        <rFont val="Calibri"/>
      </rPr>
      <t>60d OR 5G</t>
    </r>
  </si>
  <si>
    <r>
      <rPr>
        <sz val="11"/>
        <color rgb="FF000000"/>
        <rFont val="Calibri"/>
      </rPr>
      <t>The macOS audit capability contains important information to investigate security or operational issues. This resource is only completely useful if it is retained long enough to allow technical staff to find the root cause of anomalies in the records.</t>
    </r>
    <r>
      <rPr>
        <sz val="11"/>
        <color rgb="FF000000"/>
        <rFont val="Calibri"/>
      </rPr>
      <t xml:space="preserve">
</t>
    </r>
    <r>
      <rPr>
        <sz val="11"/>
        <color rgb="FF000000"/>
        <rFont val="Calibri"/>
      </rPr>
      <t>Retention can be set to respect both size and longevity. To retain as much as possible under a certain size, the recommendation is to use the following:</t>
    </r>
    <r>
      <rPr>
        <sz val="11"/>
        <color rgb="FF000000"/>
        <rFont val="Calibri"/>
      </rPr>
      <t xml:space="preserve">
</t>
    </r>
    <r>
      <rPr>
        <b/>
        <sz val="11"/>
        <color rgb="FF000000"/>
        <rFont val="Calibri"/>
      </rPr>
      <t>expire-after:60d OR 5G</t>
    </r>
    <r>
      <rPr>
        <sz val="11"/>
        <color rgb="FF000000"/>
        <rFont val="Calibri"/>
      </rPr>
      <t xml:space="preserve">
</t>
    </r>
    <r>
      <rPr>
        <sz val="11"/>
        <color rgb="FF000000"/>
        <rFont val="Calibri"/>
      </rPr>
      <t>This recomendation is based on minimum storage for review and investigation. When a third party tool is in use to allow remote logging or the store and forwarding of logs, this local storage requirement is not required.</t>
    </r>
  </si>
  <si>
    <r>
      <rPr>
        <sz val="11"/>
        <color rgb="FF000000"/>
        <rFont val="Calibri"/>
      </rPr>
      <t>The recommendation is that at least 60 days or 5 gigabytes of audit records are retained. Systems that have very little remaining disk space may have issues retaining sufficient data.</t>
    </r>
  </si>
  <si>
    <r>
      <rPr>
        <sz val="11"/>
        <color rgb="FF000000"/>
        <rFont val="Calibri"/>
      </rPr>
      <t>Run the following command to verify audit retention:</t>
    </r>
    <r>
      <rPr>
        <sz val="11"/>
        <color rgb="FF000000"/>
        <rFont val="Calibri"/>
      </rPr>
      <t xml:space="preserve">
</t>
    </r>
    <r>
      <rPr>
        <sz val="11"/>
        <color rgb="FF006096"/>
        <rFont val="Roboto Condensed"/>
      </rPr>
      <t>% /usr/bin/sudo /usr/bin/grep -e "^expire-after" /etc/security/audit_control</t>
    </r>
    <r>
      <rPr>
        <sz val="11"/>
        <color rgb="FF006096"/>
        <rFont val="Roboto Condensed"/>
      </rPr>
      <t xml:space="preserve">
</t>
    </r>
    <r>
      <rPr>
        <sz val="11"/>
        <color rgb="FF000000"/>
        <rFont val="Calibri"/>
      </rPr>
      <t xml:space="preserve">
</t>
    </r>
    <r>
      <rPr>
        <sz val="11"/>
        <color rgb="FF000000"/>
        <rFont val="Calibri"/>
      </rPr>
      <t xml:space="preserve">The output value for </t>
    </r>
    <r>
      <rPr>
        <b/>
        <sz val="11"/>
        <color rgb="FF000000"/>
        <rFont val="Calibri"/>
      </rPr>
      <t>expire-after:</t>
    </r>
    <r>
      <rPr>
        <sz val="11"/>
        <color rgb="FF000000"/>
        <rFont val="Calibri"/>
      </rPr>
      <t xml:space="preserve"> should be ≥ </t>
    </r>
    <r>
      <rPr>
        <b/>
        <sz val="11"/>
        <color rgb="FF000000"/>
        <rFont val="Calibri"/>
      </rPr>
      <t>60d OR 5G</t>
    </r>
    <r>
      <rPr>
        <sz val="11"/>
        <color rgb="FF000000"/>
        <rFont val="Calibri"/>
      </rPr>
      <t xml:space="preserve">
</t>
    </r>
    <r>
      <rPr>
        <b/>
        <sz val="11"/>
        <color rgb="FF000000"/>
        <rFont val="Calibri"/>
      </rPr>
      <t>Note:</t>
    </r>
    <r>
      <rPr>
        <sz val="11"/>
        <color rgb="FF000000"/>
        <rFont val="Calibri"/>
      </rPr>
      <t xml:space="preserve"> If your organization is offloading your security logs, we recommend following the same guidance (at minimum) for your off-site log storage. Your local storage limit (or time frame) may fail if they are set to lower in this case, but are following the guidance.</t>
    </r>
  </si>
  <si>
    <r>
      <rPr>
        <sz val="11"/>
        <color rgb="FF000000"/>
        <rFont val="Calibri"/>
      </rPr>
      <t xml:space="preserve">More info in the man page. To reference the man page use the command </t>
    </r>
    <r>
      <rPr>
        <b/>
        <sz val="11"/>
        <color rgb="FF000000"/>
        <rFont val="Calibri"/>
      </rPr>
      <t>$ man audit_control</t>
    </r>
  </si>
  <si>
    <t>3.5</t>
  </si>
  <si>
    <r>
      <rPr>
        <sz val="11"/>
        <rFont val="Calibri"/>
      </rPr>
      <t>Ensure Access to Audit Records Is Controlled</t>
    </r>
  </si>
  <si>
    <r>
      <rPr>
        <b/>
        <sz val="11"/>
        <color rgb="FF000000"/>
        <rFont val="Calibri"/>
      </rPr>
      <t>Terminal Method:</t>
    </r>
    <r>
      <rPr>
        <sz val="11"/>
        <color rgb="FF000000"/>
        <rFont val="Calibri"/>
      </rPr>
      <t xml:space="preserve">
</t>
    </r>
    <r>
      <rPr>
        <sz val="11"/>
        <color rgb="FF000000"/>
        <rFont val="Calibri"/>
      </rPr>
      <t>Run the following to commands to set the audit records to the root user and wheel group:</t>
    </r>
    <r>
      <rPr>
        <sz val="11"/>
        <color rgb="FF000000"/>
        <rFont val="Calibri"/>
      </rPr>
      <t xml:space="preserve">
</t>
    </r>
    <r>
      <rPr>
        <sz val="11"/>
        <color rgb="FF006096"/>
        <rFont val="Roboto Condensed"/>
      </rPr>
      <t>% /usr/bin/sudo /usr/sbin/chown -R root:wheel /etc/security/audit_control</t>
    </r>
    <r>
      <rPr>
        <sz val="11"/>
        <color rgb="FF006096"/>
        <rFont val="Roboto Condensed"/>
      </rPr>
      <t xml:space="preserve">
</t>
    </r>
    <r>
      <rPr>
        <sz val="11"/>
        <color rgb="FF006096"/>
        <rFont val="Roboto Condensed"/>
      </rPr>
      <t>% /usr/bin/sudo /bin/chmod -R og-rw /etc/security/audit_control</t>
    </r>
    <r>
      <rPr>
        <sz val="11"/>
        <color rgb="FF006096"/>
        <rFont val="Roboto Condensed"/>
      </rPr>
      <t xml:space="preserve">
</t>
    </r>
    <r>
      <rPr>
        <sz val="11"/>
        <color rgb="FF006096"/>
        <rFont val="Roboto Condensed"/>
      </rPr>
      <t>% /usr/bin/sudo /usr/sbin/chown -R root:wheel $(/usr/bin/sudo /usr/bin/grep '^dir' /etc/security/audit_control | /usr/bin/awk -F: '{print $2}')</t>
    </r>
    <r>
      <rPr>
        <sz val="11"/>
        <color rgb="FF006096"/>
        <rFont val="Roboto Condensed"/>
      </rPr>
      <t xml:space="preserve">
</t>
    </r>
    <r>
      <rPr>
        <sz val="11"/>
        <color rgb="FF006096"/>
        <rFont val="Roboto Condensed"/>
      </rPr>
      <t>% /usr/bin/sudo /bin/chmod -R og-rw $(/usr/bin/sudo /usr/bin/grep '^dir' /etc/security/audit_control | /usr/bin/awk -F: '{print $2}')</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It is recommended to do a thorough verification process on why the audit logs have been changed before following the remediation steps. If the system has different access controls on the audit logs, and the changes cannot be traced, a new install may be prudent. Check for signs of file tampering as well as unapproved OS changes.</t>
    </r>
    <r>
      <rPr>
        <sz val="11"/>
        <color rgb="FF000000"/>
        <rFont val="Calibri"/>
      </rPr>
      <t xml:space="preserve">
</t>
    </r>
    <r>
      <rPr>
        <b/>
        <sz val="11"/>
        <color rgb="FF000000"/>
        <rFont val="Calibri"/>
      </rPr>
      <t>Note:</t>
    </r>
    <r>
      <rPr>
        <sz val="11"/>
        <color rgb="FF000000"/>
        <rFont val="Calibri"/>
      </rPr>
      <t xml:space="preserve"> In macOS 14, and versions going forward, Apple disabled </t>
    </r>
    <r>
      <rPr>
        <b/>
        <sz val="11"/>
        <color rgb="FF000000"/>
        <rFont val="Calibri"/>
      </rPr>
      <t>auditd</t>
    </r>
    <r>
      <rPr>
        <sz val="11"/>
        <color rgb="FF000000"/>
        <rFont val="Calibri"/>
      </rPr>
      <t xml:space="preserve"> by default. Since that is the default, the </t>
    </r>
    <r>
      <rPr>
        <b/>
        <sz val="11"/>
        <color rgb="FF000000"/>
        <rFont val="Calibri"/>
      </rPr>
      <t>/etc/security/audit_control</t>
    </r>
    <r>
      <rPr>
        <sz val="11"/>
        <color rgb="FF000000"/>
        <rFont val="Calibri"/>
      </rPr>
      <t xml:space="preserve"> does not exist. If this remediation is ran without copying the </t>
    </r>
    <r>
      <rPr>
        <b/>
        <sz val="11"/>
        <color rgb="FF000000"/>
        <rFont val="Calibri"/>
      </rPr>
      <t>/etc/security/audit_control.example</t>
    </r>
    <r>
      <rPr>
        <sz val="11"/>
        <color rgb="FF000000"/>
        <rFont val="Calibri"/>
      </rPr>
      <t xml:space="preserve"> to </t>
    </r>
    <r>
      <rPr>
        <b/>
        <sz val="11"/>
        <color rgb="FF000000"/>
        <rFont val="Calibri"/>
      </rPr>
      <t>/etc/security/audit_control</t>
    </r>
    <r>
      <rPr>
        <sz val="11"/>
        <color rgb="FF000000"/>
        <rFont val="Calibri"/>
      </rPr>
      <t xml:space="preserve"> then it can cause a recursive permissions issue and can cause an unsupported state (undesired results) and booting anomalies.</t>
    </r>
  </si>
  <si>
    <r>
      <rPr>
        <sz val="11"/>
        <color rgb="FF000000"/>
        <rFont val="Calibri"/>
      </rPr>
      <t>The audit system on macOS writes important operational and security information that can be both useful for an attacker and a place for an attacker to attempt to obfuscate unwanted changes that were recorded. As part of defense-in-depth, the /etc/security/audit_control configuration and the files in /var/audit should be owned only by root with group wheel with read-only rights and no other access allowed. macOS ACLs should not be used for these files.</t>
    </r>
    <r>
      <rPr>
        <sz val="11"/>
        <color rgb="FF000000"/>
        <rFont val="Calibri"/>
      </rPr>
      <t xml:space="preserve">
</t>
    </r>
    <r>
      <rPr>
        <sz val="11"/>
        <color rgb="FF000000"/>
        <rFont val="Calibri"/>
      </rPr>
      <t xml:space="preserve">The default folder for storing logs is </t>
    </r>
    <r>
      <rPr>
        <b/>
        <sz val="11"/>
        <color rgb="FF000000"/>
        <rFont val="Calibri"/>
      </rPr>
      <t>/var/audit</t>
    </r>
    <r>
      <rPr>
        <sz val="11"/>
        <color rgb="FF000000"/>
        <rFont val="Calibri"/>
      </rPr>
      <t xml:space="preserve">, but it can be changed. This recommendation will ensure that any target directory has appropriate access control in place even if the target directory is not the default of </t>
    </r>
    <r>
      <rPr>
        <b/>
        <sz val="11"/>
        <color rgb="FF000000"/>
        <rFont val="Calibri"/>
      </rPr>
      <t>/var/audit</t>
    </r>
    <r>
      <rPr>
        <sz val="11"/>
        <color rgb="FF000000"/>
        <rFont val="Calibri"/>
      </rPr>
      <t>.</t>
    </r>
  </si>
  <si>
    <r>
      <rPr>
        <sz val="11"/>
        <color rgb="FF000000"/>
        <rFont val="Calibri"/>
      </rPr>
      <t>This control is only checking the default configuration to ensure that unwanted access to audit records is not available.</t>
    </r>
  </si>
  <si>
    <r>
      <rPr>
        <sz val="11"/>
        <color rgb="FF000000"/>
        <rFont val="Calibri"/>
      </rPr>
      <t>Run the following commands to check file access rights:</t>
    </r>
    <r>
      <rPr>
        <sz val="11"/>
        <color rgb="FF000000"/>
        <rFont val="Calibri"/>
      </rPr>
      <t xml:space="preserve">
</t>
    </r>
    <r>
      <rPr>
        <sz val="11"/>
        <color rgb="FF006096"/>
        <rFont val="Roboto Condensed"/>
      </rPr>
      <t>% /usr/bin/sudo /bin/ls -n $(/usr/bin/sudo /usr/bin/grep '^dir' /etc/security/audit_control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/etc/security/audit_control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/etc/security/audit_control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'{s+=$3}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-n $(/usr/bin/sudo /usr/bin/grep '^dir' /var/audit/ | /usr/bin/awk -F: '{print $2}') | /usr/bin/awk '{s+=$4} END {print s}'</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/usr/bin/sudo /bin/ls -l $(/usr/bin/sudo /usr/bin/grep '^dir' /var/audit/ | /usr/bin/awk -F: '{print $2}') | /usr/bin/awk '!/-r--r-----|current|total/{print $1}' | /usr/bin/wc -l | /usr/bin/tr -d ' '</t>
    </r>
    <r>
      <rPr>
        <sz val="11"/>
        <color rgb="FF006096"/>
        <rFont val="Roboto Condensed"/>
      </rPr>
      <t xml:space="preserve">
</t>
    </r>
    <r>
      <rPr>
        <sz val="11"/>
        <color rgb="FF006096"/>
        <rFont val="Roboto Condensed"/>
      </rPr>
      <t>0</t>
    </r>
    <r>
      <rPr>
        <sz val="11"/>
        <color rgb="FF006096"/>
        <rFont val="Roboto Condensed"/>
      </rPr>
      <t xml:space="preserve">
</t>
    </r>
  </si>
  <si>
    <t>3.6</t>
  </si>
  <si>
    <r>
      <rPr>
        <sz val="11"/>
        <rFont val="Calibri"/>
      </rPr>
      <t>Ensure Firewall Logging Is Enabled and Configured</t>
    </r>
  </si>
  <si>
    <r>
      <rPr>
        <sz val="11"/>
        <color rgb="FF000000"/>
        <rFont val="Calibri"/>
      </rPr>
      <t>Run the following command to enable logging of the firewall:</t>
    </r>
    <r>
      <rPr>
        <sz val="11"/>
        <color rgb="FF000000"/>
        <rFont val="Calibri"/>
      </rPr>
      <t xml:space="preserve">
</t>
    </r>
    <r>
      <rPr>
        <sz val="11"/>
        <color rgb="FF006096"/>
        <rFont val="Roboto Condensed"/>
      </rPr>
      <t>% /usr/bin/sudo /usr/libexec/ApplicationFirewall/socketfilterfw --setloggingmode on</t>
    </r>
    <r>
      <rPr>
        <sz val="11"/>
        <color rgb="FF006096"/>
        <rFont val="Roboto Condensed"/>
      </rPr>
      <t xml:space="preserve">
</t>
    </r>
    <r>
      <rPr>
        <sz val="11"/>
        <color rgb="FF006096"/>
        <rFont val="Roboto Condensed"/>
      </rPr>
      <t>Turning on log mode</t>
    </r>
    <r>
      <rPr>
        <sz val="11"/>
        <color rgb="FF006096"/>
        <rFont val="Roboto Condensed"/>
      </rPr>
      <t xml:space="preserve">
</t>
    </r>
    <r>
      <rPr>
        <sz val="11"/>
        <color rgb="FF006096"/>
        <rFont val="Roboto Condensed"/>
      </rPr>
      <t>% /usr/bin/sudo /usr/libexec/ApplicationFirewall/socketfilterfw --setloggingopt detail</t>
    </r>
    <r>
      <rPr>
        <sz val="11"/>
        <color rgb="FF006096"/>
        <rFont val="Roboto Condensed"/>
      </rPr>
      <t xml:space="preserve">
</t>
    </r>
    <r>
      <rPr>
        <sz val="11"/>
        <color rgb="FF006096"/>
        <rFont val="Roboto Condensed"/>
      </rPr>
      <t xml:space="preserve">Setting detail log option </t>
    </r>
    <r>
      <rPr>
        <sz val="11"/>
        <color rgb="FF006096"/>
        <rFont val="Roboto Condensed"/>
      </rPr>
      <t xml:space="preserve">
</t>
    </r>
  </si>
  <si>
    <r>
      <rPr>
        <sz val="11"/>
        <color rgb="FF000000"/>
        <rFont val="Calibri"/>
      </rPr>
      <t>The socketfilter Firewall is what is used when the Firewall is turned on in the Security &amp; Privacy Preference Pane. In order to appropriately monitor what access is allowed and denied, logging must be enabled.The logging level must be set to "detailed" to be useful in monitoring connection attempts that the firewall detects. Throttled login is not sufficient for examining Firewall connection attempts.</t>
    </r>
    <r>
      <rPr>
        <sz val="11"/>
        <color rgb="FF000000"/>
        <rFont val="Calibri"/>
      </rPr>
      <t xml:space="preserve">
</t>
    </r>
    <r>
      <rPr>
        <sz val="11"/>
        <color rgb="FF000000"/>
        <rFont val="Calibri"/>
      </rPr>
      <t>In-depth log monitoring on macOS may require changes to the "Enable-Private-Data" key in SystemLogging.System to ensure more complete logging.</t>
    </r>
    <r>
      <rPr>
        <sz val="11"/>
        <color rgb="FF000000"/>
        <rFont val="Calibri"/>
      </rPr>
      <t xml:space="preserve">
</t>
    </r>
    <r>
      <rPr>
        <sz val="11"/>
        <color rgb="FF000000"/>
        <rFont val="Calibri"/>
      </rPr>
      <t xml:space="preserve">Reviewing macOS Unified Logs </t>
    </r>
    <r>
      <rPr>
        <sz val="11"/>
        <color rgb="FF0000FF"/>
        <rFont val="Calibri"/>
      </rPr>
      <t>(https://www.mandiant.com/resources/blog/reviewing-macos-unified-logs)</t>
    </r>
  </si>
  <si>
    <r>
      <rPr>
        <sz val="11"/>
        <color rgb="FF000000"/>
        <rFont val="Calibri"/>
      </rPr>
      <t>Detailed logging may result in excessive storage.</t>
    </r>
  </si>
  <si>
    <r>
      <rPr>
        <sz val="11"/>
        <color rgb="FF000000"/>
        <rFont val="Calibri"/>
      </rPr>
      <t>Run the following command to verify that the Firewall log is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function run() {</t>
    </r>
    <r>
      <rPr>
        <sz val="11"/>
        <color rgb="FF006096"/>
        <rFont val="Roboto Condensed"/>
      </rPr>
      <t xml:space="preserve">
</t>
    </r>
    <r>
      <rPr>
        <sz val="11"/>
        <color rgb="FF006096"/>
        <rFont val="Roboto Condensed"/>
      </rPr>
      <t xml:space="preserve">  let pref1 = $.NSUserDefaults.alloc.initWithSuiteName('com.apple.alf')\</t>
    </r>
    <r>
      <rPr>
        <sz val="11"/>
        <color rgb="FF006096"/>
        <rFont val="Roboto Condensed"/>
      </rPr>
      <t xml:space="preserve">
</t>
    </r>
    <r>
      <rPr>
        <sz val="11"/>
        <color rgb="FF006096"/>
        <rFont val="Roboto Condensed"/>
      </rPr>
      <t xml:space="preserve">  .objectForKey('loggingenabled').js</t>
    </r>
    <r>
      <rPr>
        <sz val="11"/>
        <color rgb="FF006096"/>
        <rFont val="Roboto Condensed"/>
      </rPr>
      <t xml:space="preserve">
</t>
    </r>
    <r>
      <rPr>
        <sz val="11"/>
        <color rgb="FF006096"/>
        <rFont val="Roboto Condensed"/>
      </rPr>
      <t xml:space="preserve">  let pref2 = $.NSUserDefaults.alloc.initWithSuiteName('com.apple.alf')\</t>
    </r>
    <r>
      <rPr>
        <sz val="11"/>
        <color rgb="FF006096"/>
        <rFont val="Roboto Condensed"/>
      </rPr>
      <t xml:space="preserve">
</t>
    </r>
    <r>
      <rPr>
        <sz val="11"/>
        <color rgb="FF006096"/>
        <rFont val="Roboto Condensed"/>
      </rPr>
      <t xml:space="preserve">  .objectForKey('loggingoption').js</t>
    </r>
    <r>
      <rPr>
        <sz val="11"/>
        <color rgb="FF006096"/>
        <rFont val="Roboto Condensed"/>
      </rPr>
      <t xml:space="preserve">
</t>
    </r>
    <r>
      <rPr>
        <sz val="11"/>
        <color rgb="FF006096"/>
        <rFont val="Roboto Condensed"/>
      </rPr>
      <t xml:space="preserve">  if ( pref1 == 1 &amp;&amp; pref2 == 2 ) {</t>
    </r>
    <r>
      <rPr>
        <sz val="11"/>
        <color rgb="FF006096"/>
        <rFont val="Roboto Condensed"/>
      </rPr>
      <t xml:space="preserve">
</t>
    </r>
    <r>
      <rPr>
        <sz val="11"/>
        <color rgb="FF006096"/>
        <rFont val="Roboto Condensed"/>
      </rPr>
      <t xml:space="preserve">    return("true")</t>
    </r>
    <r>
      <rPr>
        <sz val="11"/>
        <color rgb="FF006096"/>
        <rFont val="Roboto Condensed"/>
      </rPr>
      <t xml:space="preserve">
</t>
    </r>
    <r>
      <rPr>
        <sz val="11"/>
        <color rgb="FF006096"/>
        <rFont val="Roboto Condensed"/>
      </rPr>
      <t xml:space="preserve">  } else {</t>
    </r>
    <r>
      <rPr>
        <sz val="11"/>
        <color rgb="FF006096"/>
        <rFont val="Roboto Condensed"/>
      </rPr>
      <t xml:space="preserve">
</t>
    </r>
    <r>
      <rPr>
        <sz val="11"/>
        <color rgb="FF006096"/>
        <rFont val="Roboto Condensed"/>
      </rPr>
      <t xml:space="preserve">    return("false")</t>
    </r>
    <r>
      <rPr>
        <sz val="11"/>
        <color rgb="FF006096"/>
        <rFont val="Roboto Condensed"/>
      </rPr>
      <t xml:space="preserve">
</t>
    </r>
    <r>
      <rPr>
        <sz val="11"/>
        <color rgb="FF006096"/>
        <rFont val="Roboto Condensed"/>
      </rPr>
      <t xml:space="preserve">  }</t>
    </r>
    <r>
      <rPr>
        <sz val="11"/>
        <color rgb="FF006096"/>
        <rFont val="Roboto Condensed"/>
      </rPr>
      <t xml:space="preserve">
</t>
    </r>
    <r>
      <rPr>
        <sz val="11"/>
        <color rgb="FF006096"/>
        <rFont val="Roboto Condensed"/>
      </rPr>
      <t>}</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</si>
  <si>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Network Configurations</t>
  </si>
  <si>
    <t>4.1</t>
  </si>
  <si>
    <r>
      <rPr>
        <sz val="11"/>
        <rFont val="Calibri"/>
      </rPr>
      <t>Ensure Bonjour Advertising Services Is Disabled</t>
    </r>
  </si>
  <si>
    <r>
      <rPr>
        <sz val="11"/>
        <color rgb="FF000000"/>
        <rFont val="Calibri"/>
      </rPr>
      <t>Run the following command to disable Bonjour Advertising services:</t>
    </r>
    <r>
      <rPr>
        <sz val="11"/>
        <color rgb="FF000000"/>
        <rFont val="Calibri"/>
      </rPr>
      <t xml:space="preserve">
</t>
    </r>
    <r>
      <rPr>
        <sz val="11"/>
        <color rgb="FF006096"/>
        <rFont val="Roboto Condensed"/>
      </rPr>
      <t>% /usr/bin/sudo /usr/bin/defaults write /Library/Preferences/com.apple.mDNSResponder.plist NoMulticastAdvertisements -bool true</t>
    </r>
    <r>
      <rPr>
        <sz val="11"/>
        <color rgb="FF006096"/>
        <rFont val="Roboto Condensed"/>
      </rPr>
      <t xml:space="preserve">
</t>
    </r>
  </si>
  <si>
    <r>
      <rPr>
        <sz val="11"/>
        <color rgb="FF000000"/>
        <rFont val="Calibri"/>
      </rPr>
      <t>Bonjour is an auto-discovery mechanism for TCP/IP devices which enumerates devices and services within a local subnet. DNS on macOS is integrated with Bonjour and should not be turned off, but the Bonjour advertising service can be disabled.</t>
    </r>
  </si>
  <si>
    <r>
      <rPr>
        <sz val="11"/>
        <color rgb="FF000000"/>
        <rFont val="Calibri"/>
      </rPr>
      <t xml:space="preserve">Some applications may not operate properly if the </t>
    </r>
    <r>
      <rPr>
        <b/>
        <sz val="11"/>
        <color rgb="FF000000"/>
        <rFont val="Calibri"/>
      </rPr>
      <t>mDNSResponder</t>
    </r>
    <r>
      <rPr>
        <sz val="11"/>
        <color rgb="FF000000"/>
        <rFont val="Calibri"/>
      </rPr>
      <t xml:space="preserve"> is turned off. This will also affect AirDrop functionality.</t>
    </r>
  </si>
  <si>
    <r>
      <rPr>
        <sz val="11"/>
        <color rgb="FF000000"/>
        <rFont val="Calibri"/>
      </rPr>
      <t>Run the following command to verify that Bonjour Advertising is not enabled:</t>
    </r>
    <r>
      <rPr>
        <sz val="11"/>
        <color rgb="FF000000"/>
        <rFont val="Calibri"/>
      </rPr>
      <t xml:space="preserve">
</t>
    </r>
    <r>
      <rPr>
        <sz val="11"/>
        <color rgb="FF006096"/>
        <rFont val="Roboto Condensed"/>
      </rPr>
      <t>% /usr/bin/sudo /usr/bin/osascript -l JavaScript &lt;&lt; EOS</t>
    </r>
    <r>
      <rPr>
        <sz val="11"/>
        <color rgb="FF006096"/>
        <rFont val="Roboto Condensed"/>
      </rPr>
      <t xml:space="preserve">
</t>
    </r>
    <r>
      <rPr>
        <sz val="11"/>
        <color rgb="FF006096"/>
        <rFont val="Roboto Condensed"/>
      </rPr>
      <t>$.NSUserDefaults.alloc.initWithSuiteName('com.apple.mDNSResponder')\</t>
    </r>
    <r>
      <rPr>
        <sz val="11"/>
        <color rgb="FF006096"/>
        <rFont val="Roboto Condensed"/>
      </rPr>
      <t xml:space="preserve">
</t>
    </r>
    <r>
      <rPr>
        <sz val="11"/>
        <color rgb="FF006096"/>
        <rFont val="Roboto Condensed"/>
      </rPr>
      <t>.objectForKey('NoMulticastAdvertisements').js</t>
    </r>
    <r>
      <rPr>
        <sz val="11"/>
        <color rgb="FF006096"/>
        <rFont val="Roboto Condensed"/>
      </rPr>
      <t xml:space="preserve">
</t>
    </r>
    <r>
      <rPr>
        <sz val="11"/>
        <color rgb="FF006096"/>
        <rFont val="Roboto Condensed"/>
      </rPr>
      <t>EOS</t>
    </r>
    <r>
      <rPr>
        <sz val="11"/>
        <color rgb="FF006096"/>
        <rFont val="Roboto Condensed"/>
      </rPr>
      <t xml:space="preserve">
</t>
    </r>
    <r>
      <rPr>
        <sz val="11"/>
        <color rgb="FF006096"/>
        <rFont val="Roboto Condensed"/>
      </rPr>
      <t>true</t>
    </r>
    <r>
      <rPr>
        <sz val="11"/>
        <color rgb="FF006096"/>
        <rFont val="Roboto Condensed"/>
      </rPr>
      <t xml:space="preserve">
</t>
    </r>
  </si>
  <si>
    <t>4.2</t>
  </si>
  <si>
    <r>
      <rPr>
        <sz val="11"/>
        <rFont val="Calibri"/>
      </rPr>
      <t>Ensure HTTP Server Is Disabled</t>
    </r>
  </si>
  <si>
    <r>
      <rPr>
        <sz val="11"/>
        <color rgb="FF000000"/>
        <rFont val="Calibri"/>
      </rPr>
      <t>Run the following command to disable the HTTP server services:</t>
    </r>
    <r>
      <rPr>
        <sz val="11"/>
        <color rgb="FF000000"/>
        <rFont val="Calibri"/>
      </rPr>
      <t xml:space="preserve">
</t>
    </r>
    <r>
      <rPr>
        <sz val="11"/>
        <color rgb="FF006096"/>
        <rFont val="Roboto Condensed"/>
      </rPr>
      <t>% /usr/bin/sudo /usr/sbin/apachectl stop</t>
    </r>
    <r>
      <rPr>
        <sz val="11"/>
        <color rgb="FF006096"/>
        <rFont val="Roboto Condensed"/>
      </rPr>
      <t xml:space="preserve">
</t>
    </r>
    <r>
      <rPr>
        <sz val="11"/>
        <color rgb="FF006096"/>
        <rFont val="Roboto Condensed"/>
      </rPr>
      <t>% /usr/bin/sudo /bin/launchctl unload -w /System/Library/LaunchDaemons/org.apache.httpd.plist</t>
    </r>
    <r>
      <rPr>
        <sz val="11"/>
        <color rgb="FF006096"/>
        <rFont val="Roboto Condensed"/>
      </rPr>
      <t xml:space="preserve">
</t>
    </r>
  </si>
  <si>
    <r>
      <rPr>
        <sz val="11"/>
        <color rgb="FF000000"/>
        <rFont val="Calibri"/>
      </rPr>
      <t>macOS used to have a graphical front-end to the embedded Apache web server in the Operating System. Personal web sharing could be enabled to allow someone on another computer to download files or information from the user's computer. Personal web sharing from a user endpoint has long been considered questionable, and Apple has removed that capability from the GUI. Apache, however, is still part of the Operating System and can be easily turned on to share files and provide remote connectivity to an end-user computer. Web sharing should only be done through hardened web servers and appropriate cloud services.</t>
    </r>
  </si>
  <si>
    <r>
      <rPr>
        <sz val="11"/>
        <color rgb="FF000000"/>
        <rFont val="Calibri"/>
      </rPr>
      <t>The web server is both a point of attack for the system and a means for unauthorized file transfers.</t>
    </r>
  </si>
  <si>
    <r>
      <rPr>
        <sz val="11"/>
        <color rgb="FF000000"/>
        <rFont val="Calibri"/>
      </rPr>
      <t>Run the following command to verify that the HTTP server services are not currently enabled. This check does not reflect any auto-start settings, only whether the web server is currently enabled:</t>
    </r>
    <r>
      <rPr>
        <sz val="11"/>
        <color rgb="FF000000"/>
        <rFont val="Calibri"/>
      </rPr>
      <t xml:space="preserve">
</t>
    </r>
    <r>
      <rPr>
        <sz val="11"/>
        <color rgb="FF006096"/>
        <rFont val="Roboto Condensed"/>
      </rPr>
      <t>% /usr/bin/sudo /bin/launchctl list | /usr/bin/grep -c "org.apache.httpd"</t>
    </r>
    <r>
      <rPr>
        <sz val="11"/>
        <color rgb="FF006096"/>
        <rFont val="Roboto Condensed"/>
      </rPr>
      <t xml:space="preserve">
</t>
    </r>
    <r>
      <rPr>
        <sz val="11"/>
        <color rgb="FF006096"/>
        <rFont val="Roboto Condensed"/>
      </rPr>
      <t>0</t>
    </r>
    <r>
      <rPr>
        <sz val="11"/>
        <color rgb="FF006096"/>
        <rFont val="Roboto Condensed"/>
      </rPr>
      <t xml:space="preserve">
</t>
    </r>
  </si>
  <si>
    <t>4.3</t>
  </si>
  <si>
    <r>
      <rPr>
        <sz val="11"/>
        <rFont val="Calibri"/>
      </rPr>
      <t>Ensure NFS Server Is Disabled</t>
    </r>
  </si>
  <si>
    <r>
      <rPr>
        <sz val="11"/>
        <color rgb="FF000000"/>
        <rFont val="Calibri"/>
      </rPr>
      <t>Run the following command to disable the nfsd fileserver services:</t>
    </r>
    <r>
      <rPr>
        <sz val="11"/>
        <color rgb="FF000000"/>
        <rFont val="Calibri"/>
      </rPr>
      <t xml:space="preserve">
</t>
    </r>
    <r>
      <rPr>
        <sz val="11"/>
        <color rgb="FF006096"/>
        <rFont val="Roboto Condensed"/>
      </rPr>
      <t>% /usr/bin/sudo /sbin/nfsd stop</t>
    </r>
    <r>
      <rPr>
        <sz val="11"/>
        <color rgb="FF006096"/>
        <rFont val="Roboto Condensed"/>
      </rPr>
      <t xml:space="preserve">
</t>
    </r>
    <r>
      <rPr>
        <sz val="11"/>
        <color rgb="FF006096"/>
        <rFont val="Roboto Condensed"/>
      </rPr>
      <t>% /usr/bin/sudo /bin/launchctl disable system/com.apple.nfsd</t>
    </r>
    <r>
      <rPr>
        <sz val="11"/>
        <color rgb="FF006096"/>
        <rFont val="Roboto Condensed"/>
      </rPr>
      <t xml:space="preserve">
</t>
    </r>
    <r>
      <rPr>
        <sz val="11"/>
        <color rgb="FF000000"/>
        <rFont val="Calibri"/>
      </rPr>
      <t xml:space="preserve">
</t>
    </r>
    <r>
      <rPr>
        <sz val="11"/>
        <color rgb="FF000000"/>
        <rFont val="Calibri"/>
      </rPr>
      <t>Remove the exported Directory listing.</t>
    </r>
    <r>
      <rPr>
        <sz val="11"/>
        <color rgb="FF000000"/>
        <rFont val="Calibri"/>
      </rPr>
      <t xml:space="preserve">
</t>
    </r>
    <r>
      <rPr>
        <sz val="11"/>
        <color rgb="FF006096"/>
        <rFont val="Roboto Condensed"/>
      </rPr>
      <t>% /usr/bin/sudo /bin/rm /etc/exports</t>
    </r>
    <r>
      <rPr>
        <sz val="11"/>
        <color rgb="FF006096"/>
        <rFont val="Roboto Condensed"/>
      </rPr>
      <t xml:space="preserve">
</t>
    </r>
  </si>
  <si>
    <r>
      <rPr>
        <sz val="11"/>
        <color rgb="FF000000"/>
        <rFont val="Calibri"/>
      </rPr>
      <t>macOS can act as an NFS fileserver. NFS sharing could be enabled to allow someone on another computer to mount shares and gain access to information from the user's computer. File sharing from a user endpoint has long been considered questionable, and Apple has removed that capability from the GUI. NFSD is still part of the Operating System and can be easily turned on to export shares and provide remote connectivity to an end-user computer.</t>
    </r>
    <r>
      <rPr>
        <sz val="11"/>
        <color rgb="FF000000"/>
        <rFont val="Calibri"/>
      </rPr>
      <t xml:space="preserve">
</t>
    </r>
    <r>
      <rPr>
        <sz val="11"/>
        <color rgb="FF000000"/>
        <rFont val="Calibri"/>
      </rPr>
      <t>The etc/exports file contains the list of NFS shared directories. If the file exists, it is likely that NFS sharing has been enabled in the past or may be available periodically. As an additional check, the audit verifies that there is no /etc/exports file.</t>
    </r>
  </si>
  <si>
    <r>
      <rPr>
        <sz val="11"/>
        <color rgb="FF000000"/>
        <rFont val="Calibri"/>
      </rPr>
      <t>The nfs server is both a point of attack for the system and a means for unauthorized file transfers.</t>
    </r>
  </si>
  <si>
    <r>
      <rPr>
        <sz val="11"/>
        <color rgb="FF000000"/>
        <rFont val="Calibri"/>
      </rPr>
      <t>Run the following commands to verify that the NFS fileserver service is not enabled:</t>
    </r>
    <r>
      <rPr>
        <sz val="11"/>
        <color rgb="FF000000"/>
        <rFont val="Calibri"/>
      </rPr>
      <t xml:space="preserve">
</t>
    </r>
    <r>
      <rPr>
        <sz val="11"/>
        <color rgb="FF006096"/>
        <rFont val="Roboto Condensed"/>
      </rPr>
      <t>% /usr/bin/sudo /bin/launchctl list | /usr/bin/grep -c com.apple.nfsd</t>
    </r>
    <r>
      <rPr>
        <sz val="11"/>
        <color rgb="FF006096"/>
        <rFont val="Roboto Condensed"/>
      </rPr>
      <t xml:space="preserve">
</t>
    </r>
    <r>
      <rPr>
        <sz val="11"/>
        <color rgb="FF006096"/>
        <rFont val="Roboto Condensed"/>
      </rPr>
      <t>0</t>
    </r>
    <r>
      <rPr>
        <sz val="11"/>
        <color rgb="FF006096"/>
        <rFont val="Roboto Condensed"/>
      </rPr>
      <t xml:space="preserve">
</t>
    </r>
    <r>
      <rPr>
        <sz val="11"/>
        <color rgb="FF006096"/>
        <rFont val="Roboto Condensed"/>
      </rPr>
      <t xml:space="preserve">% /usr/bin/sudo /bin/cat /etc/exports </t>
    </r>
    <r>
      <rPr>
        <sz val="11"/>
        <color rgb="FF006096"/>
        <rFont val="Roboto Condensed"/>
      </rPr>
      <t xml:space="preserve">
</t>
    </r>
    <r>
      <rPr>
        <sz val="11"/>
        <color rgb="FF006096"/>
        <rFont val="Roboto Condensed"/>
      </rPr>
      <t>cat: /etc/exports: No such file or directory</t>
    </r>
    <r>
      <rPr>
        <sz val="11"/>
        <color rgb="FF006096"/>
        <rFont val="Roboto Condensed"/>
      </rPr>
      <t xml:space="preserve">
</t>
    </r>
  </si>
  <si>
    <t>File System Permissions and Access Controls</t>
  </si>
  <si>
    <t>5.1.1</t>
  </si>
  <si>
    <r>
      <rPr>
        <sz val="11"/>
        <rFont val="Calibri"/>
      </rPr>
      <t>Ensure Home Folders Are Secure</t>
    </r>
  </si>
  <si>
    <r>
      <rPr>
        <sz val="11"/>
        <color rgb="FF000000"/>
        <rFont val="Calibri"/>
      </rPr>
      <t>For each user, run the following command to secure all home folders:</t>
    </r>
    <r>
      <rPr>
        <sz val="11"/>
        <color rgb="FF000000"/>
        <rFont val="Calibri"/>
      </rPr>
      <t xml:space="preserve">
</t>
    </r>
    <r>
      <rPr>
        <sz val="11"/>
        <color rgb="FF006096"/>
        <rFont val="Roboto Condensed"/>
      </rPr>
      <t>% /usr/bin/sudo /bin/chmod -R og-rwx /Users/&lt;username&gt;</t>
    </r>
    <r>
      <rPr>
        <sz val="11"/>
        <color rgb="FF006096"/>
        <rFont val="Roboto Condensed"/>
      </rPr>
      <t xml:space="preserve">
</t>
    </r>
    <r>
      <rPr>
        <sz val="11"/>
        <color rgb="FF000000"/>
        <rFont val="Calibri"/>
      </rPr>
      <t xml:space="preserve">
</t>
    </r>
    <r>
      <rPr>
        <sz val="11"/>
        <color rgb="FF000000"/>
        <rFont val="Calibri"/>
      </rPr>
      <t>Alternately, run the following command if there needs to be executable access for a home folder:</t>
    </r>
    <r>
      <rPr>
        <sz val="11"/>
        <color rgb="FF000000"/>
        <rFont val="Calibri"/>
      </rPr>
      <t xml:space="preserve">
</t>
    </r>
    <r>
      <rPr>
        <sz val="11"/>
        <color rgb="FF006096"/>
        <rFont val="Roboto Condensed"/>
      </rPr>
      <t>% /usr/bin/sudo /bin/chmod -R og-rw /Users/&lt;username&gt;</t>
    </r>
    <r>
      <rPr>
        <sz val="11"/>
        <color rgb="FF006096"/>
        <rFont val="Roboto Condensed"/>
      </rPr>
      <t xml:space="preserve">
</t>
    </r>
  </si>
  <si>
    <r>
      <rPr>
        <sz val="11"/>
        <color rgb="FF000000"/>
        <rFont val="Calibri"/>
      </rPr>
      <t>By default, macOS allows all valid users into the top level of every other user's home folder and restricts access to the Apple default folders within. Another user on the same system can see you have a "Documents" folder but cannot see inside it. This configuration does work for personal file sharing but can expose user files to standard accounts on the system.</t>
    </r>
    <r>
      <rPr>
        <sz val="11"/>
        <color rgb="FF000000"/>
        <rFont val="Calibri"/>
      </rPr>
      <t xml:space="preserve">
</t>
    </r>
    <r>
      <rPr>
        <sz val="11"/>
        <color rgb="FF000000"/>
        <rFont val="Calibri"/>
      </rPr>
      <t>The best parallel for Enterprise environments is that everyone who has a Dropbox account can see everything that is at the top level but can't see your pictures. Similarly with macOS, users can see into every new Directory that is created because of the default permissions.</t>
    </r>
    <r>
      <rPr>
        <sz val="11"/>
        <color rgb="FF000000"/>
        <rFont val="Calibri"/>
      </rPr>
      <t xml:space="preserve">
</t>
    </r>
    <r>
      <rPr>
        <sz val="11"/>
        <color rgb="FF000000"/>
        <rFont val="Calibri"/>
      </rPr>
      <t>Home folders should be restricted to access only by the user. Sharing should be used on dedicated servers or cloud instances that are managing access controls. Some environments may encounter problems if execute rights are removed as well as read and write. Either no access or execute only for group or others is acceptable.</t>
    </r>
  </si>
  <si>
    <r>
      <rPr>
        <sz val="11"/>
        <color rgb="FF000000"/>
        <rFont val="Calibri"/>
      </rPr>
      <t>If implemented, users will not be able to use the "Public" folders in other users' home folders. "Public" folders with appropriate permissions would need to be set up in the /Shared folder.</t>
    </r>
  </si>
  <si>
    <r>
      <rPr>
        <sz val="11"/>
        <color rgb="FF000000"/>
        <rFont val="Calibri"/>
      </rPr>
      <t>Run the following command to ensure that all home folders are secure:</t>
    </r>
    <r>
      <rPr>
        <sz val="11"/>
        <color rgb="FF000000"/>
        <rFont val="Calibri"/>
      </rPr>
      <t xml:space="preserve">
</t>
    </r>
    <r>
      <rPr>
        <sz val="11"/>
        <color rgb="FF006096"/>
        <rFont val="Roboto Condensed"/>
      </rPr>
      <t>% /usr/bin/sudo /usr/bin/find /System/Volumes/Data/Users -mindepth 1 -maxdepth 1 -type d -not -perm 700 | /usr/bin/grep -v "Shared" | /usr/bin/grep -v "Guest"</t>
    </r>
    <r>
      <rPr>
        <sz val="11"/>
        <color rgb="FF006096"/>
        <rFont val="Roboto Condensed"/>
      </rPr>
      <t xml:space="preserve">
</t>
    </r>
    <r>
      <rPr>
        <sz val="11"/>
        <color rgb="FF000000"/>
        <rFont val="Calibri"/>
      </rPr>
      <t xml:space="preserve">
</t>
    </r>
    <r>
      <rPr>
        <sz val="11"/>
        <color rgb="FF000000"/>
        <rFont val="Calibri"/>
      </rPr>
      <t>The output will show what user folders are not secure.</t>
    </r>
  </si>
  <si>
    <t>5.1.2</t>
  </si>
  <si>
    <r>
      <rPr>
        <sz val="11"/>
        <rFont val="Calibri"/>
      </rPr>
      <t>Ensure Apple Mobile File Integrity (AMFI) Is Enabled</t>
    </r>
  </si>
  <si>
    <r>
      <rPr>
        <sz val="11"/>
        <color rgb="FF000000"/>
        <rFont val="Calibri"/>
      </rPr>
      <t>Run the following command to enable the Apple Mobile File Integrity service:</t>
    </r>
    <r>
      <rPr>
        <sz val="11"/>
        <color rgb="FF000000"/>
        <rFont val="Calibri"/>
      </rPr>
      <t xml:space="preserve">
</t>
    </r>
    <r>
      <rPr>
        <sz val="11"/>
        <color rgb="FF006096"/>
        <rFont val="Roboto Condensed"/>
      </rPr>
      <t xml:space="preserve">% /usr/bin/sudo /usr/sbin/nvram boot-args="" </t>
    </r>
    <r>
      <rPr>
        <sz val="11"/>
        <color rgb="FF006096"/>
        <rFont val="Roboto Condensed"/>
      </rPr>
      <t xml:space="preserve">
</t>
    </r>
  </si>
  <si>
    <r>
      <rPr>
        <sz val="11"/>
        <color rgb="FF000000"/>
        <rFont val="Calibri"/>
      </rPr>
      <t>Apple Mobile File Integrity (AMFI) was first released in macOS 10.12. The daemon and service block attempts to run unsigned code. AMFI uses launchd, code signatures, certificates, entitlements, and provisioning profiles to create a filtered entitlement dictionary for an app. AMFI is the macOS kernel module that enforces code-signing and library validation.</t>
    </r>
  </si>
  <si>
    <r>
      <rPr>
        <sz val="11"/>
        <color rgb="FF000000"/>
        <rFont val="Calibri"/>
      </rPr>
      <t>Applications could be compromised with malicious code.</t>
    </r>
  </si>
  <si>
    <r>
      <rPr>
        <sz val="11"/>
        <color rgb="FF000000"/>
        <rFont val="Calibri"/>
      </rPr>
      <t>Run the following command to verify that Apple Mobile File Integrity is enabled:</t>
    </r>
    <r>
      <rPr>
        <sz val="11"/>
        <color rgb="FF000000"/>
        <rFont val="Calibri"/>
      </rPr>
      <t xml:space="preserve">
</t>
    </r>
    <r>
      <rPr>
        <sz val="11"/>
        <color rgb="FF006096"/>
        <rFont val="Roboto Condensed"/>
      </rPr>
      <t>% /usr/bin/sudo /usr/sbin/nvram -p | /usr/bin/grep -c "amfi_get_out_of_my_way=1"</t>
    </r>
    <r>
      <rPr>
        <sz val="11"/>
        <color rgb="FF006096"/>
        <rFont val="Roboto Condensed"/>
      </rPr>
      <t xml:space="preserve">
</t>
    </r>
    <r>
      <rPr>
        <sz val="11"/>
        <color rgb="FF006096"/>
        <rFont val="Roboto Condensed"/>
      </rPr>
      <t>0</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AMFI cannot be disabled with SIP enabled, but a change attempt can be made that will appear successful, and report incorrectly as successful. If the AMFI audit fails, and the SIP audit passes, this is still an issue the admin should research.</t>
    </r>
  </si>
  <si>
    <t>5.1.3</t>
  </si>
  <si>
    <r>
      <rPr>
        <sz val="11"/>
        <rFont val="Calibri"/>
      </rPr>
      <t>Ensure Signed System Volume (SSV) Is Enabled</t>
    </r>
  </si>
  <si>
    <r>
      <rPr>
        <sz val="11"/>
        <color rgb="FF000000"/>
        <rFont val="Calibri"/>
      </rPr>
      <t>If SSV has been disabled, assume that the operating system has been compromised. Back up any files, and do a clean install to a known good Operating System.</t>
    </r>
  </si>
  <si>
    <r>
      <rPr>
        <sz val="11"/>
        <color rgb="FF000000"/>
        <rFont val="Calibri"/>
      </rPr>
      <t>Signed System Volume is a security feature introduced in macOS 11.0 Big Sur.</t>
    </r>
    <r>
      <rPr>
        <sz val="11"/>
        <color rgb="FF000000"/>
        <rFont val="Calibri"/>
      </rPr>
      <t xml:space="preserve">
</t>
    </r>
    <r>
      <rPr>
        <sz val="11"/>
        <color rgb="FF000000"/>
        <rFont val="Calibri"/>
      </rPr>
      <t>During system installation, a SHA-256 cryptographic hash is calculated for all immutable system files and stored in a Merkle tree which itself is hashed as the Seal. Both are stored in the metadata of the snapshot created of the System volume.</t>
    </r>
    <r>
      <rPr>
        <sz val="11"/>
        <color rgb="FF000000"/>
        <rFont val="Calibri"/>
      </rPr>
      <t xml:space="preserve">
</t>
    </r>
    <r>
      <rPr>
        <sz val="11"/>
        <color rgb="FF000000"/>
        <rFont val="Calibri"/>
      </rPr>
      <t>The seal is verified by the boot loader at startup. macOS will not boot if system files have been tampered with. If validation fails, the user will be instructed to reinstall the operating system.</t>
    </r>
    <r>
      <rPr>
        <sz val="11"/>
        <color rgb="FF000000"/>
        <rFont val="Calibri"/>
      </rPr>
      <t xml:space="preserve">
</t>
    </r>
    <r>
      <rPr>
        <sz val="11"/>
        <color rgb="FF000000"/>
        <rFont val="Calibri"/>
      </rPr>
      <t>During read operations for files located in the Signed System Volume, a hash is calculated and compared to the value stored in the Merkle tree.</t>
    </r>
  </si>
  <si>
    <r>
      <rPr>
        <sz val="11"/>
        <color rgb="FF000000"/>
        <rFont val="Calibri"/>
      </rPr>
      <t>Apple Software that integrates with the operating system could become compromised.</t>
    </r>
  </si>
  <si>
    <r>
      <rPr>
        <sz val="11"/>
        <color rgb="FF000000"/>
        <rFont val="Calibri"/>
      </rPr>
      <t>Run the following command to verify that Signed System Volume is enabled:</t>
    </r>
    <r>
      <rPr>
        <sz val="11"/>
        <color rgb="FF000000"/>
        <rFont val="Calibri"/>
      </rPr>
      <t xml:space="preserve">
</t>
    </r>
    <r>
      <rPr>
        <sz val="11"/>
        <color rgb="FF006096"/>
        <rFont val="Roboto Condensed"/>
      </rPr>
      <t>% /usr/bin/sudo /usr/bin/csrutil authenticated-root status</t>
    </r>
    <r>
      <rPr>
        <sz val="11"/>
        <color rgb="FF006096"/>
        <rFont val="Roboto Condensed"/>
      </rPr>
      <t xml:space="preserve">
</t>
    </r>
    <r>
      <rPr>
        <sz val="11"/>
        <color rgb="FF006096"/>
        <rFont val="Roboto Condensed"/>
      </rPr>
      <t>Authenticated Root status: enabled</t>
    </r>
    <r>
      <rPr>
        <sz val="11"/>
        <color rgb="FF006096"/>
        <rFont val="Roboto Condensed"/>
      </rPr>
      <t xml:space="preserve">
</t>
    </r>
  </si>
  <si>
    <t>5.1.4</t>
  </si>
  <si>
    <r>
      <rPr>
        <sz val="11"/>
        <rFont val="Calibri"/>
      </rPr>
      <t>Ensure Appropriate Permissions Are Enabled for System Wide Applications</t>
    </r>
  </si>
  <si>
    <r>
      <rPr>
        <sz val="11"/>
        <color rgb="FF000000"/>
        <rFont val="Calibri"/>
      </rPr>
      <t>Run the following command to change the permissions for each application that does not meet the requirements:</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apps in $( /usr/bin/find /System/Volumes/Data/Applications -iname "*\.app" -type d -perm -2 | grep -v Xcode.app ); do</t>
    </r>
    <r>
      <rPr>
        <sz val="11"/>
        <color rgb="FF006096"/>
        <rFont val="Roboto Condensed"/>
      </rPr>
      <t xml:space="preserve">
</t>
    </r>
    <r>
      <rPr>
        <sz val="11"/>
        <color rgb="FF006096"/>
        <rFont val="Roboto Condensed"/>
      </rPr>
      <t xml:space="preserve">  /bin/chmod -R o-w "$apps"</t>
    </r>
    <r>
      <rPr>
        <sz val="11"/>
        <color rgb="FF006096"/>
        <rFont val="Roboto Condensed"/>
      </rPr>
      <t xml:space="preserve">
</t>
    </r>
    <r>
      <rPr>
        <sz val="11"/>
        <color rgb="FF006096"/>
        <rFont val="Roboto Condensed"/>
      </rPr>
      <t>done</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Global changes should not be performed where mission-critical applications are part of the improperly permissioned applications.</t>
    </r>
  </si>
  <si>
    <r>
      <rPr>
        <sz val="11"/>
        <color rgb="FF000000"/>
        <rFont val="Calibri"/>
      </rPr>
      <t>Applications in the System Applications Directory (/Applications) should be world-executable since that is their reason to be on the system. They should not be world-writable and allow any process or user to alter them for other processes or users to then execute modified versions.</t>
    </r>
  </si>
  <si>
    <r>
      <rPr>
        <sz val="11"/>
        <color rgb="FF000000"/>
        <rFont val="Calibri"/>
      </rPr>
      <t>Applications changed will no longer be world-writable. Depending on the environment, there will be different risk tolerances on each non-conforming application. Global changes should not be performed where mission-critical applications are misconfigured.</t>
    </r>
  </si>
  <si>
    <r>
      <rPr>
        <sz val="11"/>
        <color rgb="FF000000"/>
        <rFont val="Calibri"/>
      </rPr>
      <t>Run the following command to verify that all applications have the correct permissions:</t>
    </r>
    <r>
      <rPr>
        <sz val="11"/>
        <color rgb="FF000000"/>
        <rFont val="Calibri"/>
      </rPr>
      <t xml:space="preserve">
</t>
    </r>
    <r>
      <rPr>
        <sz val="11"/>
        <color rgb="FF006096"/>
        <rFont val="Roboto Condensed"/>
      </rPr>
      <t>% /usr/bin/sudo /usr/bin/find /System/Volumes/Data/Applications -iname "*\.app" -type d -perm -2 -ls | grep -v Xcode.app | /usr/bin/wc -l | /usr/bin/xargs</t>
    </r>
    <r>
      <rPr>
        <sz val="11"/>
        <color rgb="FF006096"/>
        <rFont val="Roboto Condensed"/>
      </rPr>
      <t xml:space="preserve">
</t>
    </r>
    <r>
      <rPr>
        <sz val="11"/>
        <color rgb="FF006096"/>
        <rFont val="Roboto Condensed"/>
      </rPr>
      <t>0</t>
    </r>
    <r>
      <rPr>
        <sz val="11"/>
        <color rgb="FF006096"/>
        <rFont val="Roboto Condensed"/>
      </rPr>
      <t xml:space="preserve">
</t>
    </r>
  </si>
  <si>
    <t>5.1.5</t>
  </si>
  <si>
    <r>
      <rPr>
        <sz val="11"/>
        <rFont val="Calibri"/>
      </rPr>
      <t>Ensure No World Writable Folders Exist in the System Folder</t>
    </r>
  </si>
  <si>
    <r>
      <rPr>
        <sz val="11"/>
        <color rgb="FF000000"/>
        <rFont val="Calibri"/>
      </rPr>
      <t>Run the following command to set permissions so that folders are not world-writable in the /System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sysPermissions in $( /usr/bin/sudo /usr/bin/find /System/Volumes/Data/System -type d -perm -2 | /usr/bin/grep -v "downloadDir" ); do</t>
    </r>
    <r>
      <rPr>
        <sz val="11"/>
        <color rgb="FF006096"/>
        <rFont val="Roboto Condensed"/>
      </rPr>
      <t xml:space="preserve">
</t>
    </r>
    <r>
      <rPr>
        <sz val="11"/>
        <color rgb="FF006096"/>
        <rFont val="Roboto Condensed"/>
      </rPr>
      <t xml:space="preserve">  /bin/chmod -R o-w "$sysPermissions"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</si>
  <si>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/System/Volumes/Data/System</t>
    </r>
    <r>
      <rPr>
        <sz val="11"/>
        <color rgb="FF000000"/>
        <rFont val="Calibri"/>
      </rPr>
      <t xml:space="preserve"> Directory and has inappropriate world-writable permissions.</t>
    </r>
    <r>
      <rPr>
        <sz val="11"/>
        <color rgb="FF000000"/>
        <rFont val="Calibri"/>
      </rPr>
      <t xml:space="preserve">
</t>
    </r>
    <r>
      <rPr>
        <sz val="11"/>
        <color rgb="FF000000"/>
        <rFont val="Calibri"/>
      </rPr>
      <t>Macs with writable files in System should be investigated forensically. A file with open writable permissions is a sign of at best a rogue application.  It could also be a sign of a computer compromise and a persistent presence on the system.</t>
    </r>
  </si>
  <si>
    <r>
      <rPr>
        <sz val="11"/>
        <color rgb="FF000000"/>
        <rFont val="Calibri"/>
      </rPr>
      <t>Changing file permissions could disrupt the use of applications that rely on files in the System Folder with vulnerable permissions.</t>
    </r>
  </si>
  <si>
    <r>
      <rPr>
        <sz val="11"/>
        <color rgb="FF000000"/>
        <rFont val="Calibri"/>
      </rPr>
      <t>Run the following command to check for directories in the /System folder that are world-writable:</t>
    </r>
    <r>
      <rPr>
        <sz val="11"/>
        <color rgb="FF000000"/>
        <rFont val="Calibri"/>
      </rPr>
      <t xml:space="preserve">
</t>
    </r>
    <r>
      <rPr>
        <sz val="11"/>
        <color rgb="FF006096"/>
        <rFont val="Roboto Condensed"/>
      </rPr>
      <t>% /usr/bin/sudo /usr/bin/find /System/Volumes/Data/System -type d -perm -2 -ls | /usr/bin/grep -v "downloadDir" | /usr/bin/wc -l | /usr/bin/xargs</t>
    </r>
    <r>
      <rPr>
        <sz val="11"/>
        <color rgb="FF006096"/>
        <rFont val="Roboto Condensed"/>
      </rPr>
      <t xml:space="preserve">
</t>
    </r>
    <r>
      <rPr>
        <sz val="11"/>
        <color rgb="FF006096"/>
        <rFont val="Roboto Condensed"/>
      </rPr>
      <t>0</t>
    </r>
    <r>
      <rPr>
        <sz val="11"/>
        <color rgb="FF006096"/>
        <rFont val="Roboto Condensed"/>
      </rPr>
      <t xml:space="preserve">
</t>
    </r>
  </si>
  <si>
    <t>5.1.6</t>
  </si>
  <si>
    <r>
      <rPr>
        <sz val="11"/>
        <rFont val="Calibri"/>
      </rPr>
      <t>Ensure No World Writable Folders Exist in the Library Folder</t>
    </r>
  </si>
  <si>
    <r>
      <rPr>
        <sz val="11"/>
        <color rgb="FF000000"/>
        <rFont val="Calibri"/>
      </rPr>
      <t xml:space="preserve">Run the following command to set permissions so that folders are not world-writable in the </t>
    </r>
    <r>
      <rPr>
        <b/>
        <sz val="11"/>
        <color rgb="FF000000"/>
        <rFont val="Calibri"/>
      </rPr>
      <t>/System/Volumes/Data/Library</t>
    </r>
    <r>
      <rPr>
        <sz val="11"/>
        <color rgb="FF000000"/>
        <rFont val="Calibri"/>
      </rPr>
      <t xml:space="preserve"> folder:</t>
    </r>
    <r>
      <rPr>
        <sz val="11"/>
        <color rgb="FF000000"/>
        <rFont val="Calibri"/>
      </rPr>
      <t xml:space="preserve">
</t>
    </r>
    <r>
      <rPr>
        <sz val="11"/>
        <color rgb="FF006096"/>
        <rFont val="Roboto Condensed"/>
      </rPr>
      <t>% /usr/bin/sudo IFS=$'\n'</t>
    </r>
    <r>
      <rPr>
        <sz val="11"/>
        <color rgb="FF006096"/>
        <rFont val="Roboto Condensed"/>
      </rPr>
      <t xml:space="preserve">
</t>
    </r>
    <r>
      <rPr>
        <sz val="11"/>
        <color rgb="FF006096"/>
        <rFont val="Roboto Condensed"/>
      </rPr>
      <t>for libPermissions in $( /usr/bin/find /System/Volumes/Data/Library -type d -perm -2 | /usr/bin/grep -v Caches | /usr/bin/grep -v /Preferences/Audio/Data ); do</t>
    </r>
    <r>
      <rPr>
        <sz val="11"/>
        <color rgb="FF006096"/>
        <rFont val="Roboto Condensed"/>
      </rPr>
      <t xml:space="preserve">
</t>
    </r>
    <r>
      <rPr>
        <sz val="11"/>
        <color rgb="FF006096"/>
        <rFont val="Roboto Condensed"/>
      </rPr>
      <t xml:space="preserve">  /bin/chmod -R o-w "$libPermissions"</t>
    </r>
    <r>
      <rPr>
        <sz val="11"/>
        <color rgb="FF006096"/>
        <rFont val="Roboto Condensed"/>
      </rPr>
      <t xml:space="preserve">
</t>
    </r>
    <r>
      <rPr>
        <sz val="11"/>
        <color rgb="FF006096"/>
        <rFont val="Roboto Condensed"/>
      </rPr>
      <t>done</t>
    </r>
    <r>
      <rPr>
        <sz val="11"/>
        <color rgb="FF006096"/>
        <rFont val="Roboto Condensed"/>
      </rPr>
      <t xml:space="preserve">
</t>
    </r>
  </si>
  <si>
    <r>
      <rPr>
        <sz val="11"/>
        <color rgb="FF000000"/>
        <rFont val="Calibri"/>
      </rPr>
      <t xml:space="preserve">Software sometimes insists on being installed in the </t>
    </r>
    <r>
      <rPr>
        <b/>
        <sz val="11"/>
        <color rgb="FF000000"/>
        <rFont val="Calibri"/>
      </rPr>
      <t>/System/Volumes/Data/Library Directory</t>
    </r>
    <r>
      <rPr>
        <sz val="11"/>
        <color rgb="FF000000"/>
        <rFont val="Calibri"/>
      </rPr>
      <t xml:space="preserve"> and has inappropriate world-writable permissions.</t>
    </r>
  </si>
  <si>
    <r>
      <rPr>
        <sz val="11"/>
        <color rgb="FF000000"/>
        <rFont val="Calibri"/>
      </rPr>
      <t xml:space="preserve">Run the following to verify that no directories in the </t>
    </r>
    <r>
      <rPr>
        <b/>
        <sz val="11"/>
        <color rgb="FF000000"/>
        <rFont val="Calibri"/>
      </rPr>
      <t>/System/Volumes/Data/Library</t>
    </r>
    <r>
      <rPr>
        <sz val="11"/>
        <color rgb="FF000000"/>
        <rFont val="Calibri"/>
      </rPr>
      <t xml:space="preserve"> folder are world-writable:</t>
    </r>
    <r>
      <rPr>
        <sz val="11"/>
        <color rgb="FF000000"/>
        <rFont val="Calibri"/>
      </rPr>
      <t xml:space="preserve">
</t>
    </r>
    <r>
      <rPr>
        <sz val="11"/>
        <color rgb="FF006096"/>
        <rFont val="Roboto Condensed"/>
      </rPr>
      <t>% /usr/bin/sudo /usr/bin/find /System/Volumes/Data/Library -type d -perm -2 -ls | /usr/bin/grep -v Caches | /usr/bin/grep -v /Preferences/Audio/Data | /usr/bin/wc -l | /usr/bin/xargs</t>
    </r>
    <r>
      <rPr>
        <sz val="11"/>
        <color rgb="FF006096"/>
        <rFont val="Roboto Condensed"/>
      </rPr>
      <t xml:space="preserve">
</t>
    </r>
    <r>
      <rPr>
        <sz val="11"/>
        <color rgb="FF006096"/>
        <rFont val="Roboto Condensed"/>
      </rPr>
      <t>0</t>
    </r>
    <r>
      <rPr>
        <sz val="11"/>
        <color rgb="FF006096"/>
        <rFont val="Roboto Condensed"/>
      </rPr>
      <t xml:space="preserve">
</t>
    </r>
  </si>
  <si>
    <t>Password Management</t>
  </si>
  <si>
    <t>5.2.1</t>
  </si>
  <si>
    <r>
      <rPr>
        <sz val="11"/>
        <rFont val="Calibri"/>
      </rPr>
      <t>Ensure Password Account Lockout Threshold Is Configured</t>
    </r>
  </si>
  <si>
    <r>
      <rPr>
        <sz val="11"/>
        <color rgb="FF000000"/>
        <rFont val="Calibri"/>
      </rPr>
      <t>Run the following command to set the maximum number of failed login attempts to less than or equal to 5:</t>
    </r>
    <r>
      <rPr>
        <sz val="11"/>
        <color rgb="FF000000"/>
        <rFont val="Calibri"/>
      </rPr>
      <t xml:space="preserve">
</t>
    </r>
    <r>
      <rPr>
        <sz val="11"/>
        <color rgb="FF006096"/>
        <rFont val="Roboto Condensed"/>
      </rPr>
      <t>% /usr/bin/sudo /usr/bin/pwpolicy -n /Local/Default -setglobalpolicy "maxFailedLoginAttempts=&lt;value≤5&gt;"</t>
    </r>
    <r>
      <rPr>
        <sz val="11"/>
        <color rgb="FF006096"/>
        <rFont val="Roboto Condensed"/>
      </rPr>
      <t xml:space="preserve">
</t>
    </r>
  </si>
  <si>
    <r>
      <rPr>
        <sz val="11"/>
        <color rgb="FF000000"/>
        <rFont val="Calibri"/>
      </rPr>
      <t>The account lockout threshold specifies the amount of times a user can enter an incorrect password before a lockout will occur.</t>
    </r>
    <r>
      <rPr>
        <sz val="11"/>
        <color rgb="FF000000"/>
        <rFont val="Calibri"/>
      </rPr>
      <t xml:space="preserve">
</t>
    </r>
    <r>
      <rPr>
        <sz val="11"/>
        <color rgb="FF000000"/>
        <rFont val="Calibri"/>
      </rPr>
      <t>Ensure that a lockout threshold is part of the password policy on the computer.</t>
    </r>
  </si>
  <si>
    <r>
      <rPr>
        <sz val="11"/>
        <color rgb="FF000000"/>
        <rFont val="Calibri"/>
      </rPr>
      <t>The number of incorrect log on attempts should be reasonably small to minimize the possibility of a successful password attack, while allowing for honest errors made during a normal user log on.</t>
    </r>
    <r>
      <rPr>
        <sz val="11"/>
        <color rgb="FF000000"/>
        <rFont val="Calibri"/>
      </rPr>
      <t xml:space="preserve">
</t>
    </r>
    <r>
      <rPr>
        <sz val="11"/>
        <color rgb="FF000000"/>
        <rFont val="Calibri"/>
      </rPr>
      <t>The locked account will auto-unlock after a few minutes when bad password attempts stop. The computer will accept the still-valid password if remembered or recovered.</t>
    </r>
  </si>
  <si>
    <r>
      <rPr>
        <b/>
        <sz val="11"/>
        <color rgb="FF000000"/>
        <rFont val="Calibri"/>
      </rPr>
      <t>Terminal Method:</t>
    </r>
    <r>
      <rPr>
        <sz val="11"/>
        <color rgb="FF000000"/>
        <rFont val="Calibri"/>
      </rPr>
      <t xml:space="preserve">
</t>
    </r>
    <r>
      <rPr>
        <sz val="11"/>
        <color rgb="FF000000"/>
        <rFont val="Calibri"/>
      </rPr>
      <t>Run the following command to verify that the number of failed attempts is less than or equal to 5:</t>
    </r>
    <r>
      <rPr>
        <sz val="11"/>
        <color rgb="FF000000"/>
        <rFont val="Calibri"/>
      </rPr>
      <t xml:space="preserve">
</t>
    </r>
    <r>
      <rPr>
        <sz val="11"/>
        <color rgb="FF006096"/>
        <rFont val="Roboto Condensed"/>
      </rPr>
      <t>$ /usr/bin/sudo /usr/bin/pwpolicy -getaccountpolicies 2&gt; /dev/null | /usr/bin/tail +2 | /usr/bin/xmllint --xpath '//dict/key[text()="policyAttributeMaximumFailedAuthentications"]/following-sibling::integer[1]/text()' -</t>
    </r>
    <r>
      <rPr>
        <sz val="11"/>
        <color rgb="FF006096"/>
        <rFont val="Roboto Condensed"/>
      </rPr>
      <t xml:space="preserve">
</t>
    </r>
    <r>
      <rPr>
        <sz val="11"/>
        <color rgb="FF000000"/>
        <rFont val="Calibri"/>
      </rPr>
      <t xml:space="preserve">
</t>
    </r>
    <r>
      <rPr>
        <sz val="11"/>
        <color rgb="FF000000"/>
        <rFont val="Calibri"/>
      </rPr>
      <t xml:space="preserve">The output should be ≤ </t>
    </r>
    <r>
      <rPr>
        <b/>
        <sz val="11"/>
        <color rgb="FF000000"/>
        <rFont val="Calibri"/>
      </rPr>
      <t>5</t>
    </r>
  </si>
  <si>
    <t>5.2.2</t>
  </si>
  <si>
    <r>
      <rPr>
        <sz val="11"/>
        <rFont val="Calibri"/>
      </rPr>
      <t>Ensure Password Minimum Length Is Configured</t>
    </r>
  </si>
  <si>
    <r>
      <rPr>
        <sz val="11"/>
        <color rgb="FF000000"/>
        <rFont val="Calibri"/>
      </rPr>
      <t>Run the following command to set the password length to greater than or equal to 15:</t>
    </r>
    <r>
      <rPr>
        <sz val="11"/>
        <color rgb="FF000000"/>
        <rFont val="Calibri"/>
      </rPr>
      <t xml:space="preserve">
</t>
    </r>
    <r>
      <rPr>
        <sz val="11"/>
        <color rgb="FF006096"/>
        <rFont val="Roboto Condensed"/>
      </rPr>
      <t>% /usr/bin/sudo /usr/bin/pwpolicy -n /Local/Default -setglobalpolicy "minChars=&lt;value≥15&gt;"</t>
    </r>
    <r>
      <rPr>
        <sz val="11"/>
        <color rgb="FF006096"/>
        <rFont val="Roboto Condensed"/>
      </rPr>
      <t xml:space="preserve">
</t>
    </r>
  </si>
  <si>
    <r>
      <rPr>
        <sz val="11"/>
        <color rgb="FF000000"/>
        <rFont val="Calibri"/>
      </rPr>
      <t>A minimum password length is the fewest number of characters a password can contain to meet a system's requirements.</t>
    </r>
    <r>
      <rPr>
        <sz val="11"/>
        <color rgb="FF000000"/>
        <rFont val="Calibri"/>
      </rPr>
      <t xml:space="preserve">
</t>
    </r>
    <r>
      <rPr>
        <sz val="11"/>
        <color rgb="FF000000"/>
        <rFont val="Calibri"/>
      </rPr>
      <t>Ensure that a minimum of a 15-character password is part of the password policy on the computer.</t>
    </r>
    <r>
      <rPr>
        <sz val="11"/>
        <color rgb="FF000000"/>
        <rFont val="Calibri"/>
      </rPr>
      <t xml:space="preserve">
</t>
    </r>
    <r>
      <rPr>
        <sz val="11"/>
        <color rgb="FF000000"/>
        <rFont val="Calibri"/>
      </rPr>
      <t>Where the confidentiality of encrypted information in FileVault is more of a concern, requiring a longer password or passphrase may be sufficient rather than imposing additional complexity requirements that may be self-defeating.</t>
    </r>
  </si>
  <si>
    <r>
      <rPr>
        <sz val="11"/>
        <color rgb="FF000000"/>
        <rFont val="Calibri"/>
      </rPr>
      <t>Short passwords can be easily attacked.</t>
    </r>
  </si>
  <si>
    <r>
      <rPr>
        <sz val="11"/>
        <color rgb="FF000000"/>
        <rFont val="Calibri"/>
      </rPr>
      <t>Run the following command to verify that the password length is greater than or equal to 15:</t>
    </r>
    <r>
      <rPr>
        <sz val="11"/>
        <color rgb="FF000000"/>
        <rFont val="Calibri"/>
      </rPr>
      <t xml:space="preserve">
</t>
    </r>
    <r>
      <rPr>
        <sz val="11"/>
        <color rgb="FF006096"/>
        <rFont val="Roboto Condensed"/>
      </rPr>
      <t>% /usr/bin/sudo /usr/bin/pwpolicy -getaccountpolicies | /usr/bin/grep -e "policyAttributePassword matches" | /usr/bin/cut -b 46-53 | /usr/bin/cut -d',' -f1 | /usr/bin/cut -d'{' -f2</t>
    </r>
    <r>
      <rPr>
        <sz val="11"/>
        <color rgb="FF006096"/>
        <rFont val="Roboto Condensed"/>
      </rPr>
      <t xml:space="preserve">
</t>
    </r>
    <r>
      <rPr>
        <sz val="11"/>
        <color rgb="FF000000"/>
        <rFont val="Calibri"/>
      </rPr>
      <t xml:space="preserve">
</t>
    </r>
    <r>
      <rPr>
        <sz val="11"/>
        <color rgb="FF000000"/>
        <rFont val="Calibri"/>
      </rPr>
      <t xml:space="preserve">The output value should be ≥ </t>
    </r>
    <r>
      <rPr>
        <b/>
        <sz val="11"/>
        <color rgb="FF000000"/>
        <rFont val="Calibri"/>
      </rPr>
      <t>15</t>
    </r>
  </si>
  <si>
    <t>5.2.3</t>
  </si>
  <si>
    <r>
      <rPr>
        <sz val="11"/>
        <rFont val="Calibri"/>
      </rPr>
      <t>Ensure Complex Password Must Contain Alphabetic Characters Is Configured</t>
    </r>
  </si>
  <si>
    <r>
      <rPr>
        <b/>
        <sz val="11"/>
        <color rgb="FF000000"/>
        <rFont val="Calibri"/>
      </rPr>
      <t>Terminal Method:</t>
    </r>
    <r>
      <rPr>
        <sz val="11"/>
        <color rgb="FF000000"/>
        <rFont val="Calibri"/>
      </rPr>
      <t xml:space="preserve">
</t>
    </r>
    <r>
      <rPr>
        <sz val="11"/>
        <color rgb="FF000000"/>
        <rFont val="Calibri"/>
      </rPr>
      <t>Run the following command to set that passwords must contain at least one letter:</t>
    </r>
    <r>
      <rPr>
        <sz val="11"/>
        <color rgb="FF000000"/>
        <rFont val="Calibri"/>
      </rPr>
      <t xml:space="preserve">
</t>
    </r>
    <r>
      <rPr>
        <sz val="11"/>
        <color rgb="FF006096"/>
        <rFont val="Roboto Condensed"/>
      </rPr>
      <t>% /usr/bin/sudo /usr/bin/pwpolicy -n /Local/Default -setglobalpolicy -setaccountpolicies "requiresAlpha=&lt;value≥1&gt;"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</si>
  <si>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an Alphabetic character is part of the password policy on the computer.</t>
    </r>
  </si>
  <si>
    <r>
      <rPr>
        <sz val="11"/>
        <color rgb="FF000000"/>
        <rFont val="Calibri"/>
      </rPr>
      <t>Password policy should be in effect to reduce the risk of exposed services being compromised easily through dictionary attacks or other social engineering attempts.</t>
    </r>
  </si>
  <si>
    <r>
      <rPr>
        <sz val="11"/>
        <color rgb="FF000000"/>
        <rFont val="Calibri"/>
      </rPr>
      <t>Run the following command to verify that the password requires at least one letter:</t>
    </r>
    <r>
      <rPr>
        <sz val="11"/>
        <color rgb="FF000000"/>
        <rFont val="Calibri"/>
      </rPr>
      <t xml:space="preserve">
</t>
    </r>
    <r>
      <rPr>
        <sz val="11"/>
        <color rgb="FF006096"/>
        <rFont val="Roboto Condensed"/>
      </rPr>
      <t>% pref=$(/usr/bin/sudo /usr/bin/pwpolicy -getaccountpolicies | /usr/bin/sudo /usr/bin/grep -A1 minimumLetters | /usr/bin/sudo /usr/bin/tail -1 | /usr/bin/sudo /usr/bin/cut -d'&gt;' -f2 | /usr/bin/sudo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</si>
  <si>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5.2.4</t>
  </si>
  <si>
    <r>
      <rPr>
        <sz val="11"/>
        <rFont val="Calibri"/>
      </rPr>
      <t>Ensure Complex Password Must Contain Numeric Character Is Configured</t>
    </r>
  </si>
  <si>
    <r>
      <rPr>
        <sz val="11"/>
        <color rgb="FF000000"/>
        <rFont val="Calibri"/>
      </rPr>
      <t>Run the following command to set passwords to require at least one number:</t>
    </r>
    <r>
      <rPr>
        <sz val="11"/>
        <color rgb="FF000000"/>
        <rFont val="Calibri"/>
      </rPr>
      <t xml:space="preserve">
</t>
    </r>
    <r>
      <rPr>
        <sz val="11"/>
        <color rgb="FF006096"/>
        <rFont val="Roboto Condensed"/>
      </rPr>
      <t>% /usr/bin/sudo /usr/bin/pwpolicy -n /Local/Default -setglobalpolicy -setaccountpolicies "requiresNumeric=&lt;value≥1&gt;"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</si>
  <si>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a number or numeric value is part of the password policy on the computer.</t>
    </r>
  </si>
  <si>
    <r>
      <rPr>
        <sz val="11"/>
        <color rgb="FF000000"/>
        <rFont val="Calibri"/>
      </rPr>
      <t>Run the following command to verify that passwords require at least one number:</t>
    </r>
    <r>
      <rPr>
        <sz val="11"/>
        <color rgb="FF000000"/>
        <rFont val="Calibri"/>
      </rPr>
      <t xml:space="preserve">
</t>
    </r>
    <r>
      <rPr>
        <sz val="11"/>
        <color rgb="FF006096"/>
        <rFont val="Roboto Condensed"/>
      </rPr>
      <t>% pref=$(/usr/bin/sudo /usr/bin/pwpolicy -getaccountpolicies | /usr/bin/sudo /usr/bin/grep -A1 minimumNumericCharacters | /usr/bin/sudo /usr/bin/tail -1 | /usr/bin/sudo /usr/bin/cut -d '&gt;' -f2 | /usr/bin/sudo /usr/bin/cut -d '&lt;' -f1) &amp;&amp; if [[ "$pref" != "" &amp;&amp; pref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</si>
  <si>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5.2.5</t>
  </si>
  <si>
    <r>
      <rPr>
        <sz val="11"/>
        <rFont val="Calibri"/>
      </rPr>
      <t>Ensure Complex Password Must Contain Special Character Is Configured</t>
    </r>
  </si>
  <si>
    <r>
      <rPr>
        <sz val="11"/>
        <color rgb="FF000000"/>
        <rFont val="Calibri"/>
      </rPr>
      <t>Run the following command to set passwords to require at least one special character:</t>
    </r>
    <r>
      <rPr>
        <sz val="11"/>
        <color rgb="FF000000"/>
        <rFont val="Calibri"/>
      </rPr>
      <t xml:space="preserve">
</t>
    </r>
    <r>
      <rPr>
        <sz val="11"/>
        <color rgb="FF006096"/>
        <rFont val="Roboto Condensed"/>
      </rPr>
      <t>% /usr/bin/sudo /usr/bin/pwpolicy -n /Local/Default -setglobalpolicy -setaccountpolicies "requiresSymbol=&lt;value≥1&gt;"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</si>
  <si>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 Ensure that a special character is part of the password policy on the computer.</t>
    </r>
  </si>
  <si>
    <r>
      <rPr>
        <sz val="11"/>
        <color rgb="FF000000"/>
        <rFont val="Calibri"/>
      </rPr>
      <t>Run the following command to verify that the password requires at least one special character:</t>
    </r>
    <r>
      <rPr>
        <sz val="11"/>
        <color rgb="FF000000"/>
        <rFont val="Calibri"/>
      </rPr>
      <t xml:space="preserve">
</t>
    </r>
    <r>
      <rPr>
        <sz val="11"/>
        <color rgb="FF006096"/>
        <rFont val="Roboto Condensed"/>
      </rPr>
      <t>% /usr/bin/sudo pref=$(/usr/bin/sudo pwpolicy -getaccountpolicies  | /usr/bin/sudo /usr/bin/grep -A1 minimumSymbols | /usr/bin/sudo /usr/bin/tail -1 | /usr/bin/sudo /usr/bin/cut -d '&gt;' -f2 | /usr/bin/sudo /usr/bin/cut -d '&lt;' -f1) &amp;&amp; if [[ "$pref" != "" &amp;&amp; pref -ge 1 ]];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</si>
  <si>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5.2.6</t>
  </si>
  <si>
    <r>
      <rPr>
        <sz val="11"/>
        <rFont val="Calibri"/>
      </rPr>
      <t>Ensure Complex Password Must Contain Uppercase and Lowercase Characters Is Configured</t>
    </r>
  </si>
  <si>
    <r>
      <rPr>
        <sz val="11"/>
        <color rgb="FF000000"/>
        <rFont val="Calibri"/>
      </rPr>
      <t>Run the following command to set passwords to require an upper and lower case letter:</t>
    </r>
    <r>
      <rPr>
        <sz val="11"/>
        <color rgb="FF000000"/>
        <rFont val="Calibri"/>
      </rPr>
      <t xml:space="preserve">
</t>
    </r>
    <r>
      <rPr>
        <sz val="11"/>
        <color rgb="FF006096"/>
        <rFont val="Roboto Condensed"/>
      </rPr>
      <t>% /usr/bin/sudo /usr/bin/pwpolicy -n /Local/Default -setglobalpolicy "requiresMixedCase=&lt;value≥1&gt;"</t>
    </r>
    <r>
      <rPr>
        <sz val="11"/>
        <color rgb="FF006096"/>
        <rFont val="Roboto Condensed"/>
      </rPr>
      <t xml:space="preserve">
</t>
    </r>
  </si>
  <si>
    <r>
      <rPr>
        <sz val="11"/>
        <color rgb="FF000000"/>
        <rFont val="Calibri"/>
      </rPr>
      <t>Complex passwords contain one character from each of the following classes: English uppercase letters, English lowercase letters, Westernized Arabic numerals, and non-alphanumeric characters.</t>
    </r>
    <r>
      <rPr>
        <sz val="11"/>
        <color rgb="FF000000"/>
        <rFont val="Calibri"/>
      </rPr>
      <t xml:space="preserve">
</t>
    </r>
    <r>
      <rPr>
        <sz val="11"/>
        <color rgb="FF000000"/>
        <rFont val="Calibri"/>
      </rPr>
      <t>Ensure that both uppercase and lowercase letters are part of the password policy on the computer.</t>
    </r>
  </si>
  <si>
    <r>
      <rPr>
        <sz val="11"/>
        <color rgb="FF000000"/>
        <rFont val="Calibri"/>
      </rPr>
      <t>Run the following command to verify that the password requires an upper and lower case letter:</t>
    </r>
    <r>
      <rPr>
        <sz val="11"/>
        <color rgb="FF000000"/>
        <rFont val="Calibri"/>
      </rPr>
      <t xml:space="preserve">
</t>
    </r>
    <r>
      <rPr>
        <sz val="11"/>
        <color rgb="FF006096"/>
        <rFont val="Roboto Condensed"/>
      </rPr>
      <t>% /usr/bin/sudo pref=$(/usr/bin/pwpolicy -getaccountpolicies | /usr/bin/grep -A1 minimumMixedCaseCharacters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</si>
  <si>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5.2.7</t>
  </si>
  <si>
    <r>
      <rPr>
        <sz val="11"/>
        <rFont val="Calibri"/>
      </rPr>
      <t>Ensure Password Age Is Configured</t>
    </r>
  </si>
  <si>
    <r>
      <rPr>
        <sz val="11"/>
        <color rgb="FF000000"/>
        <rFont val="Calibri"/>
      </rPr>
      <t>Run the following command to require that passwords expire after at most 365 days:</t>
    </r>
    <r>
      <rPr>
        <sz val="11"/>
        <color rgb="FF000000"/>
        <rFont val="Calibri"/>
      </rPr>
      <t xml:space="preserve">
</t>
    </r>
    <r>
      <rPr>
        <sz val="11"/>
        <color rgb="FF006096"/>
        <rFont val="Roboto Condensed"/>
      </rPr>
      <t>% /usr/bin/sudo /usr/bin/pwpolicy -n /Local/Default -setglobalpolicy "maxMinutesUntilChangePassword=&lt;value≤525600&gt;"</t>
    </r>
    <r>
      <rPr>
        <sz val="11"/>
        <color rgb="FF006096"/>
        <rFont val="Roboto Condensed"/>
      </rPr>
      <t xml:space="preserve">
</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</si>
  <si>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should reset passwords periodically.This control uses 365 days as the acceptable value. Some organizations may be more or less restrictive. This control mainly exists to mitigate against password reuse of the macOS account password in other realms that may be more prone to compromise. Attackers take advantage of exposed information to attack other accounts.</t>
    </r>
  </si>
  <si>
    <r>
      <rPr>
        <sz val="11"/>
        <color rgb="FF000000"/>
        <rFont val="Calibri"/>
      </rPr>
      <t>Required password changes will lead to some locked computers requiring admin assistance.</t>
    </r>
  </si>
  <si>
    <r>
      <rPr>
        <sz val="11"/>
        <color rgb="FF000000"/>
        <rFont val="Calibri"/>
      </rPr>
      <t>Run the following command to verify that the password expires after at most 365 days:</t>
    </r>
    <r>
      <rPr>
        <sz val="11"/>
        <color rgb="FF000000"/>
        <rFont val="Calibri"/>
      </rPr>
      <t xml:space="preserve">
</t>
    </r>
    <r>
      <rPr>
        <sz val="11"/>
        <color rgb="FF006096"/>
        <rFont val="Roboto Condensed"/>
      </rPr>
      <t>% /usr/bin/sudo pref=$(/usr/bin/pwpolicy -getaccountpolicies | /usr/bin/grep -A1 policyAttributeExpiresEveryNDays | /usr/bin/tail -1 | /usr/bin/cut -d'&gt;' -f2 | /usr/bin/cut -d '&lt;' -f1) &amp;&amp; if [[ "$pref" != "" &amp;&amp; pref -le 365 ]]; then echo "true"; else echo "false"; fi</t>
    </r>
    <r>
      <rPr>
        <sz val="11"/>
        <color rgb="FF006096"/>
        <rFont val="Roboto Condensed"/>
      </rPr>
      <t xml:space="preserve">
</t>
    </r>
    <r>
      <rPr>
        <sz val="11"/>
        <color rgb="FF006096"/>
        <rFont val="Roboto Condensed"/>
      </rPr>
      <t xml:space="preserve">true  </t>
    </r>
    <r>
      <rPr>
        <sz val="11"/>
        <color rgb="FF006096"/>
        <rFont val="Roboto Condensed"/>
      </rPr>
      <t xml:space="preserve">
</t>
    </r>
  </si>
  <si>
    <t>5.2.8</t>
  </si>
  <si>
    <r>
      <rPr>
        <sz val="11"/>
        <rFont val="Calibri"/>
      </rPr>
      <t>Ensure Password History Is Configured</t>
    </r>
  </si>
  <si>
    <r>
      <rPr>
        <sz val="11"/>
        <color rgb="FF000000"/>
        <rFont val="Calibri"/>
      </rPr>
      <t>Run the following command to require that the password must be different from at least the last 15 passwords:</t>
    </r>
    <r>
      <rPr>
        <sz val="11"/>
        <color rgb="FF000000"/>
        <rFont val="Calibri"/>
      </rPr>
      <t xml:space="preserve">
</t>
    </r>
    <r>
      <rPr>
        <sz val="11"/>
        <color rgb="FF006096"/>
        <rFont val="Roboto Condensed"/>
      </rPr>
      <t>% /usr/bin/sudo /usr/bin/pwpolicy -n /Local/Default -setglobalpolicy "usingHistory=&lt;value≥15&gt;"</t>
    </r>
    <r>
      <rPr>
        <sz val="11"/>
        <color rgb="FF006096"/>
        <rFont val="Roboto Condensed"/>
      </rPr>
      <t xml:space="preserve">
</t>
    </r>
  </si>
  <si>
    <r>
      <rPr>
        <sz val="11"/>
        <color rgb="FF000000"/>
        <rFont val="Calibri"/>
      </rPr>
      <t>Over time, passwords can be captured by third parties through mistakes, phishing attacks, third-party breaches, or merely brute-force attacks. To reduce the risk of exposure and to decrease the incentives of password reuse (passwords that are not forced to be changed periodically generally are not ever changed), users must reset passwords periodically. This control ensures that previous passwords are not reused immediately by keeping a history of previous password hashes. Ensure that password history checks are part of the password policy on the computer. This control checks whether a new password is different than the previous 15.The latest NIST guidance based on exploit research referenced in this section details how one of the greatest risks is password exposure rather than password cracking. Passwords should be changed to a new unique value whenever a password might have been exposed to anyone other than the account holder. Attackers have maintained persistent control based on predictable password change patterns and substantially different patterns should be used in case of a leak.</t>
    </r>
  </si>
  <si>
    <r>
      <rPr>
        <sz val="11"/>
        <color rgb="FF000000"/>
        <rFont val="Calibri"/>
      </rPr>
      <t>Run the following command to verify that the password is required to be different from at least the last 15 passwords:</t>
    </r>
    <r>
      <rPr>
        <sz val="11"/>
        <color rgb="FF000000"/>
        <rFont val="Calibri"/>
      </rPr>
      <t xml:space="preserve">
</t>
    </r>
    <r>
      <rPr>
        <sz val="11"/>
        <color rgb="FF006096"/>
        <rFont val="Roboto Condensed"/>
      </rPr>
      <t>% /usr/bin/sudo pref$=(/usr/bin/pwpolicy -getaccountpolicies | /usr/bin/grep -A1 policyAttributePasswordHistoryDepth | /usr/bin/tail -1 | /usr/bin/cut -d'&gt;' -f2 | /usr/bin/cut -d '&lt;' -f1) &amp;&amp; if [[ "$pref" != "" &amp;&amp; pref -ge 1 ]]; then echo "true"; else echo "false"; fi</t>
    </r>
    <r>
      <rPr>
        <sz val="11"/>
        <color rgb="FF006096"/>
        <rFont val="Roboto Condensed"/>
      </rPr>
      <t xml:space="preserve">
</t>
    </r>
    <r>
      <rPr>
        <sz val="11"/>
        <color rgb="FF006096"/>
        <rFont val="Roboto Condensed"/>
      </rPr>
      <t>true</t>
    </r>
    <r>
      <rPr>
        <sz val="11"/>
        <color rgb="FF006096"/>
        <rFont val="Roboto Condensed"/>
      </rPr>
      <t xml:space="preserve">
</t>
    </r>
  </si>
  <si>
    <t>System Access, Authentication and Authorization</t>
  </si>
  <si>
    <t>5.3</t>
  </si>
  <si>
    <r>
      <rPr>
        <sz val="11"/>
        <rFont val="Calibri"/>
      </rPr>
      <t>Ensure the Sudo Timeout Period Is Set to Zero</t>
    </r>
  </si>
  <si>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timestamp_timeout=0</t>
    </r>
    <r>
      <rPr>
        <sz val="11"/>
        <color rgb="FF000000"/>
        <rFont val="Calibri"/>
      </rPr>
      <t xml:space="preserve"> to the configuration file.</t>
    </r>
    <r>
      <rPr>
        <sz val="11"/>
        <color rgb="FF000000"/>
        <rFont val="Calibri"/>
      </rPr>
      <t xml:space="preserve">
</t>
    </r>
    <r>
      <rPr>
        <sz val="11"/>
        <color rgb="FF000000"/>
        <rFont val="Calibri"/>
      </rPr>
      <t>If /etc/sudoers.d/ is not owned by root or in the wheel group, run the following to change ownership and group:</t>
    </r>
    <r>
      <rPr>
        <sz val="11"/>
        <color rgb="FF000000"/>
        <rFont val="Calibri"/>
      </rPr>
      <t xml:space="preserve">
</t>
    </r>
    <r>
      <rPr>
        <sz val="11"/>
        <color rgb="FF006096"/>
        <rFont val="Roboto Condensed"/>
      </rPr>
      <t>% /usr/bin/sudo /usr/sbin/chown -R root:wheel /etc/security/sudoers.d/</t>
    </r>
    <r>
      <rPr>
        <sz val="11"/>
        <color rgb="FF006096"/>
        <rFont val="Roboto Condensed"/>
      </rPr>
      <t xml:space="preserve">
</t>
    </r>
  </si>
  <si>
    <r>
      <rPr>
        <sz val="11"/>
        <color rgb="FF000000"/>
        <rFont val="Calibri"/>
      </rPr>
      <t>The sudo command allows the user to run programs as the root user. Working as the root user allows the user an extremely high level of configurability within the system. This control, along with the control to use a separate timestamp for each tty, limits the window where an unauthorized user, process, or attacker could utilize legitimate credentials that are valid for longer than required.</t>
    </r>
  </si>
  <si>
    <r>
      <rPr>
        <sz val="11"/>
        <color rgb="FF000000"/>
        <rFont val="Calibri"/>
      </rPr>
      <t>This control has a serious impact where users often have to use sudo. It is even more of an impact where users have to use sudo multiple times in quick succession as part of normal work processes. Organizations with that common use case will likely find this control too onerous and are better to accept the risk of not requiring a 0 grace period.</t>
    </r>
    <r>
      <rPr>
        <sz val="11"/>
        <color rgb="FF000000"/>
        <rFont val="Calibri"/>
      </rPr>
      <t xml:space="preserve">
</t>
    </r>
    <r>
      <rPr>
        <sz val="11"/>
        <color rgb="FF000000"/>
        <rFont val="Calibri"/>
      </rPr>
      <t>In some ways the use of sudo -s, which is undesirable, is better than a long grace period since that use does change the hash to show that it is a root shell rather than a normal shell where sudo commands will be implemented without a password.</t>
    </r>
  </si>
  <si>
    <r>
      <rPr>
        <sz val="11"/>
        <color rgb="FF000000"/>
        <rFont val="Calibri"/>
      </rPr>
      <t>Perform the following to verify the sudo timeout period:</t>
    </r>
    <r>
      <rPr>
        <sz val="11"/>
        <color rgb="FF000000"/>
        <rFont val="Calibri"/>
      </rPr>
      <t xml:space="preserve">
</t>
    </r>
    <r>
      <rPr>
        <sz val="11"/>
        <color rgb="FF006096"/>
        <rFont val="Roboto Condensed"/>
      </rPr>
      <t>% /usr/bin/sudo /usr/bin/sudo -V | /usr/bin/grep -c "Authentication timestamp timeout: 0.0 minutes"</t>
    </r>
    <r>
      <rPr>
        <sz val="11"/>
        <color rgb="FF006096"/>
        <rFont val="Roboto Condensed"/>
      </rPr>
      <t xml:space="preserve">
</t>
    </r>
    <r>
      <rPr>
        <sz val="11"/>
        <color rgb="FF006096"/>
        <rFont val="Roboto Condensed"/>
      </rPr>
      <t>1</t>
    </r>
    <r>
      <rPr>
        <sz val="11"/>
        <color rgb="FF006096"/>
        <rFont val="Roboto Condensed"/>
      </rPr>
      <t xml:space="preserve">
</t>
    </r>
    <r>
      <rPr>
        <sz val="11"/>
        <color rgb="FF000000"/>
        <rFont val="Calibri"/>
      </rPr>
      <t xml:space="preserve">
</t>
    </r>
    <r>
      <rPr>
        <sz val="11"/>
        <color rgb="FF000000"/>
        <rFont val="Calibri"/>
      </rPr>
      <t xml:space="preserve">Run the following commands to verify that the root is the owner of the </t>
    </r>
    <r>
      <rPr>
        <b/>
        <sz val="11"/>
        <color rgb="FF000000"/>
        <rFont val="Calibri"/>
      </rPr>
      <t>/etc/sudoers.d</t>
    </r>
    <r>
      <rPr>
        <sz val="11"/>
        <color rgb="FF000000"/>
        <rFont val="Calibri"/>
      </rPr>
      <t xml:space="preserve"> folder, and that wheel is the group</t>
    </r>
    <r>
      <rPr>
        <sz val="11"/>
        <color rgb="FF000000"/>
        <rFont val="Calibri"/>
      </rPr>
      <t xml:space="preserve">
</t>
    </r>
    <r>
      <rPr>
        <sz val="11"/>
        <color rgb="FF006096"/>
        <rFont val="Roboto Condensed"/>
      </rPr>
      <t>% /usr/bin/stat /etc/sudoers.d</t>
    </r>
    <r>
      <rPr>
        <sz val="11"/>
        <color rgb="FF006096"/>
        <rFont val="Roboto Condensed"/>
      </rPr>
      <t xml:space="preserve">
</t>
    </r>
    <r>
      <rPr>
        <sz val="11"/>
        <color rgb="FF006096"/>
        <rFont val="Roboto Condensed"/>
      </rPr>
      <t>16777229 19662948 drwxr-xr-x 2 root wheel 0 64 "Jun  7 23:12:24 2022" "May  9 17:30:48 2022" "Jun  7 23:12:24 2022" "May  9 17:30:48 2022" 4096 0 0 /etc/sudoers.d</t>
    </r>
    <r>
      <rPr>
        <sz val="11"/>
        <color rgb="FF006096"/>
        <rFont val="Roboto Condensed"/>
      </rPr>
      <t xml:space="preserve">
</t>
    </r>
  </si>
  <si>
    <t>5.4</t>
  </si>
  <si>
    <r>
      <rPr>
        <sz val="11"/>
        <rFont val="Calibri"/>
      </rPr>
      <t>Ensure a Separate Timestamp Is Enabled for Each User/tty Combo</t>
    </r>
  </si>
  <si>
    <r>
      <rPr>
        <sz val="11"/>
        <color rgb="FF000000"/>
        <rFont val="Calibri"/>
      </rPr>
      <t>Run the following command to edit the sudo settings:</t>
    </r>
    <r>
      <rPr>
        <sz val="11"/>
        <color rgb="FF000000"/>
        <rFont val="Calibri"/>
      </rPr>
      <t xml:space="preserve">
</t>
    </r>
    <r>
      <rPr>
        <sz val="11"/>
        <color rgb="FF006096"/>
        <rFont val="Roboto Condensed"/>
      </rPr>
      <t>% /usr/bin/sudo /usr/sbin/visudo -f /etc/sudoers.d/&lt;configuration file name&gt;</t>
    </r>
    <r>
      <rPr>
        <sz val="11"/>
        <color rgb="FF006096"/>
        <rFont val="Roboto Condensed"/>
      </rPr>
      <t xml:space="preserve">
</t>
    </r>
    <r>
      <rPr>
        <sz val="11"/>
        <color rgb="FF000000"/>
        <rFont val="Calibri"/>
      </rPr>
      <t xml:space="preserve">
</t>
    </r>
    <r>
      <rPr>
        <i/>
        <sz val="11"/>
        <color rgb="FF000000"/>
        <rFont val="Calibri"/>
      </rPr>
      <t>example:</t>
    </r>
    <r>
      <rPr>
        <sz val="11"/>
        <color rgb="FF000000"/>
        <rFont val="Calibri"/>
      </rPr>
      <t xml:space="preserve"> </t>
    </r>
    <r>
      <rPr>
        <b/>
        <sz val="11"/>
        <color rgb="FF000000"/>
        <rFont val="Calibri"/>
      </rPr>
      <t>% /usr/bin/sudo /usr/sbin/visudo -f /etc/sudoers.d/10_cissudoconfiguration</t>
    </r>
    <r>
      <rPr>
        <sz val="11"/>
        <color rgb="FF000000"/>
        <rFont val="Calibri"/>
      </rPr>
      <t xml:space="preserve">
</t>
    </r>
    <r>
      <rPr>
        <b/>
        <sz val="11"/>
        <color rgb="FF000000"/>
        <rFont val="Calibri"/>
      </rPr>
      <t>Note:</t>
    </r>
    <r>
      <rPr>
        <sz val="11"/>
        <color rgb="FF000000"/>
        <rFont val="Calibri"/>
      </rPr>
      <t xml:space="preserve"> Unlike other Unix and/or Linux distros, macOS will ignore configuration files in the sudoers.d folder that contain a </t>
    </r>
    <r>
      <rPr>
        <b/>
        <sz val="11"/>
        <color rgb="FF000000"/>
        <rFont val="Calibri"/>
      </rPr>
      <t>.</t>
    </r>
    <r>
      <rPr>
        <sz val="11"/>
        <color rgb="FF000000"/>
        <rFont val="Calibri"/>
      </rPr>
      <t xml:space="preserve"> so do not add a file extension to the configuration file.</t>
    </r>
    <r>
      <rPr>
        <sz val="11"/>
        <color rgb="FF000000"/>
        <rFont val="Calibri"/>
      </rPr>
      <t xml:space="preserve">
</t>
    </r>
    <r>
      <rPr>
        <sz val="11"/>
        <color rgb="FF000000"/>
        <rFont val="Calibri"/>
      </rPr>
      <t xml:space="preserve">Add the line </t>
    </r>
    <r>
      <rPr>
        <b/>
        <sz val="11"/>
        <color rgb="FF000000"/>
        <rFont val="Calibri"/>
      </rPr>
      <t>Defaults timestamp_type=tty</t>
    </r>
    <r>
      <rPr>
        <sz val="11"/>
        <color rgb="FF000000"/>
        <rFont val="Calibri"/>
      </rPr>
      <t xml:space="preserve"> to the configuration file.</t>
    </r>
    <r>
      <rPr>
        <sz val="11"/>
        <color rgb="FF000000"/>
        <rFont val="Calibri"/>
      </rPr>
      <t xml:space="preserve">
</t>
    </r>
    <r>
      <rPr>
        <b/>
        <sz val="11"/>
        <color rgb="FF000000"/>
        <rFont val="Calibri"/>
      </rPr>
      <t>Note:</t>
    </r>
    <r>
      <rPr>
        <sz val="11"/>
        <color rgb="FF000000"/>
        <rFont val="Calibri"/>
      </rPr>
      <t xml:space="preserve"> The </t>
    </r>
    <r>
      <rPr>
        <b/>
        <sz val="11"/>
        <color rgb="FF000000"/>
        <rFont val="Calibri"/>
      </rPr>
      <t>Defaults timestamp_type=tty</t>
    </r>
    <r>
      <rPr>
        <sz val="11"/>
        <color rgb="FF000000"/>
        <rFont val="Calibri"/>
      </rPr>
      <t xml:space="preserve"> line can be added to an existing configuration file or a new one. That will depend on your organization's preference and works either way.</t>
    </r>
  </si>
  <si>
    <r>
      <rPr>
        <sz val="11"/>
        <color rgb="FF000000"/>
        <rFont val="Calibri"/>
      </rPr>
      <t>Using tty tickets ensures that a user must enter the sudo password in each Terminal session.</t>
    </r>
    <r>
      <rPr>
        <sz val="11"/>
        <color rgb="FF000000"/>
        <rFont val="Calibri"/>
      </rPr>
      <t xml:space="preserve">
</t>
    </r>
    <r>
      <rPr>
        <sz val="11"/>
        <color rgb="FF000000"/>
        <rFont val="Calibri"/>
      </rPr>
      <t>With sudo versions 1.8 and higher, introduced in 10.12, the default value is to have tty tickets for each interface so that root access is limited to a specific terminal. The default configuration can be overwritten or not configured correctly on earlier versions of macOS.</t>
    </r>
  </si>
  <si>
    <r>
      <rPr>
        <sz val="11"/>
        <color rgb="FF000000"/>
        <rFont val="Calibri"/>
      </rPr>
      <t>This control should have no user impact. Developers or installers may have issues if background processes are spawned with different interfaces than where sudo was executed.</t>
    </r>
  </si>
  <si>
    <r>
      <rPr>
        <sz val="11"/>
        <color rgb="FF000000"/>
        <rFont val="Calibri"/>
      </rPr>
      <t>Run the following commands to verify that the default sudoers controls are in place with explicit tickets per tty:</t>
    </r>
    <r>
      <rPr>
        <sz val="11"/>
        <color rgb="FF000000"/>
        <rFont val="Calibri"/>
      </rPr>
      <t xml:space="preserve">
</t>
    </r>
    <r>
      <rPr>
        <sz val="11"/>
        <color rgb="FF006096"/>
        <rFont val="Roboto Condensed"/>
      </rPr>
      <t>% /usr/bin/sudo /usr/bin/sudo -V | /usr/bin/grep -c "Type of authentication timestamp record: tty"</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</si>
  <si>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If no value is set, the default value of tty_tickets enabled will be used.</t>
    </r>
  </si>
  <si>
    <t>5.5</t>
  </si>
  <si>
    <r>
      <rPr>
        <sz val="11"/>
        <rFont val="Calibri"/>
      </rPr>
      <t xml:space="preserve">Ensure the </t>
    </r>
    <r>
      <rPr>
        <sz val="11"/>
        <color rgb="FF000000"/>
        <rFont val="Calibri"/>
      </rPr>
      <t>"</t>
    </r>
    <r>
      <rPr>
        <b/>
        <sz val="11"/>
        <color rgb="FF000000"/>
        <rFont val="Calibri"/>
      </rPr>
      <t>root</t>
    </r>
    <r>
      <rPr>
        <sz val="11"/>
        <color rgb="FF000000"/>
        <rFont val="Calibri"/>
      </rPr>
      <t>"</t>
    </r>
    <r>
      <rPr>
        <sz val="11"/>
        <color rgb="FF000000"/>
        <rFont val="Calibri"/>
      </rPr>
      <t xml:space="preserve"> Account Is Disabled</t>
    </r>
  </si>
  <si>
    <r>
      <rPr>
        <sz val="11"/>
        <color rgb="FF000000"/>
        <rFont val="Calibri"/>
      </rPr>
      <t>Run the following command to disable the root user:</t>
    </r>
    <r>
      <rPr>
        <sz val="11"/>
        <color rgb="FF000000"/>
        <rFont val="Calibri"/>
      </rPr>
      <t xml:space="preserve">
</t>
    </r>
    <r>
      <rPr>
        <sz val="11"/>
        <color rgb="FF006096"/>
        <rFont val="Roboto Condensed"/>
      </rPr>
      <t>% /usr/bin/sudo /usr/sbin/dsenableroot -d</t>
    </r>
    <r>
      <rPr>
        <sz val="11"/>
        <color rgb="FF006096"/>
        <rFont val="Roboto Condensed"/>
      </rPr>
      <t xml:space="preserve">
</t>
    </r>
    <r>
      <rPr>
        <sz val="11"/>
        <color rgb="FF006096"/>
        <rFont val="Roboto Condensed"/>
      </rPr>
      <t>username = root</t>
    </r>
    <r>
      <rPr>
        <sz val="11"/>
        <color rgb="FF006096"/>
        <rFont val="Roboto Condensed"/>
      </rPr>
      <t xml:space="preserve">
</t>
    </r>
    <r>
      <rPr>
        <sz val="11"/>
        <color rgb="FF006096"/>
        <rFont val="Roboto Condensed"/>
      </rPr>
      <t>user password:</t>
    </r>
    <r>
      <rPr>
        <sz val="11"/>
        <color rgb="FF006096"/>
        <rFont val="Roboto Condensed"/>
      </rPr>
      <t xml:space="preserve">
</t>
    </r>
  </si>
  <si>
    <r>
      <rPr>
        <sz val="11"/>
        <color rgb="FF000000"/>
        <rFont val="Calibri"/>
      </rPr>
      <t>The root account is a superuser account that has access privileges to perform any actions and read/write to any file on the computer. With some versions of Linux, the system administrator may commonly use the root account to perform administrative functions.</t>
    </r>
  </si>
  <si>
    <r>
      <rPr>
        <sz val="11"/>
        <color rgb="FF000000"/>
        <rFont val="Calibri"/>
      </rPr>
      <t>Some legacy POSIX software might expect an available root account.</t>
    </r>
  </si>
  <si>
    <r>
      <rPr>
        <sz val="11"/>
        <color rgb="FF000000"/>
        <rFont val="Calibri"/>
      </rPr>
      <t>Run the following command to verify the the root user has not been enabled:</t>
    </r>
    <r>
      <rPr>
        <sz val="11"/>
        <color rgb="FF000000"/>
        <rFont val="Calibri"/>
      </rPr>
      <t xml:space="preserve">
</t>
    </r>
    <r>
      <rPr>
        <sz val="11"/>
        <color rgb="FF006096"/>
        <rFont val="Roboto Condensed"/>
      </rPr>
      <t>% /usr/bin/sudo /usr/bin/dscl . -read /Users/root AuthenticationAuthority</t>
    </r>
    <r>
      <rPr>
        <sz val="11"/>
        <color rgb="FF006096"/>
        <rFont val="Roboto Condensed"/>
      </rPr>
      <t xml:space="preserve">
</t>
    </r>
    <r>
      <rPr>
        <sz val="11"/>
        <color rgb="FF006096"/>
        <rFont val="Roboto Condensed"/>
      </rPr>
      <t xml:space="preserve">No such key: AuthenticationAuthority  </t>
    </r>
    <r>
      <rPr>
        <sz val="11"/>
        <color rgb="FF006096"/>
        <rFont val="Roboto Condensed"/>
      </rPr>
      <t xml:space="preserve">
</t>
    </r>
  </si>
  <si>
    <t>5.6</t>
  </si>
  <si>
    <r>
      <rPr>
        <sz val="11"/>
        <rFont val="Calibri"/>
      </rPr>
      <t>Ensure an Administrator Account Cannot Login to Another User</t>
    </r>
    <r>
      <rPr>
        <sz val="11"/>
        <color rgb="FF000000"/>
        <rFont val="Calibri"/>
      </rPr>
      <t>'</t>
    </r>
    <r>
      <rPr>
        <sz val="11"/>
        <color rgb="FF000000"/>
        <rFont val="Calibri"/>
      </rPr>
      <t>s Active and Locked Session</t>
    </r>
  </si>
  <si>
    <r>
      <rPr>
        <sz val="11"/>
        <color rgb="FF000000"/>
        <rFont val="Calibri"/>
      </rPr>
      <t>Run the following command to disable a user logging into another user's active and/or locked session:</t>
    </r>
    <r>
      <rPr>
        <sz val="11"/>
        <color rgb="FF000000"/>
        <rFont val="Calibri"/>
      </rPr>
      <t xml:space="preserve">
</t>
    </r>
    <r>
      <rPr>
        <sz val="11"/>
        <color rgb="FF006096"/>
        <rFont val="Roboto Condensed"/>
      </rPr>
      <t>% /usr/bin/sudo /usr/bin/security authorizationdb write system.login.screensaver authenticate-session-owner</t>
    </r>
    <r>
      <rPr>
        <sz val="11"/>
        <color rgb="FF006096"/>
        <rFont val="Roboto Condensed"/>
      </rPr>
      <t xml:space="preserve">
</t>
    </r>
    <r>
      <rPr>
        <sz val="11"/>
        <color rgb="FF006096"/>
        <rFont val="Roboto Condensed"/>
      </rPr>
      <t>YES (0)</t>
    </r>
    <r>
      <rPr>
        <sz val="11"/>
        <color rgb="FF006096"/>
        <rFont val="Roboto Condensed"/>
      </rPr>
      <t xml:space="preserve">
</t>
    </r>
  </si>
  <si>
    <r>
      <rPr>
        <sz val="11"/>
        <color rgb="FF000000"/>
        <rFont val="Calibri"/>
      </rPr>
      <t>macOS has a privilege that can be granted to any user that will allow that user to unlock active users' sessions.</t>
    </r>
  </si>
  <si>
    <r>
      <rPr>
        <sz val="11"/>
        <color rgb="FF000000"/>
        <rFont val="Calibri"/>
      </rPr>
      <t>While Fast user switching is a workaround for some lab environments, especially where there is even less of an expectation of privacy, this setting change may impact some maintenance workflows.</t>
    </r>
  </si>
  <si>
    <r>
      <rPr>
        <sz val="11"/>
        <color rgb="FF000000"/>
        <rFont val="Calibri"/>
      </rPr>
      <t>Run the following command to verify that a user cannot log into another user's active and/or locked session:</t>
    </r>
    <r>
      <rPr>
        <sz val="11"/>
        <color rgb="FF000000"/>
        <rFont val="Calibri"/>
      </rPr>
      <t xml:space="preserve">
</t>
    </r>
    <r>
      <rPr>
        <sz val="11"/>
        <color rgb="FF006096"/>
        <rFont val="Roboto Condensed"/>
      </rPr>
      <t xml:space="preserve">% /usr/bin/sudo /usr/bin/security authorizationdb read system.login.screensaver 2&gt;&amp;1 | /usr/bin/grep -c 'authenticate-session-owner' </t>
    </r>
    <r>
      <rPr>
        <sz val="11"/>
        <color rgb="FF006096"/>
        <rFont val="Roboto Condensed"/>
      </rPr>
      <t xml:space="preserve">
</t>
    </r>
    <r>
      <rPr>
        <sz val="11"/>
        <color rgb="FF006096"/>
        <rFont val="Roboto Condensed"/>
      </rPr>
      <t>1</t>
    </r>
    <r>
      <rPr>
        <sz val="11"/>
        <color rgb="FF006096"/>
        <rFont val="Roboto Condensed"/>
      </rPr>
      <t xml:space="preserve">
</t>
    </r>
  </si>
  <si>
    <t>5.7</t>
  </si>
  <si>
    <r>
      <rPr>
        <sz val="11"/>
        <rFont val="Calibri"/>
      </rPr>
      <t>Ensure a Login Window Banner Exists</t>
    </r>
  </si>
  <si>
    <r>
      <rPr>
        <sz val="11"/>
        <color rgb="FF000000"/>
        <rFont val="Calibri"/>
      </rPr>
      <t>Run the following commands to create or edit the login window text and set the proper permissions:</t>
    </r>
    <r>
      <rPr>
        <sz val="11"/>
        <color rgb="FF000000"/>
        <rFont val="Calibri"/>
      </rPr>
      <t xml:space="preserve">
</t>
    </r>
    <r>
      <rPr>
        <sz val="11"/>
        <color rgb="FF000000"/>
        <rFont val="Calibri"/>
      </rPr>
      <t xml:space="preserve">Edit (or create) a </t>
    </r>
    <r>
      <rPr>
        <b/>
        <sz val="11"/>
        <color rgb="FF000000"/>
        <rFont val="Calibri"/>
      </rPr>
      <t>PolicyBanner.txt</t>
    </r>
    <r>
      <rPr>
        <sz val="11"/>
        <color rgb="FF000000"/>
        <rFont val="Calibri"/>
      </rPr>
      <t xml:space="preserve"> or </t>
    </r>
    <r>
      <rPr>
        <b/>
        <sz val="11"/>
        <color rgb="FF000000"/>
        <rFont val="Calibri"/>
      </rPr>
      <t>PolicyBanner.rtf</t>
    </r>
    <r>
      <rPr>
        <sz val="11"/>
        <color rgb="FF000000"/>
        <rFont val="Calibri"/>
      </rPr>
      <t xml:space="preserve"> file, in the </t>
    </r>
    <r>
      <rPr>
        <b/>
        <sz val="11"/>
        <color rgb="FF000000"/>
        <rFont val="Calibri"/>
      </rPr>
      <t>/Library/Security/</t>
    </r>
    <r>
      <rPr>
        <sz val="11"/>
        <color rgb="FF000000"/>
        <rFont val="Calibri"/>
      </rPr>
      <t xml:space="preserve"> folder, to include the required login window banner text.</t>
    </r>
    <r>
      <rPr>
        <sz val="11"/>
        <color rgb="FF000000"/>
        <rFont val="Calibri"/>
      </rPr>
      <t xml:space="preserve">
</t>
    </r>
    <r>
      <rPr>
        <sz val="11"/>
        <color rgb="FF000000"/>
        <rFont val="Calibri"/>
      </rPr>
      <t>Perform the following to set permissions on the policy banner file:</t>
    </r>
    <r>
      <rPr>
        <sz val="11"/>
        <color rgb="FF000000"/>
        <rFont val="Calibri"/>
      </rPr>
      <t xml:space="preserve">
</t>
    </r>
    <r>
      <rPr>
        <sz val="11"/>
        <color rgb="FF006096"/>
        <rFont val="Roboto Condensed"/>
      </rPr>
      <t>% /usr/bin/sudo /usr/sbin/chown o+r /Library/Security/PolicyBanner.txt</t>
    </r>
    <r>
      <rPr>
        <sz val="11"/>
        <color rgb="FF006096"/>
        <rFont val="Roboto Condensed"/>
      </rPr>
      <t xml:space="preserve">
</t>
    </r>
    <r>
      <rPr>
        <sz val="11"/>
        <color rgb="FF006096"/>
        <rFont val="Roboto Condensed"/>
      </rPr>
      <t xml:space="preserve">% /usr/bin/sudo /usr/sbin/chown o+r /Library/Security/PolicyBanner.rtf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If your organization uses an </t>
    </r>
    <r>
      <rPr>
        <b/>
        <sz val="11"/>
        <color rgb="FF000000"/>
        <rFont val="Calibri"/>
      </rPr>
      <t>.rtfd</t>
    </r>
    <r>
      <rPr>
        <sz val="11"/>
        <color rgb="FF000000"/>
        <rFont val="Calibri"/>
      </rPr>
      <t xml:space="preserve"> file to set the policy banner, run </t>
    </r>
    <r>
      <rPr>
        <b/>
        <sz val="11"/>
        <color rgb="FF000000"/>
        <rFont val="Calibri"/>
      </rPr>
      <t>% /usr/bin/sudo /usr/sbin/chown -R o+rx /Library/Security/PolicyBanner.rtfd</t>
    </r>
    <r>
      <rPr>
        <sz val="11"/>
        <color rgb="FF000000"/>
        <rFont val="Calibri"/>
      </rPr>
      <t xml:space="preserve"> to update the permissions.</t>
    </r>
  </si>
  <si>
    <r>
      <rPr>
        <sz val="11"/>
        <color rgb="FF000000"/>
        <rFont val="Calibri"/>
      </rPr>
      <t xml:space="preserve">A Login window banner warning informs the user that the system is reserved for authorized use only. It enforces an acknowledgment by the user that they have been informed of the use policy in the banner if required. The system recognizes either the </t>
    </r>
    <r>
      <rPr>
        <b/>
        <sz val="11"/>
        <color rgb="FF000000"/>
        <rFont val="Calibri"/>
      </rPr>
      <t>.txt</t>
    </r>
    <r>
      <rPr>
        <sz val="11"/>
        <color rgb="FF000000"/>
        <rFont val="Calibri"/>
      </rPr>
      <t xml:space="preserve"> and the </t>
    </r>
    <r>
      <rPr>
        <b/>
        <sz val="11"/>
        <color rgb="FF000000"/>
        <rFont val="Calibri"/>
      </rPr>
      <t>.rtf</t>
    </r>
    <r>
      <rPr>
        <sz val="11"/>
        <color rgb="FF000000"/>
        <rFont val="Calibri"/>
      </rPr>
      <t xml:space="preserve"> formats.</t>
    </r>
  </si>
  <si>
    <r>
      <rPr>
        <sz val="11"/>
        <color rgb="FF000000"/>
        <rFont val="Calibri"/>
      </rPr>
      <t>Users will have to click on the window with the Login text before logging into the computer.</t>
    </r>
  </si>
  <si>
    <r>
      <rPr>
        <sz val="11"/>
        <color rgb="FF000000"/>
        <rFont val="Calibri"/>
      </rPr>
      <t>Run the following command to verify the login window text:</t>
    </r>
    <r>
      <rPr>
        <sz val="11"/>
        <color rgb="FF000000"/>
        <rFont val="Calibri"/>
      </rPr>
      <t xml:space="preserve">
</t>
    </r>
    <r>
      <rPr>
        <sz val="11"/>
        <color rgb="FF006096"/>
        <rFont val="Roboto Condensed"/>
      </rPr>
      <t>% /usr/bin/sudo /bin/cat /Library/Security/PolicyBanner.*</t>
    </r>
    <r>
      <rPr>
        <sz val="11"/>
        <color rgb="FF006096"/>
        <rFont val="Roboto Condensed"/>
      </rPr>
      <t xml:space="preserve">
</t>
    </r>
    <r>
      <rPr>
        <sz val="11"/>
        <color rgb="FF000000"/>
        <rFont val="Calibri"/>
      </rPr>
      <t xml:space="preserve">
</t>
    </r>
    <r>
      <rPr>
        <sz val="11"/>
        <color rgb="FF000000"/>
        <rFont val="Calibri"/>
      </rPr>
      <t xml:space="preserve">If the output includes </t>
    </r>
    <r>
      <rPr>
        <b/>
        <sz val="11"/>
        <color rgb="FF000000"/>
        <rFont val="Calibri"/>
      </rPr>
      <t>no matches found: /Library/Security/PolicyBanner.*</t>
    </r>
    <r>
      <rPr>
        <sz val="11"/>
        <color rgb="FF000000"/>
        <rFont val="Calibri"/>
      </rPr>
      <t xml:space="preserve"> the system is not compliant.</t>
    </r>
    <r>
      <rPr>
        <sz val="11"/>
        <color rgb="FF000000"/>
        <rFont val="Calibri"/>
      </rPr>
      <t xml:space="preserve">
</t>
    </r>
    <r>
      <rPr>
        <sz val="11"/>
        <color rgb="FF000000"/>
        <rFont val="Calibri"/>
      </rPr>
      <t>Run the following to verify permissions of the policy banner file:</t>
    </r>
    <r>
      <rPr>
        <sz val="11"/>
        <color rgb="FF000000"/>
        <rFont val="Calibri"/>
      </rPr>
      <t xml:space="preserve">
</t>
    </r>
    <r>
      <rPr>
        <sz val="11"/>
        <color rgb="FF006096"/>
        <rFont val="Roboto Condensed"/>
      </rPr>
      <t xml:space="preserve">% /usr/bin/stat -f %A /Library/Security/PolicyBanner.* </t>
    </r>
    <r>
      <rPr>
        <sz val="11"/>
        <color rgb="FF006096"/>
        <rFont val="Roboto Condensed"/>
      </rPr>
      <t xml:space="preserve">
</t>
    </r>
    <r>
      <rPr>
        <sz val="11"/>
        <color rgb="FF000000"/>
        <rFont val="Calibri"/>
      </rPr>
      <t xml:space="preserve">
</t>
    </r>
    <r>
      <rPr>
        <sz val="11"/>
        <color rgb="FF000000"/>
        <rFont val="Calibri"/>
      </rPr>
      <t xml:space="preserve">The output should have </t>
    </r>
    <r>
      <rPr>
        <b/>
        <sz val="11"/>
        <color rgb="FF000000"/>
        <rFont val="Calibri"/>
      </rPr>
      <t>4</t>
    </r>
    <r>
      <rPr>
        <sz val="11"/>
        <color rgb="FF000000"/>
        <rFont val="Calibri"/>
      </rPr>
      <t xml:space="preserve"> as the 3rd digit.</t>
    </r>
    <r>
      <rPr>
        <sz val="11"/>
        <color rgb="FF000000"/>
        <rFont val="Calibri"/>
      </rPr>
      <t xml:space="preserve">
</t>
    </r>
    <r>
      <rPr>
        <sz val="11"/>
        <color rgb="FF000000"/>
        <rFont val="Calibri"/>
      </rPr>
      <t>If there is an output, then the policy banner will not display.</t>
    </r>
    <r>
      <rPr>
        <sz val="11"/>
        <color rgb="FF000000"/>
        <rFont val="Calibri"/>
      </rPr>
      <t xml:space="preserve">
</t>
    </r>
    <r>
      <rPr>
        <i/>
        <sz val="11"/>
        <color rgb="FF000000"/>
        <rFont val="Calibri"/>
      </rPr>
      <t>example</t>
    </r>
    <r>
      <rPr>
        <sz val="11"/>
        <color rgb="FF000000"/>
        <rFont val="Calibri"/>
      </rPr>
      <t>:</t>
    </r>
    <r>
      <rPr>
        <sz val="11"/>
        <color rgb="FF000000"/>
        <rFont val="Calibri"/>
      </rPr>
      <t xml:space="preserve">
</t>
    </r>
    <r>
      <rPr>
        <sz val="11"/>
        <color rgb="FF006096"/>
        <rFont val="Roboto Condensed"/>
      </rPr>
      <t>% /usr/bin/sudo /bin/cat /Library/Security/PolicyBanner.txt</t>
    </r>
    <r>
      <rPr>
        <sz val="11"/>
        <color rgb="FF006096"/>
        <rFont val="Roboto Condensed"/>
      </rPr>
      <t xml:space="preserve">
</t>
    </r>
    <r>
      <rPr>
        <sz val="11"/>
        <color rgb="FF006096"/>
        <rFont val="Roboto Condensed"/>
      </rPr>
      <t>Center for Internet Security Test Message</t>
    </r>
    <r>
      <rPr>
        <sz val="11"/>
        <color rgb="FF006096"/>
        <rFont val="Roboto Condensed"/>
      </rPr>
      <t xml:space="preserve">
</t>
    </r>
    <r>
      <rPr>
        <sz val="11"/>
        <color rgb="FF006096"/>
        <rFont val="Roboto Condensed"/>
      </rPr>
      <t>% /usr/bin/sudo /bin/cat /Library/Security/PolicyBanner.rtf</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t>
    </r>
    <r>
      <rPr>
        <sz val="11"/>
        <color rgb="FF006096"/>
        <rFont val="Roboto Condensed"/>
      </rPr>
      <t xml:space="preserve">
</t>
    </r>
    <r>
      <rPr>
        <sz val="11"/>
        <color rgb="FF006096"/>
        <rFont val="Roboto Condensed"/>
      </rPr>
      <t>% /usr/bin/sudo /bin/cat /Library/Security/PolicyBanner.*</t>
    </r>
    <r>
      <rPr>
        <sz val="11"/>
        <color rgb="FF006096"/>
        <rFont val="Roboto Condensed"/>
      </rPr>
      <t xml:space="preserve">
</t>
    </r>
    <r>
      <rPr>
        <sz val="11"/>
        <color rgb="FF006096"/>
        <rFont val="Roboto Condensed"/>
      </rPr>
      <t>{\rtf1\ansi\ansicpg1252\cocoartf1561\cocoasubrtf610</t>
    </r>
    <r>
      <rPr>
        <sz val="11"/>
        <color rgb="FF006096"/>
        <rFont val="Roboto Condensed"/>
      </rPr>
      <t xml:space="preserve">
</t>
    </r>
    <r>
      <rPr>
        <sz val="11"/>
        <color rgb="FF006096"/>
        <rFont val="Roboto Condensed"/>
      </rPr>
      <t>{\fonttbl\f0\fswiss\fcharset0 Helvetica;}</t>
    </r>
    <r>
      <rPr>
        <sz val="11"/>
        <color rgb="FF006096"/>
        <rFont val="Roboto Condensed"/>
      </rPr>
      <t xml:space="preserve">
</t>
    </r>
    <r>
      <rPr>
        <sz val="11"/>
        <color rgb="FF006096"/>
        <rFont val="Roboto Condensed"/>
      </rPr>
      <t>{\colortbl;\red255\green255\blue255;}</t>
    </r>
    <r>
      <rPr>
        <sz val="11"/>
        <color rgb="FF006096"/>
        <rFont val="Roboto Condensed"/>
      </rPr>
      <t xml:space="preserve">
</t>
    </r>
    <r>
      <rPr>
        <sz val="11"/>
        <color rgb="FF006096"/>
        <rFont val="Roboto Condensed"/>
      </rPr>
      <t>{\*\expandedcolortbl;;}</t>
    </r>
    <r>
      <rPr>
        <sz val="11"/>
        <color rgb="FF006096"/>
        <rFont val="Roboto Condensed"/>
      </rPr>
      <t xml:space="preserve">
</t>
    </r>
    <r>
      <rPr>
        <sz val="11"/>
        <color rgb="FF006096"/>
        <rFont val="Roboto Condensed"/>
      </rPr>
      <t>\margl1440\margr1440\vieww10800\viewh8400\viewkind0</t>
    </r>
    <r>
      <rPr>
        <sz val="11"/>
        <color rgb="FF006096"/>
        <rFont val="Roboto Condensed"/>
      </rPr>
      <t xml:space="preserve">
</t>
    </r>
    <r>
      <rPr>
        <sz val="11"/>
        <color rgb="FF006096"/>
        <rFont val="Roboto Condensed"/>
      </rPr>
      <t>\pard\tx566\tx1133\tx1700\tx2267\tx2834\tx3401\tx3968\tx4535\tx5102\tx5669\tx6236\tx6803\pardirnatural\partightenfactor0</t>
    </r>
    <r>
      <rPr>
        <sz val="11"/>
        <color rgb="FF006096"/>
        <rFont val="Roboto Condensed"/>
      </rPr>
      <t xml:space="preserve">
</t>
    </r>
    <r>
      <rPr>
        <sz val="11"/>
        <color rgb="FF006096"/>
        <rFont val="Roboto Condensed"/>
      </rPr>
      <t>\f0\fs24 \cf0 Center for Internet Security Test Message}Center for Internet Security Test Message</t>
    </r>
    <r>
      <rPr>
        <sz val="11"/>
        <color rgb="FF006096"/>
        <rFont val="Roboto Condensed"/>
      </rPr>
      <t xml:space="preserve">
</t>
    </r>
    <r>
      <rPr>
        <sz val="11"/>
        <color rgb="FF006096"/>
        <rFont val="Roboto Condensed"/>
      </rPr>
      <t xml:space="preserve">% /usr/bin/sudo stat -f %A /Library/Security/PolicyBanner.*   </t>
    </r>
    <r>
      <rPr>
        <sz val="11"/>
        <color rgb="FF006096"/>
        <rFont val="Roboto Condensed"/>
      </rPr>
      <t xml:space="preserve">
</t>
    </r>
    <r>
      <rPr>
        <sz val="11"/>
        <color rgb="FF006096"/>
        <rFont val="Roboto Condensed"/>
      </rPr>
      <t>644</t>
    </r>
    <r>
      <rPr>
        <sz val="11"/>
        <color rgb="FF006096"/>
        <rFont val="Roboto Condensed"/>
      </rPr>
      <t xml:space="preserve">
</t>
    </r>
  </si>
  <si>
    <t>5.8</t>
  </si>
  <si>
    <r>
      <rPr>
        <sz val="11"/>
        <rFont val="Calibri"/>
      </rPr>
      <t>Ensure the Guest Home Folder Does Not Exist</t>
    </r>
  </si>
  <si>
    <r>
      <rPr>
        <sz val="11"/>
        <color rgb="FF000000"/>
        <rFont val="Calibri"/>
      </rPr>
      <t>Run the following command to remove the Guest user home folder:</t>
    </r>
    <r>
      <rPr>
        <sz val="11"/>
        <color rgb="FF000000"/>
        <rFont val="Calibri"/>
      </rPr>
      <t xml:space="preserve">
</t>
    </r>
    <r>
      <rPr>
        <sz val="11"/>
        <color rgb="FF006096"/>
        <rFont val="Roboto Condensed"/>
      </rPr>
      <t xml:space="preserve">% /usr/bin/sudo /bin/rm -R /Users/Guest </t>
    </r>
    <r>
      <rPr>
        <sz val="11"/>
        <color rgb="FF006096"/>
        <rFont val="Roboto Condensed"/>
      </rPr>
      <t xml:space="preserve">
</t>
    </r>
  </si>
  <si>
    <r>
      <rPr>
        <sz val="11"/>
        <color rgb="FF000000"/>
        <rFont val="Calibri"/>
      </rPr>
      <t>In the previous two controls, the guest account login has been disabled and sharing to guests has been disabled, as well. There is no need for the legacy Guest home folder to remain in the file system. When normal user accounts are removed, you have the option to archive it, leave it in place, or delete. In the case of the guest folder, the folder remains in place without a GUI option to remove it. If at some point in the future a Guest account is needed, it will be re-created. The presence of the Guest home folder can cause automated audits to fail when looking for compliant settings within all User folders, as well. Rather than ignoring the folder's continued existence, it is best removed.</t>
    </r>
  </si>
  <si>
    <r>
      <rPr>
        <sz val="11"/>
        <color rgb="FF000000"/>
        <rFont val="Calibri"/>
      </rPr>
      <t>The Guest account should not be necessary after it is disabled, and it will be automatically re-created if the Guest account is re-enabled</t>
    </r>
  </si>
  <si>
    <r>
      <rPr>
        <sz val="11"/>
        <color rgb="FF000000"/>
        <rFont val="Calibri"/>
      </rPr>
      <t>Run the following command to verify if the Guest user home folder exists:</t>
    </r>
    <r>
      <rPr>
        <sz val="11"/>
        <color rgb="FF000000"/>
        <rFont val="Calibri"/>
      </rPr>
      <t xml:space="preserve">
</t>
    </r>
    <r>
      <rPr>
        <sz val="11"/>
        <color rgb="FF006096"/>
        <rFont val="Roboto Condensed"/>
      </rPr>
      <t xml:space="preserve">% /usr/bin/sudo /bin/ls /Users/ | /usr/bin/grep Guest </t>
    </r>
    <r>
      <rPr>
        <sz val="11"/>
        <color rgb="FF006096"/>
        <rFont val="Roboto Condensed"/>
      </rPr>
      <t xml:space="preserve">
</t>
    </r>
  </si>
  <si>
    <t>5.9</t>
  </si>
  <si>
    <r>
      <rPr>
        <sz val="11"/>
        <rFont val="Calibri"/>
      </rPr>
      <t>Ensure XProtect Is Running and Updated</t>
    </r>
  </si>
  <si>
    <r>
      <rPr>
        <sz val="11"/>
        <color rgb="FF000000"/>
        <rFont val="Calibri"/>
      </rPr>
      <t>Run the following command to enable and update XProtect:</t>
    </r>
    <r>
      <rPr>
        <sz val="11"/>
        <color rgb="FF000000"/>
        <rFont val="Calibri"/>
      </rPr>
      <t xml:space="preserve">
</t>
    </r>
    <r>
      <rPr>
        <sz val="11"/>
        <color rgb="FF006096"/>
        <rFont val="Roboto Condensed"/>
      </rPr>
      <t>% /usr/bin/sudo /bin/launchctl load -w /Library/Apple/System/Library/LaunchDaemons/com.apple.XProtect.daemon.scan.plist</t>
    </r>
    <r>
      <rPr>
        <sz val="11"/>
        <color rgb="FF006096"/>
        <rFont val="Roboto Condensed"/>
      </rPr>
      <t xml:space="preserve">
</t>
    </r>
    <r>
      <rPr>
        <sz val="11"/>
        <color rgb="FF006096"/>
        <rFont val="Roboto Condensed"/>
      </rPr>
      <t>% /usr/bin/sudo /bin/launchctl load -w /Library/Apple/System/Library/LaunchDaemons/com.apple.XprotectFramework.PluginService.plist</t>
    </r>
    <r>
      <rPr>
        <sz val="11"/>
        <color rgb="FF006096"/>
        <rFont val="Roboto Condensed"/>
      </rPr>
      <t xml:space="preserve">
</t>
    </r>
    <r>
      <rPr>
        <sz val="11"/>
        <color rgb="FF006096"/>
        <rFont val="Roboto Condensed"/>
      </rPr>
      <t>% /usr/bin/sudo /usr/sbin/softwareupdate -l --background-critical</t>
    </r>
    <r>
      <rPr>
        <sz val="11"/>
        <color rgb="FF006096"/>
        <rFont val="Roboto Condensed"/>
      </rPr>
      <t xml:space="preserve">
</t>
    </r>
    <r>
      <rPr>
        <sz val="11"/>
        <color rgb="FF006096"/>
        <rFont val="Roboto Condensed"/>
      </rPr>
      <t>softwareupdate[97180]: Triggering a background check with forced scan (critical and config-data updates only) ...</t>
    </r>
    <r>
      <rPr>
        <sz val="11"/>
        <color rgb="FF006096"/>
        <rFont val="Roboto Condensed"/>
      </rPr>
      <t xml:space="preserve">
</t>
    </r>
    <r>
      <rPr>
        <sz val="11"/>
        <color rgb="FF000000"/>
        <rFont val="Calibri"/>
      </rPr>
      <t xml:space="preserve">
</t>
    </r>
    <r>
      <rPr>
        <b/>
        <sz val="11"/>
        <color rgb="FF000000"/>
        <rFont val="Calibri"/>
      </rPr>
      <t>Note:</t>
    </r>
    <r>
      <rPr>
        <sz val="11"/>
        <color rgb="FF000000"/>
        <rFont val="Calibri"/>
      </rPr>
      <t xml:space="preserve"> Xprotect can only be enabled/disabled if SIP (System Integrity Protection) is disabled. If Xprotect is disabled, the system might be compromised and needs to be investigated.</t>
    </r>
  </si>
  <si>
    <r>
      <rPr>
        <sz val="11"/>
        <color rgb="FF000000"/>
        <rFont val="Calibri"/>
      </rPr>
      <t>XProtect is Apple's native signature-based antivirus technology. XProtect both finds and blocks the execution of known malware. There are many AV and Endpoint Threat Detection and Response (ETDR) tools available for Mac OS. The native Apple provisioned tool looks for specific known malware is completely integrated into the OS. No matter what other tools are being used, XProtect should have the latest signatures available.</t>
    </r>
  </si>
  <si>
    <r>
      <rPr>
        <sz val="11"/>
        <color rgb="FF000000"/>
        <rFont val="Calibri"/>
      </rPr>
      <t>Some organizations may have effective Mac OS anti-malware tools that XProtect conflicts with.</t>
    </r>
  </si>
  <si>
    <r>
      <rPr>
        <sz val="11"/>
        <color rgb="FF000000"/>
        <rFont val="Calibri"/>
      </rPr>
      <t>Run the following command to verify that XProtect is running and up-to-date:</t>
    </r>
    <r>
      <rPr>
        <sz val="11"/>
        <color rgb="FF000000"/>
        <rFont val="Calibri"/>
      </rPr>
      <t xml:space="preserve">
</t>
    </r>
    <r>
      <rPr>
        <sz val="11"/>
        <color rgb="FF006096"/>
        <rFont val="Roboto Condensed"/>
      </rPr>
      <t>% /usr/bin/sudo /bin/launchctl list | /usr/bin/grep -cE "(com.apple.XprotectFramework.PluginService$|com.apple.XProtect.daemon.scan$)"</t>
    </r>
    <r>
      <rPr>
        <sz val="11"/>
        <color rgb="FF006096"/>
        <rFont val="Roboto Condensed"/>
      </rPr>
      <t xml:space="preserve">
</t>
    </r>
    <r>
      <rPr>
        <sz val="11"/>
        <color rgb="FF000000"/>
        <rFont val="Calibri"/>
      </rPr>
      <t xml:space="preserve">
</t>
    </r>
    <r>
      <rPr>
        <sz val="11"/>
        <color rgb="FF000000"/>
        <rFont val="Calibri"/>
      </rPr>
      <t>2</t>
    </r>
    <r>
      <rPr>
        <sz val="11"/>
        <color rgb="FF000000"/>
        <rFont val="Calibri"/>
      </rPr>
      <t xml:space="preserve">
</t>
    </r>
    <r>
      <rPr>
        <b/>
        <sz val="11"/>
        <color rgb="FF000000"/>
        <rFont val="Calibri"/>
      </rPr>
      <t>Note:</t>
    </r>
    <r>
      <rPr>
        <sz val="11"/>
        <color rgb="FF000000"/>
        <rFont val="Calibri"/>
      </rPr>
      <t xml:space="preserve"> XProtect can only be disabled while SIP (System Integrity Protection) is disabled. If XProtect is disabled while SIP is enabled, there needs to be a more significant investigation on this system and assume it is compromised in some way.</t>
    </r>
    <r>
      <rPr>
        <sz val="11"/>
        <color rgb="FF000000"/>
        <rFont val="Calibri"/>
      </rPr>
      <t xml:space="preserve">
</t>
    </r>
    <r>
      <rPr>
        <sz val="11"/>
        <color rgb="FF000000"/>
        <rFont val="Calibri"/>
      </rPr>
      <t>To verify the updates to XProtect, run the following command:</t>
    </r>
    <r>
      <rPr>
        <sz val="11"/>
        <color rgb="FF000000"/>
        <rFont val="Calibri"/>
      </rPr>
      <t xml:space="preserve">
</t>
    </r>
    <r>
      <rPr>
        <sz val="11"/>
        <color rgb="FF006096"/>
        <rFont val="Roboto Condensed"/>
      </rPr>
      <t>% /usr/bin/sudo /usr/sbin/system_profiler SPInstallHistoryDataType | grep -A 5 "XProtectPlistConfigData"</t>
    </r>
    <r>
      <rPr>
        <sz val="11"/>
        <color rgb="FF006096"/>
        <rFont val="Roboto Condensed"/>
      </rPr>
      <t xml:space="preserve">
</t>
    </r>
  </si>
  <si>
    <t>5.10</t>
  </si>
  <si>
    <r>
      <rPr>
        <sz val="11"/>
        <rFont val="Calibri"/>
      </rPr>
      <t>Ensure Secure Keyboard Entry Terminal.app Is Enabled</t>
    </r>
  </si>
  <si>
    <r>
      <rPr>
        <sz val="11"/>
        <color rgb="FF000000"/>
        <rFont val="Calibri"/>
      </rPr>
      <t>Run the following command to ensure keyboard entries are secure in Terminal for every user that is non-compliant:</t>
    </r>
    <r>
      <rPr>
        <sz val="11"/>
        <color rgb="FF000000"/>
        <rFont val="Calibri"/>
      </rPr>
      <t xml:space="preserve">
</t>
    </r>
    <r>
      <rPr>
        <sz val="11"/>
        <color rgb="FF006096"/>
        <rFont val="Roboto Condensed"/>
      </rPr>
      <t>% /usr/bin/sudo -u &lt;username&gt; /usr/bin/defaults write -app Terminal SecureKeyboardEntry -bool true</t>
    </r>
    <r>
      <rPr>
        <sz val="11"/>
        <color rgb="FF006096"/>
        <rFont val="Roboto Condensed"/>
      </rPr>
      <t xml:space="preserve">
</t>
    </r>
  </si>
  <si>
    <r>
      <rPr>
        <sz val="11"/>
        <color rgb="FF000000"/>
        <rFont val="Calibri"/>
      </rPr>
      <t>Secure Keyboard Entry prevents other applications on the system and/or network from detecting and recording what is typed into Terminal. Unauthorized applications and malicious code could intercept keystrokes entered in the Terminal.</t>
    </r>
  </si>
  <si>
    <r>
      <rPr>
        <sz val="11"/>
        <color rgb="FF000000"/>
        <rFont val="Calibri"/>
      </rPr>
      <t>Enabling this in Terminal would prevent an application that is otherwise validly intercepting keyboard input from intercepting that input in Terminal.app. This could impact productivity tools.</t>
    </r>
  </si>
  <si>
    <r>
      <rPr>
        <sz val="11"/>
        <color rgb="FF000000"/>
        <rFont val="Calibri"/>
      </rPr>
      <t>For each user, run the following command to verify that keyboard entries in Terminal are secured:</t>
    </r>
    <r>
      <rPr>
        <sz val="11"/>
        <color rgb="FF000000"/>
        <rFont val="Calibri"/>
      </rPr>
      <t xml:space="preserve">
</t>
    </r>
    <r>
      <rPr>
        <sz val="11"/>
        <color rgb="FF006096"/>
        <rFont val="Roboto Condensed"/>
      </rPr>
      <t>% /usr/bin/sudo for i in $(/usr/bin/find /Users -type d -maxdepth 1);</t>
    </r>
    <r>
      <rPr>
        <sz val="11"/>
        <color rgb="FF006096"/>
        <rFont val="Roboto Condensed"/>
      </rPr>
      <t xml:space="preserve">
</t>
    </r>
    <r>
      <rPr>
        <sz val="11"/>
        <color rgb="FF006096"/>
        <rFont val="Roboto Condensed"/>
      </rPr>
      <t>do</t>
    </r>
    <r>
      <rPr>
        <sz val="11"/>
        <color rgb="FF006096"/>
        <rFont val="Roboto Condensed"/>
      </rPr>
      <t xml:space="preserve">
</t>
    </r>
    <r>
      <rPr>
        <sz val="11"/>
        <color rgb="FF006096"/>
        <rFont val="Roboto Condensed"/>
      </rPr>
      <t xml:space="preserve">  PREF=$i/Library/Preferences/com.apple.Terminal</t>
    </r>
    <r>
      <rPr>
        <sz val="11"/>
        <color rgb="FF006096"/>
        <rFont val="Roboto Condensed"/>
      </rPr>
      <t xml:space="preserve">
</t>
    </r>
    <r>
      <rPr>
        <sz val="11"/>
        <color rgb="FF006096"/>
        <rFont val="Roboto Condensed"/>
      </rPr>
      <t xml:space="preserve">  if [ -e $PREF.plist ]</t>
    </r>
    <r>
      <rPr>
        <sz val="11"/>
        <color rgb="FF006096"/>
        <rFont val="Roboto Condensed"/>
      </rPr>
      <t xml:space="preserve">
</t>
    </r>
    <r>
      <rPr>
        <sz val="11"/>
        <color rgb="FF006096"/>
        <rFont val="Roboto Condensed"/>
      </rPr>
      <t xml:space="preserve">  then</t>
    </r>
    <r>
      <rPr>
        <sz val="11"/>
        <color rgb="FF006096"/>
        <rFont val="Roboto Condensed"/>
      </rPr>
      <t xml:space="preserve">
</t>
    </r>
    <r>
      <rPr>
        <sz val="11"/>
        <color rgb="FF006096"/>
        <rFont val="Roboto Condensed"/>
      </rPr>
      <t xml:space="preserve">  echo -n "Checking User: '$i': "</t>
    </r>
    <r>
      <rPr>
        <sz val="11"/>
        <color rgb="FF006096"/>
        <rFont val="Roboto Condensed"/>
      </rPr>
      <t xml:space="preserve">
</t>
    </r>
    <r>
      <rPr>
        <sz val="11"/>
        <color rgb="FF006096"/>
        <rFont val="Roboto Condensed"/>
      </rPr>
      <t xml:space="preserve">  /usr/bin/defaults read $PREF.plist SecureKeyboardEntry              </t>
    </r>
    <r>
      <rPr>
        <sz val="11"/>
        <color rgb="FF006096"/>
        <rFont val="Roboto Condensed"/>
      </rPr>
      <t xml:space="preserve">
</t>
    </r>
    <r>
      <rPr>
        <sz val="11"/>
        <color rgb="FF006096"/>
        <rFont val="Roboto Condensed"/>
      </rPr>
      <t xml:space="preserve">  fi</t>
    </r>
    <r>
      <rPr>
        <sz val="11"/>
        <color rgb="FF006096"/>
        <rFont val="Roboto Condensed"/>
      </rPr>
      <t xml:space="preserve">
</t>
    </r>
    <r>
      <rPr>
        <sz val="11"/>
        <color rgb="FF006096"/>
        <rFont val="Roboto Condensed"/>
      </rPr>
      <t>done</t>
    </r>
    <r>
      <rPr>
        <sz val="11"/>
        <color rgb="FF006096"/>
        <rFont val="Roboto Condensed"/>
      </rPr>
      <t xml:space="preserve">
</t>
    </r>
    <r>
      <rPr>
        <sz val="11"/>
        <color rgb="FF006096"/>
        <rFont val="Roboto Condensed"/>
      </rPr>
      <t>Checking User: '/Users/&lt;username&gt;': 1</t>
    </r>
    <r>
      <rPr>
        <sz val="11"/>
        <color rgb="FF006096"/>
        <rFont val="Roboto Condensed"/>
      </rPr>
      <t xml:space="preserve">
</t>
    </r>
    <r>
      <rPr>
        <sz val="11"/>
        <color rgb="FF006096"/>
        <rFont val="Roboto Condensed"/>
      </rPr>
      <t>Checking User: '/Users/&lt;username&gt;': 0</t>
    </r>
    <r>
      <rPr>
        <sz val="11"/>
        <color rgb="FF006096"/>
        <rFont val="Roboto Condensed"/>
      </rPr>
      <t xml:space="preserve">
</t>
    </r>
    <r>
      <rPr>
        <sz val="11"/>
        <color rgb="FF000000"/>
        <rFont val="Calibri"/>
      </rPr>
      <t xml:space="preserve">
</t>
    </r>
    <r>
      <rPr>
        <sz val="11"/>
        <color rgb="FF000000"/>
        <rFont val="Calibri"/>
      </rPr>
      <t xml:space="preserve">Any user that contains the output </t>
    </r>
    <r>
      <rPr>
        <b/>
        <sz val="11"/>
        <color rgb="FF000000"/>
        <rFont val="Calibri"/>
      </rPr>
      <t>0</t>
    </r>
    <r>
      <rPr>
        <sz val="11"/>
        <color rgb="FF000000"/>
        <rFont val="Calibri"/>
      </rPr>
      <t xml:space="preserve"> is not in compliance</t>
    </r>
  </si>
  <si>
    <t>5.11</t>
  </si>
  <si>
    <r>
      <rPr>
        <sz val="11"/>
        <rFont val="Calibri"/>
      </rPr>
      <t>Ensure Show All Filename Extensions Setting is Enabled</t>
    </r>
  </si>
  <si>
    <r>
      <rPr>
        <sz val="11"/>
        <color rgb="FF000000"/>
        <rFont val="Calibri"/>
      </rPr>
      <t>Run the following command to enable displaying of file extensions:</t>
    </r>
    <r>
      <rPr>
        <sz val="11"/>
        <color rgb="FF000000"/>
        <rFont val="Calibri"/>
      </rPr>
      <t xml:space="preserve">
</t>
    </r>
    <r>
      <rPr>
        <sz val="11"/>
        <color rgb="FF006096"/>
        <rFont val="Roboto Condensed"/>
      </rPr>
      <t>% /usr/bin/sudo -u &lt;username&gt; /usr/bin/defaults write /Users/&lt;username&gt;/Library/Preferences/.GlobalPreferences.plist AppleShowAllExtensions -bool true</t>
    </r>
    <r>
      <rPr>
        <sz val="11"/>
        <color rgb="FF006096"/>
        <rFont val="Roboto Condensed"/>
      </rPr>
      <t xml:space="preserve">
</t>
    </r>
    <r>
      <rPr>
        <sz val="11"/>
        <color rgb="FF006096"/>
        <rFont val="Roboto Condensed"/>
      </rPr>
      <t>% /usr/bin/sudo killall Finder</t>
    </r>
    <r>
      <rPr>
        <sz val="11"/>
        <color rgb="FF006096"/>
        <rFont val="Roboto Condensed"/>
      </rPr>
      <t xml:space="preserve">
</t>
    </r>
  </si>
  <si>
    <r>
      <rPr>
        <sz val="11"/>
        <color rgb="FF000000"/>
        <rFont val="Calibri"/>
      </rPr>
      <t>A filename extension is a suffix added to a base filename that indicates the base filename's file format.</t>
    </r>
  </si>
  <si>
    <r>
      <rPr>
        <sz val="11"/>
        <color rgb="FF000000"/>
        <rFont val="Calibri"/>
      </rPr>
      <t>The user of the system can open files of unknown or unexpected filetypes if the extension is not visible.</t>
    </r>
  </si>
  <si>
    <r>
      <rPr>
        <sz val="11"/>
        <color rgb="FF000000"/>
        <rFont val="Calibri"/>
      </rPr>
      <t>Run the following command to verify that displaying of file extensions is enabled:</t>
    </r>
    <r>
      <rPr>
        <sz val="11"/>
        <color rgb="FF000000"/>
        <rFont val="Calibri"/>
      </rPr>
      <t xml:space="preserve">
</t>
    </r>
    <r>
      <rPr>
        <sz val="11"/>
        <color rgb="FF006096"/>
        <rFont val="Roboto Condensed"/>
      </rPr>
      <t>% /usr/bin/sudo -u &lt;username&gt; /usr/bin/defaults read /Users/&lt;username&gt;/Library/Preferences/.GlobalPreferences.plist AppleShowAllExtensions</t>
    </r>
    <r>
      <rPr>
        <sz val="11"/>
        <color rgb="FF006096"/>
        <rFont val="Roboto Condensed"/>
      </rPr>
      <t xml:space="preserve">
</t>
    </r>
    <r>
      <rPr>
        <sz val="11"/>
        <color rgb="FF006096"/>
        <rFont val="Roboto Condensed"/>
      </rPr>
      <t>1</t>
    </r>
    <r>
      <rPr>
        <sz val="11"/>
        <color rgb="FF006096"/>
        <rFont val="Roboto Condensed"/>
      </rPr>
      <t xml:space="preserve">
</t>
    </r>
  </si>
  <si>
    <r>
      <rPr>
        <sz val="11"/>
        <color rgb="FF000000"/>
        <rFont val="Calibri"/>
      </rPr>
      <t>Filename extensions are turned off by default.</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</si>
  <si>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</si>
  <si>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</si>
  <si>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</si>
  <si>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</si>
  <si>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</si>
  <si>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</si>
  <si>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</si>
  <si>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</si>
  <si>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</si>
  <si>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</si>
  <si>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</si>
  <si>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</si>
  <si>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</si>
  <si>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</si>
  <si>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</si>
  <si>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</si>
  <si>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</si>
  <si>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</si>
  <si>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</si>
  <si>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</si>
  <si>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</si>
  <si>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</si>
  <si>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</si>
  <si>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</si>
  <si>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</si>
  <si>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</si>
  <si>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</si>
  <si>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</si>
  <si>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</si>
  <si>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CIS Apple macOS 14.0 Sonoma Cloud-tailored Benchmark</t>
  </si>
  <si>
    <t>Developed By:</t>
  </si>
  <si>
    <t>Center for Internet Security (CIS)</t>
  </si>
  <si>
    <t>Release Information:</t>
  </si>
  <si>
    <r>
      <rPr>
        <b/>
        <sz val="11"/>
        <color rgb="FF000000"/>
        <rFont val="Calibri"/>
      </rPr>
      <t>Version:</t>
    </r>
    <r>
      <rPr>
        <sz val="11"/>
        <color rgb="FF000000"/>
        <rFont val="Calibri"/>
      </rPr>
      <t xml:space="preserve"> v1.1.0     </t>
    </r>
    <r>
      <rPr>
        <b/>
        <sz val="11"/>
        <color rgb="FF000000"/>
        <rFont val="Calibri"/>
      </rPr>
      <t>Date:</t>
    </r>
    <r>
      <rPr>
        <sz val="11"/>
        <color rgb="FF000000"/>
        <rFont val="Calibri"/>
      </rPr>
      <t xml:space="preserve"> 26 December 2024     </t>
    </r>
    <r>
      <rPr>
        <b/>
        <sz val="11"/>
        <color rgb="FF000000"/>
        <rFont val="Calibri"/>
      </rPr>
      <t>Recommendation Count:</t>
    </r>
    <r>
      <rPr>
        <sz val="11"/>
        <color rgb="FF000000"/>
        <rFont val="Calibri"/>
      </rPr>
      <t xml:space="preserve"> 55</t>
    </r>
  </si>
  <si>
    <t>Development Url:</t>
  </si>
  <si>
    <t>https://workbench.cisecurity.org/benchmarks/18640</t>
  </si>
  <si>
    <t>Download Url:</t>
  </si>
  <si>
    <t>https://downloads.cisecurity.org/#/</t>
  </si>
  <si>
    <t>Guide Overview:</t>
  </si>
  <si>
    <r>
      <rPr>
        <sz val="11"/>
        <color rgb="FF000000"/>
        <rFont val="Calibri"/>
      </rPr>
      <t>This benchmark, CIS Apple macOS 14.0 Sonoma Cloud-tailored Benchmark, provides prescriptive guidance for establishing a secure configuration posture for Apple macOS 14.0 Sonoma running on a cloud platform. This guide was tested against Apple macOS 14.0 Sonoma.</t>
    </r>
  </si>
  <si>
    <t>Intended Audience:</t>
  </si>
  <si>
    <r>
      <rPr>
        <sz val="11"/>
        <color rgb="FF000000"/>
        <rFont val="Calibri"/>
      </rPr>
      <t>This document is intended for system and application administrators, security specialists, auditors, help desk, and platform deployment personnel who plan to develop, deploy, assess, or secure solutions that incorporate Apple macOS 14.0 Sonoma.</t>
    </r>
  </si>
  <si>
    <t>Profiles:</t>
  </si>
  <si>
    <r>
      <rPr>
        <b/>
        <sz val="11"/>
        <color rgb="FF240458"/>
        <rFont val="Calibri"/>
      </rPr>
      <t>Level 1</t>
    </r>
  </si>
  <si>
    <r>
      <rPr>
        <sz val="11"/>
        <color rgb="FF000000"/>
        <rFont val="Calibri"/>
      </rPr>
      <t>Items in this profile intend to:</t>
    </r>
    <r>
      <rPr>
        <sz val="11"/>
        <color rgb="FF000000"/>
        <rFont val="Calibri"/>
      </rPr>
      <t xml:space="preserve">
</t>
    </r>
    <r>
      <rPr>
        <b/>
        <sz val="11"/>
        <color rgb="FF000000"/>
        <rFont val="Calibri"/>
      </rPr>
      <t>•</t>
    </r>
    <r>
      <rPr>
        <sz val="11"/>
        <color rgb="FF000000"/>
        <rFont val="Calibri"/>
      </rPr>
      <t xml:space="preserve">    be practical and prudent;</t>
    </r>
    <r>
      <rPr>
        <sz val="11"/>
        <color rgb="FF000000"/>
        <rFont val="Calibri"/>
      </rPr>
      <t xml:space="preserve">
</t>
    </r>
    <r>
      <rPr>
        <b/>
        <sz val="11"/>
        <color rgb="FF000000"/>
        <rFont val="Calibri"/>
      </rPr>
      <t>•</t>
    </r>
    <r>
      <rPr>
        <sz val="11"/>
        <color rgb="FF000000"/>
        <rFont val="Calibri"/>
      </rPr>
      <t xml:space="preserve">    provide a clear security benefit; and</t>
    </r>
    <r>
      <rPr>
        <sz val="11"/>
        <color rgb="FF000000"/>
        <rFont val="Calibri"/>
      </rPr>
      <t xml:space="preserve">
</t>
    </r>
    <r>
      <rPr>
        <b/>
        <sz val="11"/>
        <color rgb="FF000000"/>
        <rFont val="Calibri"/>
      </rPr>
      <t>•</t>
    </r>
    <r>
      <rPr>
        <sz val="11"/>
        <color rgb="FF000000"/>
        <rFont val="Calibri"/>
      </rPr>
      <t xml:space="preserve">    not inhibit the utility of the technology beyond acceptable means.</t>
    </r>
  </si>
  <si>
    <r>
      <rPr>
        <b/>
        <sz val="11"/>
        <color rgb="FF240458"/>
        <rFont val="Calibri"/>
      </rPr>
      <t>Level 2</t>
    </r>
  </si>
  <si>
    <r>
      <rPr>
        <sz val="11"/>
        <color rgb="FF000000"/>
        <rFont val="Calibri"/>
      </rPr>
      <t>This profile extends the "Level 1" profile. Items in this profile exhibit one or more of the following characteristics:</t>
    </r>
    <r>
      <rPr>
        <sz val="11"/>
        <color rgb="FF000000"/>
        <rFont val="Calibri"/>
      </rPr>
      <t xml:space="preserve">
</t>
    </r>
    <r>
      <rPr>
        <b/>
        <sz val="11"/>
        <color rgb="FF000000"/>
        <rFont val="Calibri"/>
      </rPr>
      <t>•</t>
    </r>
    <r>
      <rPr>
        <sz val="11"/>
        <color rgb="FF000000"/>
        <rFont val="Calibri"/>
      </rPr>
      <t xml:space="preserve">    are intended for environments or use cases where security is paramount</t>
    </r>
    <r>
      <rPr>
        <sz val="11"/>
        <color rgb="FF000000"/>
        <rFont val="Calibri"/>
      </rPr>
      <t xml:space="preserve">
</t>
    </r>
    <r>
      <rPr>
        <b/>
        <sz val="11"/>
        <color rgb="FF000000"/>
        <rFont val="Calibri"/>
      </rPr>
      <t>•</t>
    </r>
    <r>
      <rPr>
        <sz val="11"/>
        <color rgb="FF000000"/>
        <rFont val="Calibri"/>
      </rPr>
      <t xml:space="preserve">    acts as defense in depth measure</t>
    </r>
    <r>
      <rPr>
        <sz val="11"/>
        <color rgb="FF000000"/>
        <rFont val="Calibri"/>
      </rPr>
      <t xml:space="preserve">
</t>
    </r>
    <r>
      <rPr>
        <b/>
        <sz val="11"/>
        <color rgb="FF000000"/>
        <rFont val="Calibri"/>
      </rPr>
      <t>•</t>
    </r>
    <r>
      <rPr>
        <sz val="11"/>
        <color rgb="FF000000"/>
        <rFont val="Calibri"/>
      </rPr>
      <t xml:space="preserve">    may negatively inhibit the utility or performance of the technology.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</si>
  <si>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</si>
  <si>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</si>
  <si>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</si>
  <si>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</si>
  <si>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</si>
  <si>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</si>
  <si>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</si>
  <si>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</si>
  <si>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</si>
  <si>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</si>
  <si>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</si>
  <si>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</si>
  <si>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</si>
  <si>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</si>
  <si>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</si>
  <si>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</si>
  <si>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</si>
  <si>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</si>
  <si>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</si>
  <si>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</si>
  <si>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</si>
  <si>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</si>
  <si>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</si>
  <si>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</si>
  <si>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</si>
  <si>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</si>
  <si>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</si>
  <si>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</si>
  <si>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</si>
  <si>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</si>
  <si>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</si>
  <si>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</si>
  <si>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</si>
  <si>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</si>
  <si>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</si>
  <si>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</si>
  <si>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</si>
  <si>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</si>
  <si>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</si>
  <si>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</si>
  <si>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</si>
  <si>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</si>
  <si>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CIS Apple macOS 14.0 Sonoma Cloud-tailored Benchmark v1.1.0</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</si>
  <si>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</si>
  <si>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</si>
  <si>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</si>
  <si>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</si>
  <si>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</si>
  <si>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</si>
  <si>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</si>
  <si>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</si>
  <si>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</si>
  <si>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</si>
  <si>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</si>
  <si>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</si>
  <si>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</si>
  <si>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</si>
  <si>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</si>
  <si>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</si>
  <si>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</si>
  <si>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Profile</t>
  </si>
  <si>
    <t>Status by Phase</t>
  </si>
  <si>
    <t>Phase1</t>
  </si>
  <si>
    <t>Phase2</t>
  </si>
  <si>
    <t>Phase3</t>
  </si>
  <si>
    <t>Phase4</t>
  </si>
  <si>
    <t>Phase5</t>
  </si>
  <si>
    <t>Status by Assessment</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</si>
  <si>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</si>
  <si>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</si>
  <si>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</si>
  <si>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</si>
  <si>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</si>
  <si>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</si>
  <si>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</si>
  <si>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</si>
  <si>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</si>
  <si>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</si>
  <si>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</si>
  <si>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</si>
  <si>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</si>
  <si>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</si>
  <si>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</si>
  <si>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</si>
  <si>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</si>
  <si>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</si>
  <si>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</si>
  <si>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</si>
  <si>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</si>
  <si>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</si>
  <si>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(C80)</t>
  </si>
  <si>
    <t>% Must</t>
  </si>
  <si>
    <t>Should Count (C81)</t>
  </si>
  <si>
    <t>% Should</t>
  </si>
  <si>
    <t>Could Count (C82)</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</si>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</sst>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sz val="14"/>
      <name val="Calibri"/>
    </font>
    <font>
      <b/>
      <i/>
      <sz val="14"/>
      <name val="Calibri"/>
    </font>
    <font>
      <sz val="11"/>
      <color rgb="FF0000FF"/>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sz val="11"/>
      <color rgb="FF006096"/>
      <name val="Roboto Condensed"/>
    </font>
    <font>
      <i/>
      <sz val="11"/>
      <color rgb="FF000000"/>
      <name val="Calibri"/>
    </font>
    <font>
      <b/>
      <sz val="10"/>
      <color rgb="FF003B5C"/>
      <name val="Calibri"/>
    </font>
    <font>
      <i/>
      <sz val="10"/>
      <color rgb="FF003B5C"/>
      <name val="Calibri"/>
    </font>
    <font>
      <i/>
      <sz val="11"/>
      <color rgb="FF0000FF"/>
      <name val="Calibri"/>
    </font>
    <font>
      <b/>
      <sz val="11"/>
      <color rgb="FFFF0000"/>
      <name val="Calibri"/>
    </font>
    <font>
      <b/>
      <i/>
      <sz val="11"/>
      <color rgb="FF000000"/>
      <name val="Calibri"/>
    </font>
    <font>
      <b/>
      <sz val="11"/>
      <color rgb="FF240458"/>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center" wrapText="1"/>
    </xf>
    <xf numFmtId="0" fontId="1"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wrapText="1"/>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top" wrapText="1"/>
    </xf>
    <xf numFmtId="0" fontId="1"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3" xfId="0" applyNumberFormat="1" applyFont="1" applyBorder="1" applyAlignment="1" applyProtection="1">
      <alignment horizontal="left" vertical="center" wrapText="1"/>
    </xf>
    <xf numFmtId="0" fontId="0" fillId="0" borderId="4" xfId="0" applyNumberFormat="1" applyFont="1" applyBorder="1" applyAlignment="1" applyProtection="1">
      <alignment horizontal="left" vertical="center" wrapText="1"/>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7"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8" fillId="3" borderId="0" xfId="0" applyNumberFormat="1" applyFont="1" applyFill="1" applyAlignment="1" applyProtection="1">
      <alignment vertical="top"/>
    </xf>
    <xf numFmtId="0" fontId="0" fillId="3" borderId="0" xfId="0" applyNumberFormat="1" applyFont="1" applyFill="1" applyAlignment="1" applyProtection="1">
      <alignment vertical="top" wrapText="1"/>
      <protection locked="0"/>
    </xf>
    <xf numFmtId="0" fontId="6" fillId="3" borderId="0" xfId="0" applyNumberFormat="1" applyFont="1" applyFill="1" applyAlignment="1" applyProtection="1">
      <alignment vertical="top" wrapText="1"/>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3"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3"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xf>
    <xf numFmtId="0" fontId="22"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2"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2" fillId="23" borderId="1" xfId="0" applyNumberFormat="1" applyFont="1" applyFill="1" applyBorder="1" applyAlignment="1" applyProtection="1">
      <alignment horizontal="center" vertical="center" wrapText="1"/>
    </xf>
    <xf numFmtId="0" fontId="22"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2" fillId="23" borderId="1" xfId="0" applyNumberFormat="1" applyFont="1" applyFill="1" applyBorder="1" applyAlignment="1" applyProtection="1">
      <alignment horizontal="left" vertical="top" wrapText="1"/>
    </xf>
    <xf numFmtId="0" fontId="22"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2" fillId="23" borderId="1" xfId="0" applyNumberFormat="1" applyFont="1" applyFill="1" applyBorder="1" applyAlignment="1" applyProtection="1">
      <alignment horizontal="left" vertical="center" wrapText="1"/>
    </xf>
    <xf numFmtId="0" fontId="22"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2" fillId="23" borderId="1" xfId="0" applyNumberFormat="1" applyFont="1" applyFill="1" applyBorder="1" applyAlignment="1" applyProtection="1">
      <alignment horizontal="center" vertical="center"/>
    </xf>
    <xf numFmtId="9" fontId="22"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2" fillId="23" borderId="3" xfId="0" applyNumberFormat="1" applyFont="1" applyFill="1" applyBorder="1" applyAlignment="1" applyProtection="1">
      <alignment horizontal="center" vertical="center" wrapText="1"/>
    </xf>
    <xf numFmtId="0" fontId="22"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2" fillId="23" borderId="5" xfId="0" applyNumberFormat="1" applyFont="1" applyFill="1" applyBorder="1" applyAlignment="1" applyProtection="1">
      <alignment horizontal="left" vertical="center" wrapText="1"/>
    </xf>
    <xf numFmtId="0" fontId="22"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1">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91A5-457F-ABA8-B900E7CF4E8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91A5-457F-ABA8-B900E7CF4E8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55</c:v>
                </c:pt>
              </c:numCache>
            </c:numRef>
          </c:val>
          <c:extLst>
            <c:ext xmlns:c16="http://schemas.microsoft.com/office/drawing/2014/chart" uri="{C3380CC4-5D6E-409C-BE32-E72D297353CC}">
              <c16:uniqueId val="{00000002-91A5-457F-ABA8-B900E7CF4E8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Profile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Dashboard!$C$29:$C$30</c:f>
              <c:numCache>
                <c:formatCode>General</c:formatCode>
                <c:ptCount val="2"/>
                <c:pt idx="0">
                  <c:v>0</c:v>
                </c:pt>
                <c:pt idx="1">
                  <c:v>0</c:v>
                </c:pt>
              </c:numCache>
            </c:numRef>
          </c:val>
          <c:extLst>
            <c:ext xmlns:c16="http://schemas.microsoft.com/office/drawing/2014/chart" uri="{C3380CC4-5D6E-409C-BE32-E72D297353CC}">
              <c16:uniqueId val="{00000000-8408-46A5-AEB2-65C670B921C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Dashboard!$D$29:$D$30</c:f>
              <c:numCache>
                <c:formatCode>General</c:formatCode>
                <c:ptCount val="2"/>
                <c:pt idx="0">
                  <c:v>0</c:v>
                </c:pt>
                <c:pt idx="1">
                  <c:v>0</c:v>
                </c:pt>
              </c:numCache>
            </c:numRef>
          </c:val>
          <c:extLst>
            <c:ext xmlns:c16="http://schemas.microsoft.com/office/drawing/2014/chart" uri="{C3380CC4-5D6E-409C-BE32-E72D297353CC}">
              <c16:uniqueId val="{00000001-8408-46A5-AEB2-65C670B921C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Dashboard!$B$29:$B$30</c:f>
              <c:strCache>
                <c:ptCount val="2"/>
                <c:pt idx="0">
                  <c:v>Level 1</c:v>
                </c:pt>
                <c:pt idx="1">
                  <c:v>Level 2</c:v>
                </c:pt>
              </c:strCache>
            </c:strRef>
          </c:cat>
          <c:val>
            <c:numRef>
              <c:f>Dashboard!$E$29:$E$30</c:f>
              <c:numCache>
                <c:formatCode>General</c:formatCode>
                <c:ptCount val="2"/>
                <c:pt idx="0">
                  <c:v>45</c:v>
                </c:pt>
                <c:pt idx="1">
                  <c:v>10</c:v>
                </c:pt>
              </c:numCache>
            </c:numRef>
          </c:val>
          <c:extLst>
            <c:ext xmlns:c16="http://schemas.microsoft.com/office/drawing/2014/chart" uri="{C3380CC4-5D6E-409C-BE32-E72D297353CC}">
              <c16:uniqueId val="{00000002-8408-46A5-AEB2-65C670B921C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Dashboard!$C$44:$C$49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3702-48A0-988C-B034DF801429}"/>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Dashboard!$D$44:$D$49</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3702-48A0-988C-B034DF801429}"/>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Dashboard!$B$44:$B$49</c:f>
              <c:strCache>
                <c:ptCount val="6"/>
                <c:pt idx="0">
                  <c:v>Phase1</c:v>
                </c:pt>
                <c:pt idx="1">
                  <c:v>Phase2</c:v>
                </c:pt>
                <c:pt idx="2">
                  <c:v>Phase3</c:v>
                </c:pt>
                <c:pt idx="3">
                  <c:v>Phase4</c:v>
                </c:pt>
                <c:pt idx="4">
                  <c:v>Phase5</c:v>
                </c:pt>
                <c:pt idx="5">
                  <c:v>Pending</c:v>
                </c:pt>
              </c:strCache>
            </c:strRef>
          </c:cat>
          <c:val>
            <c:numRef>
              <c:f>Dashboard!$E$44:$E$49</c:f>
              <c:numCache>
                <c:formatCode>General</c:formatCode>
                <c:ptCount val="6"/>
                <c:pt idx="0">
                  <c:v>0</c:v>
                </c:pt>
                <c:pt idx="1">
                  <c:v>0</c:v>
                </c:pt>
                <c:pt idx="2">
                  <c:v>0</c:v>
                </c:pt>
                <c:pt idx="3">
                  <c:v>0</c:v>
                </c:pt>
                <c:pt idx="4">
                  <c:v>0</c:v>
                </c:pt>
                <c:pt idx="5">
                  <c:v>55</c:v>
                </c:pt>
              </c:numCache>
            </c:numRef>
          </c:val>
          <c:extLst>
            <c:ext xmlns:c16="http://schemas.microsoft.com/office/drawing/2014/chart" uri="{C3380CC4-5D6E-409C-BE32-E72D297353CC}">
              <c16:uniqueId val="{00000002-3702-48A0-988C-B034DF801429}"/>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Assessment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Dashboard!$C$67:$C$67</c:f>
              <c:numCache>
                <c:formatCode>General</c:formatCode>
                <c:ptCount val="1"/>
                <c:pt idx="0">
                  <c:v>0</c:v>
                </c:pt>
              </c:numCache>
            </c:numRef>
          </c:val>
          <c:extLst>
            <c:ext xmlns:c16="http://schemas.microsoft.com/office/drawing/2014/chart" uri="{C3380CC4-5D6E-409C-BE32-E72D297353CC}">
              <c16:uniqueId val="{00000000-34C3-4981-9A59-0F8E02A0293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Dashboard!$D$67:$D$67</c:f>
              <c:numCache>
                <c:formatCode>General</c:formatCode>
                <c:ptCount val="1"/>
                <c:pt idx="0">
                  <c:v>0</c:v>
                </c:pt>
              </c:numCache>
            </c:numRef>
          </c:val>
          <c:extLst>
            <c:ext xmlns:c16="http://schemas.microsoft.com/office/drawing/2014/chart" uri="{C3380CC4-5D6E-409C-BE32-E72D297353CC}">
              <c16:uniqueId val="{00000001-34C3-4981-9A59-0F8E02A0293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Dashboard!$B$67:$B$67</c:f>
              <c:strCache>
                <c:ptCount val="1"/>
                <c:pt idx="0">
                  <c:v>Automated</c:v>
                </c:pt>
              </c:strCache>
            </c:strRef>
          </c:cat>
          <c:val>
            <c:numRef>
              <c:f>Dashboard!$E$67:$E$67</c:f>
              <c:numCache>
                <c:formatCode>General</c:formatCode>
                <c:ptCount val="1"/>
                <c:pt idx="0">
                  <c:v>55</c:v>
                </c:pt>
              </c:numCache>
            </c:numRef>
          </c:val>
          <c:extLst>
            <c:ext xmlns:c16="http://schemas.microsoft.com/office/drawing/2014/chart" uri="{C3380CC4-5D6E-409C-BE32-E72D297353CC}">
              <c16:uniqueId val="{00000002-34C3-4981-9A59-0F8E02A0293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Dashboard!$C$80:$C$84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5B7F-4873-B474-D168A0087DE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Dashboard!$D$80:$D$84</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5B7F-4873-B474-D168A0087DE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Dashboard!$B$80:$B$84</c:f>
              <c:strCache>
                <c:ptCount val="5"/>
                <c:pt idx="0">
                  <c:v>Must</c:v>
                </c:pt>
                <c:pt idx="1">
                  <c:v>Should</c:v>
                </c:pt>
                <c:pt idx="2">
                  <c:v>Could</c:v>
                </c:pt>
                <c:pt idx="3">
                  <c:v>Won't</c:v>
                </c:pt>
                <c:pt idx="4">
                  <c:v>Unassigned</c:v>
                </c:pt>
              </c:strCache>
            </c:strRef>
          </c:cat>
          <c:val>
            <c:numRef>
              <c:f>Dashboard!$E$80:$E$84</c:f>
              <c:numCache>
                <c:formatCode>General</c:formatCode>
                <c:ptCount val="5"/>
                <c:pt idx="0">
                  <c:v>0</c:v>
                </c:pt>
                <c:pt idx="1">
                  <c:v>0</c:v>
                </c:pt>
                <c:pt idx="2">
                  <c:v>0</c:v>
                </c:pt>
                <c:pt idx="3">
                  <c:v>0</c:v>
                </c:pt>
                <c:pt idx="4">
                  <c:v>55</c:v>
                </c:pt>
              </c:numCache>
            </c:numRef>
          </c:val>
          <c:extLst>
            <c:ext xmlns:c16="http://schemas.microsoft.com/office/drawing/2014/chart" uri="{C3380CC4-5D6E-409C-BE32-E72D297353CC}">
              <c16:uniqueId val="{00000002-5B7F-4873-B474-D168A0087DEA}"/>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Dashboard!$C$101:$C$104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DB6E-4F79-8CC7-30465D84705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Dashboard!$D$101:$D$104</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DB6E-4F79-8CC7-30465D84705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Dashboard!$B$101:$B$104</c:f>
              <c:strCache>
                <c:ptCount val="4"/>
                <c:pt idx="0">
                  <c:v>Low</c:v>
                </c:pt>
                <c:pt idx="1">
                  <c:v>Medium</c:v>
                </c:pt>
                <c:pt idx="2">
                  <c:v>High</c:v>
                </c:pt>
                <c:pt idx="3">
                  <c:v>Unassessed</c:v>
                </c:pt>
              </c:strCache>
            </c:strRef>
          </c:cat>
          <c:val>
            <c:numRef>
              <c:f>Dashboard!$E$101:$E$104</c:f>
              <c:numCache>
                <c:formatCode>General</c:formatCode>
                <c:ptCount val="4"/>
                <c:pt idx="0">
                  <c:v>0</c:v>
                </c:pt>
                <c:pt idx="1">
                  <c:v>0</c:v>
                </c:pt>
                <c:pt idx="2">
                  <c:v>0</c:v>
                </c:pt>
                <c:pt idx="3">
                  <c:v>55</c:v>
                </c:pt>
              </c:numCache>
            </c:numRef>
          </c:val>
          <c:extLst>
            <c:ext xmlns:c16="http://schemas.microsoft.com/office/drawing/2014/chart" uri="{C3380CC4-5D6E-409C-BE32-E72D297353CC}">
              <c16:uniqueId val="{00000002-DB6E-4F79-8CC7-30465D84705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Dashboard!$P$137:$P$166</c:f>
              <c:numCache>
                <c:formatCode>yyyy\-mm\-dd</c:formatCode>
                <c:ptCount val="30"/>
              </c:numCache>
            </c:numRef>
          </c:cat>
          <c:val>
            <c:numRef>
              <c:f>Dashboard!$R$137:$R$166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3312-4985-B6DA-1EF751A24A87}"/>
            </c:ext>
          </c:extLst>
        </c:ser>
        <c:ser>
          <c:idx val="1"/>
          <c:order val="1"/>
          <c:tx>
            <c:v>Must % Resolved</c:v>
          </c:tx>
          <c:spPr>
            <a:ln w="22225" cap="rnd">
              <a:solidFill>
                <a:schemeClr val="accent2"/>
              </a:solidFill>
              <a:round/>
            </a:ln>
            <a:effectLst/>
          </c:spPr>
          <c:marker>
            <c:symbol val="none"/>
          </c:marker>
          <c:cat>
            <c:numRef>
              <c:f>Dashboard!$P$137:$P$166</c:f>
              <c:numCache>
                <c:formatCode>yyyy\-mm\-dd</c:formatCode>
                <c:ptCount val="30"/>
              </c:numCache>
            </c:numRef>
          </c:cat>
          <c:val>
            <c:numRef>
              <c:f>Dashboard!$T$137:$T$166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3312-4985-B6DA-1EF751A24A87}"/>
            </c:ext>
          </c:extLst>
        </c:ser>
        <c:ser>
          <c:idx val="2"/>
          <c:order val="2"/>
          <c:tx>
            <c:v>Should % Resolved</c:v>
          </c:tx>
          <c:spPr>
            <a:ln w="22225" cap="rnd">
              <a:solidFill>
                <a:schemeClr val="accent3"/>
              </a:solidFill>
              <a:round/>
            </a:ln>
            <a:effectLst/>
          </c:spPr>
          <c:marker>
            <c:symbol val="none"/>
          </c:marker>
          <c:cat>
            <c:numRef>
              <c:f>Dashboard!$P$137:$P$166</c:f>
              <c:numCache>
                <c:formatCode>yyyy\-mm\-dd</c:formatCode>
                <c:ptCount val="30"/>
              </c:numCache>
            </c:numRef>
          </c:cat>
          <c:val>
            <c:numRef>
              <c:f>Dashboard!$V$137:$V$166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3312-4985-B6DA-1EF751A24A87}"/>
            </c:ext>
          </c:extLst>
        </c:ser>
        <c:ser>
          <c:idx val="3"/>
          <c:order val="3"/>
          <c:tx>
            <c:v>Could % Resolved</c:v>
          </c:tx>
          <c:spPr>
            <a:ln w="22225" cap="rnd">
              <a:solidFill>
                <a:schemeClr val="accent4"/>
              </a:solidFill>
              <a:round/>
            </a:ln>
            <a:effectLst/>
          </c:spPr>
          <c:marker>
            <c:symbol val="none"/>
          </c:marker>
          <c:cat>
            <c:numRef>
              <c:f>Dashboard!$P$137:$P$166</c:f>
              <c:numCache>
                <c:formatCode>yyyy\-mm\-dd</c:formatCode>
                <c:ptCount val="30"/>
              </c:numCache>
            </c:numRef>
          </c:cat>
          <c:val>
            <c:numRef>
              <c:f>Dashboard!$X$137:$X$166</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3312-4985-B6DA-1EF751A24A87}"/>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Dashboard!$P$179:$P$198</c:f>
              <c:numCache>
                <c:formatCode>yyyy\-mm\-dd</c:formatCode>
                <c:ptCount val="20"/>
              </c:numCache>
            </c:numRef>
          </c:cat>
          <c:val>
            <c:numRef>
              <c:f>Dashboard!$R$179:$R$198</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6F4-4368-9562-0A726AA14224}"/>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5.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8.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bkvhs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24</xdr:row>
      <xdr:rowOff>95250</xdr:rowOff>
    </xdr:from>
    <xdr:to>
      <xdr:col>15</xdr:col>
      <xdr:colOff>28575</xdr:colOff>
      <xdr:row>39</xdr:row>
      <xdr:rowOff>47625</xdr:rowOff>
    </xdr:to>
    <xdr:graphicFrame macro="">
      <xdr:nvGraphicFramePr>
        <xdr:cNvPr id="3" name="Charthko3kz">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41</xdr:row>
      <xdr:rowOff>95250</xdr:rowOff>
    </xdr:from>
    <xdr:to>
      <xdr:col>15</xdr:col>
      <xdr:colOff>28575</xdr:colOff>
      <xdr:row>58</xdr:row>
      <xdr:rowOff>0</xdr:rowOff>
    </xdr:to>
    <xdr:graphicFrame macro="">
      <xdr:nvGraphicFramePr>
        <xdr:cNvPr id="4" name="Chartp4nmdb">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61</xdr:row>
      <xdr:rowOff>95250</xdr:rowOff>
    </xdr:from>
    <xdr:to>
      <xdr:col>15</xdr:col>
      <xdr:colOff>28575</xdr:colOff>
      <xdr:row>76</xdr:row>
      <xdr:rowOff>47625</xdr:rowOff>
    </xdr:to>
    <xdr:graphicFrame macro="">
      <xdr:nvGraphicFramePr>
        <xdr:cNvPr id="5" name="Chartqteujc">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76</xdr:row>
      <xdr:rowOff>95250</xdr:rowOff>
    </xdr:from>
    <xdr:to>
      <xdr:col>15</xdr:col>
      <xdr:colOff>28575</xdr:colOff>
      <xdr:row>92</xdr:row>
      <xdr:rowOff>0</xdr:rowOff>
    </xdr:to>
    <xdr:graphicFrame macro="">
      <xdr:nvGraphicFramePr>
        <xdr:cNvPr id="6" name="Charthe0tb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47625</xdr:colOff>
      <xdr:row>95</xdr:row>
      <xdr:rowOff>95250</xdr:rowOff>
    </xdr:from>
    <xdr:to>
      <xdr:col>15</xdr:col>
      <xdr:colOff>28575</xdr:colOff>
      <xdr:row>110</xdr:row>
      <xdr:rowOff>142875</xdr:rowOff>
    </xdr:to>
    <xdr:graphicFrame macro="">
      <xdr:nvGraphicFramePr>
        <xdr:cNvPr id="7" name="Charted0oud">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132</xdr:row>
      <xdr:rowOff>95250</xdr:rowOff>
    </xdr:from>
    <xdr:to>
      <xdr:col>14</xdr:col>
      <xdr:colOff>0</xdr:colOff>
      <xdr:row>155</xdr:row>
      <xdr:rowOff>38100</xdr:rowOff>
    </xdr:to>
    <xdr:graphicFrame macro="">
      <xdr:nvGraphicFramePr>
        <xdr:cNvPr id="8" name="Chartzeet2r">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xdr:col>
      <xdr:colOff>47625</xdr:colOff>
      <xdr:row>173</xdr:row>
      <xdr:rowOff>95250</xdr:rowOff>
    </xdr:from>
    <xdr:to>
      <xdr:col>14</xdr:col>
      <xdr:colOff>0</xdr:colOff>
      <xdr:row>191</xdr:row>
      <xdr:rowOff>123825</xdr:rowOff>
    </xdr:to>
    <xdr:graphicFrame macro="">
      <xdr:nvGraphicFramePr>
        <xdr:cNvPr id="9" name="Charthlee5o">
          <a:extLst>
            <a:ext uri="{FF2B5EF4-FFF2-40B4-BE49-F238E27FC236}">
              <a16:creationId xmlns:a16="http://schemas.microsoft.com/office/drawing/2014/main" i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Q56">
  <autoFilter ref="A1:Q56" xr:uid="{00000000-0009-0000-0100-000001000000}"/>
  <tableColumns count="17">
    <tableColumn id="1" xr3:uid="{00000000-0010-0000-0000-000001000000}" name="Section"/>
    <tableColumn id="2" xr3:uid="{00000000-0010-0000-0000-000002000000}" name="Id"/>
    <tableColumn id="3" xr3:uid="{00000000-0010-0000-0000-000003000000}" name="Title"/>
    <tableColumn id="4" xr3:uid="{00000000-0010-0000-0000-000004000000}" name="Assessment"/>
    <tableColumn id="5" xr3:uid="{00000000-0010-0000-0000-000005000000}" name="Profile"/>
    <tableColumn id="6" xr3:uid="{00000000-0010-0000-0000-000006000000}" name="MoSCoW"/>
    <tableColumn id="7" xr3:uid="{00000000-0010-0000-0000-000007000000}" name="OpsImpact"/>
    <tableColumn id="8" xr3:uid="{00000000-0010-0000-0000-000008000000}" name="Phase"/>
    <tableColumn id="9" xr3:uid="{00000000-0010-0000-0000-000009000000}" name="ImplStatus"/>
    <tableColumn id="10" xr3:uid="{00000000-0010-0000-0000-00000A000000}" name="Notes"/>
    <tableColumn id="11" xr3:uid="{00000000-0010-0000-0000-00000B000000}" name="Remediation"/>
    <tableColumn id="12" xr3:uid="{00000000-0010-0000-0000-00000C000000}" name="Description"/>
    <tableColumn id="13" xr3:uid="{00000000-0010-0000-0000-00000D000000}" name="Impact"/>
    <tableColumn id="14" xr3:uid="{00000000-0010-0000-0000-00000E000000}" name="Audit"/>
    <tableColumn id="15" xr3:uid="{00000000-0010-0000-0000-00000F000000}" name="Default"/>
    <tableColumn id="16" xr3:uid="{00000000-0010-0000-0000-000010000000}" name="Status"/>
    <tableColumn id="17" xr3:uid="{00000000-0010-0000-0000-000011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orkbench.cisecurity.org/benchmarks/18640"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5" Type="http://schemas.openxmlformats.org/officeDocument/2006/relationships/hyperlink" Target="https://creativecommons.org/licenses/by-sa/4.0/" TargetMode="External"/><Relationship Id="rId4" Type="http://schemas.openxmlformats.org/officeDocument/2006/relationships/hyperlink" Target="https://downloads.cisecurity.org/"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4"/>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8" customWidth="1"/>
    <col min="2" max="2" width="24" style="18" customWidth="1"/>
    <col min="3" max="3" width="90" style="18" customWidth="1"/>
    <col min="4" max="4" width="9.1796875" style="18" customWidth="1"/>
    <col min="5" max="16384" width="9.1796875" style="18"/>
  </cols>
  <sheetData>
    <row r="2" spans="2:3" ht="31" x14ac:dyDescent="0.7">
      <c r="B2" s="19" t="s">
        <v>358</v>
      </c>
    </row>
    <row r="3" spans="2:3" ht="15" customHeight="1" x14ac:dyDescent="0.35"/>
    <row r="4" spans="2:3" ht="58" x14ac:dyDescent="0.35">
      <c r="B4" s="20" t="s">
        <v>359</v>
      </c>
      <c r="C4" s="21" t="s">
        <v>360</v>
      </c>
    </row>
    <row r="5" spans="2:3" x14ac:dyDescent="0.35">
      <c r="C5" s="21" t="s">
        <v>361</v>
      </c>
    </row>
    <row r="6" spans="2:3" x14ac:dyDescent="0.35">
      <c r="C6" s="18" t="s">
        <v>362</v>
      </c>
    </row>
    <row r="7" spans="2:3" ht="10" customHeight="1" x14ac:dyDescent="0.35"/>
    <row r="8" spans="2:3" ht="232" x14ac:dyDescent="0.35">
      <c r="B8" s="22" t="s">
        <v>363</v>
      </c>
      <c r="C8" s="21" t="s">
        <v>364</v>
      </c>
    </row>
    <row r="9" spans="2:3" ht="10" customHeight="1" x14ac:dyDescent="0.35"/>
    <row r="10" spans="2:3" ht="35" customHeight="1" x14ac:dyDescent="0.35">
      <c r="B10" s="22" t="s">
        <v>365</v>
      </c>
      <c r="C10" s="21" t="s">
        <v>366</v>
      </c>
    </row>
    <row r="11" spans="2:3" ht="75" customHeight="1" x14ac:dyDescent="0.35">
      <c r="B11" s="18" t="s">
        <v>25</v>
      </c>
      <c r="C11" s="21" t="s">
        <v>367</v>
      </c>
    </row>
    <row r="12" spans="2:3" ht="47" customHeight="1" x14ac:dyDescent="0.35">
      <c r="B12" s="18" t="s">
        <v>25</v>
      </c>
      <c r="C12" s="21" t="s">
        <v>368</v>
      </c>
    </row>
    <row r="13" spans="2:3" ht="35" customHeight="1" x14ac:dyDescent="0.35">
      <c r="B13" s="18" t="s">
        <v>25</v>
      </c>
      <c r="C13" s="21" t="s">
        <v>369</v>
      </c>
    </row>
    <row r="14" spans="2:3" ht="32" customHeight="1" x14ac:dyDescent="0.35">
      <c r="B14" s="18" t="s">
        <v>25</v>
      </c>
      <c r="C14" s="21" t="s">
        <v>370</v>
      </c>
    </row>
    <row r="15" spans="2:3" ht="30" customHeight="1" x14ac:dyDescent="0.35">
      <c r="B15" s="18" t="s">
        <v>25</v>
      </c>
      <c r="C15" s="21" t="s">
        <v>371</v>
      </c>
    </row>
    <row r="16" spans="2:3" ht="10" customHeight="1" x14ac:dyDescent="0.35"/>
    <row r="17" spans="1:3" ht="145" customHeight="1" x14ac:dyDescent="0.35">
      <c r="B17" s="22" t="s">
        <v>372</v>
      </c>
      <c r="C17" s="21" t="s">
        <v>373</v>
      </c>
    </row>
    <row r="18" spans="1:3" ht="10" customHeight="1" x14ac:dyDescent="0.35"/>
    <row r="19" spans="1:3" ht="3" customHeight="1" x14ac:dyDescent="0.35">
      <c r="B19" s="23"/>
      <c r="C19" s="23"/>
    </row>
    <row r="20" spans="1:3" ht="12" customHeight="1" x14ac:dyDescent="0.35"/>
    <row r="21" spans="1:3" ht="35" customHeight="1" x14ac:dyDescent="0.35">
      <c r="A21" s="25"/>
      <c r="B21" s="26" t="s">
        <v>374</v>
      </c>
      <c r="C21" s="27" t="s">
        <v>375</v>
      </c>
    </row>
    <row r="22" spans="1:3" ht="18" customHeight="1" x14ac:dyDescent="0.35">
      <c r="A22" s="25"/>
      <c r="B22" s="25" t="s">
        <v>25</v>
      </c>
      <c r="C22" s="27" t="s">
        <v>376</v>
      </c>
    </row>
    <row r="23" spans="1:3" ht="18" customHeight="1" x14ac:dyDescent="0.35">
      <c r="A23" s="25"/>
      <c r="B23" s="25" t="s">
        <v>25</v>
      </c>
      <c r="C23" s="27" t="s">
        <v>377</v>
      </c>
    </row>
    <row r="24" spans="1:3" ht="18" customHeight="1" x14ac:dyDescent="0.35">
      <c r="A24" s="25"/>
      <c r="B24" s="25" t="s">
        <v>25</v>
      </c>
      <c r="C24" s="27" t="s">
        <v>378</v>
      </c>
    </row>
    <row r="25" spans="1:3" ht="18" customHeight="1" x14ac:dyDescent="0.35">
      <c r="A25" s="25"/>
      <c r="B25" s="25" t="s">
        <v>25</v>
      </c>
      <c r="C25" s="27" t="s">
        <v>379</v>
      </c>
    </row>
    <row r="26" spans="1:3" ht="18" customHeight="1" x14ac:dyDescent="0.35">
      <c r="A26" s="25"/>
      <c r="B26" s="25" t="s">
        <v>25</v>
      </c>
      <c r="C26" s="27" t="s">
        <v>380</v>
      </c>
    </row>
    <row r="27" spans="1:3" ht="18" customHeight="1" x14ac:dyDescent="0.35">
      <c r="A27" s="25"/>
      <c r="B27" s="25" t="s">
        <v>25</v>
      </c>
      <c r="C27" s="27" t="s">
        <v>381</v>
      </c>
    </row>
    <row r="28" spans="1:3" ht="18" customHeight="1" x14ac:dyDescent="0.35">
      <c r="A28" s="25"/>
      <c r="B28" s="25" t="s">
        <v>25</v>
      </c>
      <c r="C28" s="27" t="s">
        <v>382</v>
      </c>
    </row>
    <row r="29" spans="1:3" ht="18" customHeight="1" x14ac:dyDescent="0.35">
      <c r="A29" s="25"/>
      <c r="B29" s="25" t="s">
        <v>25</v>
      </c>
      <c r="C29" s="27" t="s">
        <v>383</v>
      </c>
    </row>
    <row r="30" spans="1:3" ht="44" customHeight="1" x14ac:dyDescent="0.35">
      <c r="A30" s="25"/>
      <c r="B30" s="25" t="s">
        <v>25</v>
      </c>
      <c r="C30" s="28" t="s">
        <v>384</v>
      </c>
    </row>
    <row r="31" spans="1:3" ht="10" customHeight="1" x14ac:dyDescent="0.35"/>
    <row r="32" spans="1:3" ht="3" customHeight="1" x14ac:dyDescent="0.35">
      <c r="B32" s="23"/>
      <c r="C32" s="23"/>
    </row>
    <row r="33" spans="2:3" ht="12" customHeight="1" x14ac:dyDescent="0.35"/>
    <row r="34" spans="2:3" ht="24" customHeight="1" x14ac:dyDescent="0.35">
      <c r="B34" s="29" t="s">
        <v>385</v>
      </c>
      <c r="C34" s="30" t="s">
        <v>386</v>
      </c>
    </row>
    <row r="35" spans="2:3" ht="18.5" x14ac:dyDescent="0.35">
      <c r="B35" s="29" t="s">
        <v>387</v>
      </c>
      <c r="C35" s="31" t="s">
        <v>388</v>
      </c>
    </row>
    <row r="36" spans="2:3" ht="27" customHeight="1" x14ac:dyDescent="0.35">
      <c r="B36" s="32" t="s">
        <v>389</v>
      </c>
      <c r="C36" s="24" t="s">
        <v>390</v>
      </c>
    </row>
    <row r="37" spans="2:3" x14ac:dyDescent="0.35">
      <c r="B37" s="29" t="s">
        <v>391</v>
      </c>
      <c r="C37" s="33" t="s">
        <v>392</v>
      </c>
    </row>
    <row r="38" spans="2:3" x14ac:dyDescent="0.35">
      <c r="B38" s="29" t="s">
        <v>393</v>
      </c>
      <c r="C38" s="33" t="s">
        <v>394</v>
      </c>
    </row>
    <row r="39" spans="2:3" ht="10" customHeight="1" x14ac:dyDescent="0.35"/>
    <row r="40" spans="2:3" ht="43.5" x14ac:dyDescent="0.35">
      <c r="B40" s="29" t="s">
        <v>395</v>
      </c>
      <c r="C40" s="34" t="s">
        <v>396</v>
      </c>
    </row>
    <row r="42" spans="2:3" ht="43.5" x14ac:dyDescent="0.35">
      <c r="B42" s="29" t="s">
        <v>397</v>
      </c>
      <c r="C42" s="21" t="s">
        <v>398</v>
      </c>
    </row>
    <row r="43" spans="2:3" ht="10" customHeight="1" x14ac:dyDescent="0.35"/>
    <row r="44" spans="2:3" x14ac:dyDescent="0.35">
      <c r="B44" s="29" t="s">
        <v>399</v>
      </c>
      <c r="C44" s="35" t="s">
        <v>400</v>
      </c>
    </row>
    <row r="45" spans="2:3" ht="72.5" x14ac:dyDescent="0.35">
      <c r="C45" s="21" t="s">
        <v>401</v>
      </c>
    </row>
    <row r="47" spans="2:3" x14ac:dyDescent="0.35">
      <c r="C47" s="35" t="s">
        <v>402</v>
      </c>
    </row>
    <row r="48" spans="2:3" ht="87" x14ac:dyDescent="0.35">
      <c r="C48" s="21" t="s">
        <v>403</v>
      </c>
    </row>
    <row r="49" spans="2:3" ht="10" customHeight="1" x14ac:dyDescent="0.35"/>
    <row r="50" spans="2:3" ht="3" customHeight="1" x14ac:dyDescent="0.35">
      <c r="B50" s="23"/>
      <c r="C50" s="23"/>
    </row>
    <row r="51" spans="2:3" ht="12" customHeight="1" x14ac:dyDescent="0.35"/>
    <row r="52" spans="2:3" ht="130.5" x14ac:dyDescent="0.35">
      <c r="B52" s="20" t="s">
        <v>404</v>
      </c>
      <c r="C52" s="21" t="s">
        <v>405</v>
      </c>
    </row>
    <row r="53" spans="2:3" ht="6" customHeight="1" x14ac:dyDescent="0.35"/>
    <row r="54" spans="2:3" ht="217.5" x14ac:dyDescent="0.35">
      <c r="C54" s="21" t="s">
        <v>406</v>
      </c>
    </row>
    <row r="55" spans="2:3" ht="6" customHeight="1" x14ac:dyDescent="0.35"/>
    <row r="56" spans="2:3" ht="43.5" x14ac:dyDescent="0.35">
      <c r="C56" s="21" t="s">
        <v>407</v>
      </c>
    </row>
    <row r="57" spans="2:3" ht="10" customHeight="1" x14ac:dyDescent="0.35"/>
    <row r="58" spans="2:3" ht="3" customHeight="1" x14ac:dyDescent="0.35">
      <c r="B58" s="23"/>
      <c r="C58" s="23"/>
    </row>
    <row r="59" spans="2:3" ht="12" customHeight="1" x14ac:dyDescent="0.35"/>
    <row r="60" spans="2:3" ht="145" x14ac:dyDescent="0.35">
      <c r="B60" s="20" t="s">
        <v>408</v>
      </c>
      <c r="C60" s="21" t="s">
        <v>409</v>
      </c>
    </row>
    <row r="61" spans="2:3" ht="6" customHeight="1" x14ac:dyDescent="0.35"/>
    <row r="62" spans="2:3" ht="203" x14ac:dyDescent="0.35">
      <c r="C62" s="21" t="s">
        <v>410</v>
      </c>
    </row>
    <row r="63" spans="2:3" ht="6" customHeight="1" x14ac:dyDescent="0.35"/>
    <row r="64" spans="2:3" ht="43.5" x14ac:dyDescent="0.35">
      <c r="C64" s="21" t="s">
        <v>411</v>
      </c>
    </row>
    <row r="65" spans="2:3" ht="10" customHeight="1" x14ac:dyDescent="0.35"/>
    <row r="66" spans="2:3" ht="3" customHeight="1" x14ac:dyDescent="0.35">
      <c r="B66" s="23"/>
      <c r="C66" s="23"/>
    </row>
    <row r="67" spans="2:3" ht="12" customHeight="1" x14ac:dyDescent="0.35"/>
    <row r="68" spans="2:3" ht="101.5" x14ac:dyDescent="0.35">
      <c r="B68" s="20" t="s">
        <v>412</v>
      </c>
      <c r="C68" s="21" t="s">
        <v>413</v>
      </c>
    </row>
    <row r="69" spans="2:3" ht="6" customHeight="1" x14ac:dyDescent="0.35"/>
    <row r="70" spans="2:3" ht="145" x14ac:dyDescent="0.35">
      <c r="C70" s="21" t="s">
        <v>414</v>
      </c>
    </row>
    <row r="71" spans="2:3" ht="6" customHeight="1" x14ac:dyDescent="0.35"/>
    <row r="72" spans="2:3" ht="43.5" x14ac:dyDescent="0.35">
      <c r="C72" s="21" t="s">
        <v>415</v>
      </c>
    </row>
    <row r="73" spans="2:3" ht="10" customHeight="1" x14ac:dyDescent="0.35"/>
    <row r="74" spans="2:3" ht="3" customHeight="1" x14ac:dyDescent="0.35">
      <c r="B74" s="23"/>
      <c r="C74" s="23"/>
    </row>
    <row r="75" spans="2:3" ht="12" customHeight="1" x14ac:dyDescent="0.35"/>
    <row r="76" spans="2:3" ht="26" customHeight="1" x14ac:dyDescent="0.35">
      <c r="B76" s="36" t="s">
        <v>416</v>
      </c>
    </row>
    <row r="77" spans="2:3" ht="8" customHeight="1" x14ac:dyDescent="0.35"/>
    <row r="78" spans="2:3" ht="20" customHeight="1" x14ac:dyDescent="0.35">
      <c r="B78" s="29" t="s">
        <v>417</v>
      </c>
      <c r="C78" s="37" t="s">
        <v>418</v>
      </c>
    </row>
    <row r="79" spans="2:3" ht="116" x14ac:dyDescent="0.35">
      <c r="C79" s="21" t="s">
        <v>419</v>
      </c>
    </row>
    <row r="80" spans="2:3" ht="10" customHeight="1" x14ac:dyDescent="0.35"/>
    <row r="81" spans="2:3" ht="20" customHeight="1" x14ac:dyDescent="0.35">
      <c r="B81" s="29" t="s">
        <v>420</v>
      </c>
      <c r="C81" s="37" t="s">
        <v>421</v>
      </c>
    </row>
    <row r="82" spans="2:3" ht="116" x14ac:dyDescent="0.35">
      <c r="C82" s="21" t="s">
        <v>422</v>
      </c>
    </row>
    <row r="83" spans="2:3" ht="10" customHeight="1" x14ac:dyDescent="0.35"/>
    <row r="84" spans="2:3" ht="20" customHeight="1" x14ac:dyDescent="0.35">
      <c r="B84" s="29" t="s">
        <v>423</v>
      </c>
      <c r="C84" s="37" t="s">
        <v>424</v>
      </c>
    </row>
    <row r="85" spans="2:3" ht="130.5" x14ac:dyDescent="0.35">
      <c r="C85" s="21" t="s">
        <v>425</v>
      </c>
    </row>
    <row r="86" spans="2:3" ht="10" customHeight="1" x14ac:dyDescent="0.35"/>
    <row r="87" spans="2:3" ht="20" customHeight="1" x14ac:dyDescent="0.35">
      <c r="B87" s="29" t="s">
        <v>426</v>
      </c>
      <c r="C87" s="37" t="s">
        <v>427</v>
      </c>
    </row>
    <row r="88" spans="2:3" ht="130.5" x14ac:dyDescent="0.35">
      <c r="C88" s="21" t="s">
        <v>428</v>
      </c>
    </row>
    <row r="89" spans="2:3" ht="10" customHeight="1" x14ac:dyDescent="0.35"/>
    <row r="90" spans="2:3" ht="20" customHeight="1" x14ac:dyDescent="0.35">
      <c r="B90" s="29" t="s">
        <v>429</v>
      </c>
      <c r="C90" s="37" t="s">
        <v>430</v>
      </c>
    </row>
    <row r="91" spans="2:3" ht="116" x14ac:dyDescent="0.35">
      <c r="C91" s="21" t="s">
        <v>431</v>
      </c>
    </row>
    <row r="92" spans="2:3" ht="10" customHeight="1" x14ac:dyDescent="0.35"/>
    <row r="93" spans="2:3" ht="20" customHeight="1" x14ac:dyDescent="0.35">
      <c r="B93" s="29" t="s">
        <v>432</v>
      </c>
      <c r="C93" s="37" t="s">
        <v>433</v>
      </c>
    </row>
    <row r="94" spans="2:3" ht="116" x14ac:dyDescent="0.35">
      <c r="C94" s="21" t="s">
        <v>434</v>
      </c>
    </row>
    <row r="95" spans="2:3" ht="10" customHeight="1" x14ac:dyDescent="0.35"/>
    <row r="96" spans="2:3" ht="20" customHeight="1" x14ac:dyDescent="0.35">
      <c r="B96" s="29" t="s">
        <v>435</v>
      </c>
      <c r="C96" s="37" t="s">
        <v>436</v>
      </c>
    </row>
    <row r="97" spans="2:3" ht="130.5" x14ac:dyDescent="0.35">
      <c r="C97" s="21" t="s">
        <v>437</v>
      </c>
    </row>
    <row r="98" spans="2:3" ht="10" customHeight="1" x14ac:dyDescent="0.35"/>
    <row r="99" spans="2:3" ht="20" customHeight="1" x14ac:dyDescent="0.35">
      <c r="B99" s="29" t="s">
        <v>438</v>
      </c>
      <c r="C99" s="37" t="s">
        <v>439</v>
      </c>
    </row>
    <row r="100" spans="2:3" ht="203" x14ac:dyDescent="0.35">
      <c r="C100" s="21" t="s">
        <v>440</v>
      </c>
    </row>
    <row r="101" spans="2:3" ht="10" customHeight="1" x14ac:dyDescent="0.35"/>
    <row r="104" spans="2:3" ht="32" customHeight="1" x14ac:dyDescent="0.35">
      <c r="B104" s="288" t="s">
        <v>357</v>
      </c>
      <c r="C104" s="288"/>
    </row>
  </sheetData>
  <sheetProtection password="90EA" sheet="1"/>
  <mergeCells count="1">
    <mergeCell ref="B104:C104"/>
  </mergeCells>
  <hyperlinks>
    <hyperlink ref="C5" r:id="rId1" xr:uid="{00000000-0004-0000-0000-000000000000}"/>
    <hyperlink ref="C6" r:id="rId2" xr:uid="{00000000-0004-0000-0000-000001000000}"/>
    <hyperlink ref="C37" r:id="rId3" xr:uid="{00000000-0004-0000-0000-000002000000}"/>
    <hyperlink ref="C38" r:id="rId4" location="/" xr:uid="{00000000-0004-0000-0000-000003000000}"/>
    <hyperlink ref="B104" r:id="rId5" xr:uid="{00000000-0004-0000-0000-000004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3104</v>
      </c>
      <c r="B1" s="230" t="s">
        <v>1</v>
      </c>
      <c r="C1" s="230" t="s">
        <v>601</v>
      </c>
      <c r="D1" s="230" t="s">
        <v>602</v>
      </c>
      <c r="E1" s="230" t="s">
        <v>607</v>
      </c>
      <c r="F1" s="230" t="s">
        <v>608</v>
      </c>
      <c r="G1" s="230" t="s">
        <v>609</v>
      </c>
      <c r="H1" s="230" t="s">
        <v>610</v>
      </c>
      <c r="I1" s="230" t="s">
        <v>611</v>
      </c>
      <c r="J1" s="230" t="s">
        <v>612</v>
      </c>
      <c r="K1" s="230" t="s">
        <v>613</v>
      </c>
      <c r="L1" s="230" t="s">
        <v>614</v>
      </c>
      <c r="M1" s="230" t="s">
        <v>615</v>
      </c>
      <c r="N1" s="230" t="s">
        <v>616</v>
      </c>
      <c r="O1" s="230" t="s">
        <v>617</v>
      </c>
      <c r="P1" s="230" t="s">
        <v>618</v>
      </c>
      <c r="Q1" s="230" t="s">
        <v>619</v>
      </c>
      <c r="R1" s="230" t="s">
        <v>620</v>
      </c>
      <c r="S1" s="230" t="s">
        <v>621</v>
      </c>
      <c r="T1" s="230" t="s">
        <v>622</v>
      </c>
      <c r="U1" s="230" t="s">
        <v>623</v>
      </c>
      <c r="V1" s="230" t="s">
        <v>624</v>
      </c>
      <c r="W1" s="230" t="s">
        <v>625</v>
      </c>
      <c r="X1" s="230" t="s">
        <v>626</v>
      </c>
      <c r="Y1" s="230" t="s">
        <v>627</v>
      </c>
      <c r="Z1" s="230" t="s">
        <v>628</v>
      </c>
      <c r="AA1" s="230" t="s">
        <v>629</v>
      </c>
      <c r="AB1" s="230" t="s">
        <v>630</v>
      </c>
      <c r="AC1" s="230" t="s">
        <v>631</v>
      </c>
      <c r="AD1" s="230" t="s">
        <v>632</v>
      </c>
      <c r="AE1" s="230" t="s">
        <v>633</v>
      </c>
      <c r="AF1" s="230" t="s">
        <v>634</v>
      </c>
      <c r="AG1" s="230" t="s">
        <v>635</v>
      </c>
      <c r="AH1" s="230" t="s">
        <v>636</v>
      </c>
      <c r="AI1" s="230" t="s">
        <v>637</v>
      </c>
      <c r="AJ1" s="230" t="s">
        <v>638</v>
      </c>
      <c r="AK1" s="230" t="s">
        <v>639</v>
      </c>
      <c r="AL1" s="230" t="s">
        <v>640</v>
      </c>
      <c r="AM1" s="230" t="s">
        <v>641</v>
      </c>
      <c r="AN1" s="230" t="s">
        <v>642</v>
      </c>
      <c r="AO1" s="230" t="s">
        <v>643</v>
      </c>
      <c r="AP1" s="230" t="s">
        <v>644</v>
      </c>
      <c r="AQ1" s="230" t="s">
        <v>645</v>
      </c>
      <c r="AR1" s="230" t="s">
        <v>646</v>
      </c>
      <c r="AS1" s="231" t="s">
        <v>647</v>
      </c>
    </row>
    <row r="2" spans="1:45" ht="60" customHeight="1" outlineLevel="1" x14ac:dyDescent="0.35">
      <c r="A2" s="223" t="s">
        <v>3105</v>
      </c>
      <c r="B2" s="210" t="s">
        <v>3106</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3105</v>
      </c>
      <c r="B3" s="211" t="s">
        <v>3107</v>
      </c>
      <c r="C3" s="212" t="s">
        <v>3108</v>
      </c>
      <c r="D3" s="214" t="s">
        <v>3109</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3105</v>
      </c>
      <c r="B4" s="211" t="s">
        <v>3110</v>
      </c>
      <c r="C4" s="212" t="s">
        <v>3111</v>
      </c>
      <c r="D4" s="214" t="s">
        <v>3112</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3105</v>
      </c>
      <c r="B5" s="211" t="s">
        <v>3113</v>
      </c>
      <c r="C5" s="212" t="s">
        <v>3114</v>
      </c>
      <c r="D5" s="214" t="s">
        <v>3115</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3105</v>
      </c>
      <c r="B6" s="211" t="s">
        <v>3116</v>
      </c>
      <c r="C6" s="212" t="s">
        <v>3117</v>
      </c>
      <c r="D6" s="214" t="s">
        <v>3118</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3105</v>
      </c>
      <c r="B7" s="211" t="s">
        <v>3119</v>
      </c>
      <c r="C7" s="212" t="s">
        <v>3120</v>
      </c>
      <c r="D7" s="214" t="s">
        <v>3121</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3105</v>
      </c>
      <c r="B8" s="211" t="s">
        <v>3122</v>
      </c>
      <c r="C8" s="212" t="s">
        <v>3123</v>
      </c>
      <c r="D8" s="214" t="s">
        <v>3124</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3105</v>
      </c>
      <c r="B9" s="211" t="s">
        <v>3125</v>
      </c>
      <c r="C9" s="212" t="s">
        <v>3126</v>
      </c>
      <c r="D9" s="214" t="s">
        <v>3127</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3105</v>
      </c>
      <c r="B10" s="211" t="s">
        <v>3128</v>
      </c>
      <c r="C10" s="212" t="s">
        <v>3129</v>
      </c>
      <c r="D10" s="214" t="s">
        <v>3130</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3105</v>
      </c>
      <c r="B11" s="211" t="s">
        <v>3131</v>
      </c>
      <c r="C11" s="212" t="s">
        <v>3132</v>
      </c>
      <c r="D11" s="214" t="s">
        <v>3133</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3105</v>
      </c>
      <c r="B12" s="211" t="s">
        <v>3134</v>
      </c>
      <c r="C12" s="212" t="s">
        <v>3135</v>
      </c>
      <c r="D12" s="214" t="s">
        <v>3136</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3105</v>
      </c>
      <c r="B13" s="211" t="s">
        <v>3137</v>
      </c>
      <c r="C13" s="212" t="s">
        <v>3138</v>
      </c>
      <c r="D13" s="214" t="s">
        <v>3139</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3105</v>
      </c>
      <c r="B14" s="211" t="s">
        <v>3140</v>
      </c>
      <c r="C14" s="212" t="s">
        <v>3141</v>
      </c>
      <c r="D14" s="214" t="s">
        <v>3142</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3105</v>
      </c>
      <c r="B15" s="211" t="s">
        <v>3143</v>
      </c>
      <c r="C15" s="212" t="s">
        <v>3144</v>
      </c>
      <c r="D15" s="214" t="s">
        <v>3145</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3105</v>
      </c>
      <c r="B16" s="211" t="s">
        <v>3146</v>
      </c>
      <c r="C16" s="212" t="s">
        <v>3147</v>
      </c>
      <c r="D16" s="214" t="s">
        <v>3148</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3105</v>
      </c>
      <c r="B17" s="211" t="s">
        <v>3149</v>
      </c>
      <c r="C17" s="212" t="s">
        <v>3150</v>
      </c>
      <c r="D17" s="214" t="s">
        <v>3151</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3105</v>
      </c>
      <c r="B18" s="211" t="s">
        <v>3152</v>
      </c>
      <c r="C18" s="212" t="s">
        <v>3153</v>
      </c>
      <c r="D18" s="214" t="s">
        <v>3154</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3105</v>
      </c>
      <c r="B19" s="211" t="s">
        <v>3155</v>
      </c>
      <c r="C19" s="212" t="s">
        <v>3156</v>
      </c>
      <c r="D19" s="214" t="s">
        <v>3157</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3105</v>
      </c>
      <c r="B20" s="211" t="s">
        <v>3158</v>
      </c>
      <c r="C20" s="212" t="s">
        <v>3159</v>
      </c>
      <c r="D20" s="214" t="s">
        <v>3160</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3105</v>
      </c>
      <c r="B21" s="211" t="s">
        <v>3161</v>
      </c>
      <c r="C21" s="212" t="s">
        <v>3162</v>
      </c>
      <c r="D21" s="214" t="s">
        <v>3163</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3105</v>
      </c>
      <c r="B22" s="211" t="s">
        <v>3164</v>
      </c>
      <c r="C22" s="212" t="s">
        <v>3165</v>
      </c>
      <c r="D22" s="214" t="s">
        <v>3166</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3105</v>
      </c>
      <c r="B23" s="211" t="s">
        <v>3167</v>
      </c>
      <c r="C23" s="212" t="s">
        <v>3168</v>
      </c>
      <c r="D23" s="214" t="s">
        <v>3169</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3105</v>
      </c>
      <c r="B24" s="211" t="s">
        <v>3170</v>
      </c>
      <c r="C24" s="212" t="s">
        <v>3171</v>
      </c>
      <c r="D24" s="214" t="s">
        <v>3172</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3105</v>
      </c>
      <c r="B25" s="211" t="s">
        <v>3173</v>
      </c>
      <c r="C25" s="212" t="s">
        <v>3174</v>
      </c>
      <c r="D25" s="214" t="s">
        <v>3175</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3105</v>
      </c>
      <c r="B26" s="211" t="s">
        <v>3176</v>
      </c>
      <c r="C26" s="212" t="s">
        <v>3177</v>
      </c>
      <c r="D26" s="214" t="s">
        <v>3178</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3105</v>
      </c>
      <c r="B27" s="211" t="s">
        <v>3179</v>
      </c>
      <c r="C27" s="212" t="s">
        <v>3180</v>
      </c>
      <c r="D27" s="214" t="s">
        <v>3181</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3105</v>
      </c>
      <c r="B28" s="211" t="s">
        <v>3182</v>
      </c>
      <c r="C28" s="212" t="s">
        <v>3183</v>
      </c>
      <c r="D28" s="214" t="s">
        <v>3184</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3105</v>
      </c>
      <c r="B29" s="211" t="s">
        <v>3185</v>
      </c>
      <c r="C29" s="212" t="s">
        <v>3186</v>
      </c>
      <c r="D29" s="214" t="s">
        <v>3187</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3105</v>
      </c>
      <c r="B30" s="211" t="s">
        <v>3188</v>
      </c>
      <c r="C30" s="212" t="s">
        <v>3189</v>
      </c>
      <c r="D30" s="214" t="s">
        <v>3190</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3105</v>
      </c>
      <c r="B31" s="211" t="s">
        <v>3191</v>
      </c>
      <c r="C31" s="212" t="s">
        <v>3192</v>
      </c>
      <c r="D31" s="214" t="s">
        <v>3193</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3105</v>
      </c>
      <c r="B32" s="211" t="s">
        <v>3194</v>
      </c>
      <c r="C32" s="212" t="s">
        <v>3195</v>
      </c>
      <c r="D32" s="214" t="s">
        <v>3196</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3105</v>
      </c>
      <c r="B33" s="211" t="s">
        <v>3197</v>
      </c>
      <c r="C33" s="212" t="s">
        <v>3198</v>
      </c>
      <c r="D33" s="214" t="s">
        <v>3199</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3105</v>
      </c>
      <c r="B34" s="211" t="s">
        <v>3200</v>
      </c>
      <c r="C34" s="212" t="s">
        <v>3201</v>
      </c>
      <c r="D34" s="214" t="s">
        <v>3202</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3105</v>
      </c>
      <c r="B35" s="211" t="s">
        <v>3203</v>
      </c>
      <c r="C35" s="212" t="s">
        <v>3204</v>
      </c>
      <c r="D35" s="214" t="s">
        <v>3205</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3105</v>
      </c>
      <c r="B36" s="211" t="s">
        <v>3206</v>
      </c>
      <c r="C36" s="212" t="s">
        <v>3207</v>
      </c>
      <c r="D36" s="214" t="s">
        <v>3208</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3105</v>
      </c>
      <c r="B37" s="211" t="s">
        <v>3209</v>
      </c>
      <c r="C37" s="212" t="s">
        <v>3210</v>
      </c>
      <c r="D37" s="214" t="s">
        <v>3211</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3105</v>
      </c>
      <c r="B38" s="211" t="s">
        <v>3212</v>
      </c>
      <c r="C38" s="212" t="s">
        <v>3213</v>
      </c>
      <c r="D38" s="214" t="s">
        <v>3214</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3105</v>
      </c>
      <c r="B39" s="211" t="s">
        <v>3215</v>
      </c>
      <c r="C39" s="212" t="s">
        <v>3216</v>
      </c>
      <c r="D39" s="214" t="s">
        <v>3217</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3218</v>
      </c>
      <c r="B40" s="210" t="s">
        <v>3219</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3218</v>
      </c>
      <c r="B41" s="211" t="s">
        <v>3220</v>
      </c>
      <c r="C41" s="212" t="s">
        <v>3221</v>
      </c>
      <c r="D41" s="214" t="s">
        <v>3222</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3218</v>
      </c>
      <c r="B42" s="211" t="s">
        <v>3223</v>
      </c>
      <c r="C42" s="212" t="s">
        <v>3224</v>
      </c>
      <c r="D42" s="214" t="s">
        <v>3225</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3218</v>
      </c>
      <c r="B43" s="211" t="s">
        <v>3226</v>
      </c>
      <c r="C43" s="212" t="s">
        <v>3227</v>
      </c>
      <c r="D43" s="214" t="s">
        <v>3228</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3218</v>
      </c>
      <c r="B44" s="211" t="s">
        <v>3229</v>
      </c>
      <c r="C44" s="212" t="s">
        <v>3230</v>
      </c>
      <c r="D44" s="214" t="s">
        <v>3231</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3218</v>
      </c>
      <c r="B45" s="211" t="s">
        <v>3232</v>
      </c>
      <c r="C45" s="212" t="s">
        <v>3233</v>
      </c>
      <c r="D45" s="214" t="s">
        <v>3234</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3218</v>
      </c>
      <c r="B46" s="211" t="s">
        <v>3235</v>
      </c>
      <c r="C46" s="212" t="s">
        <v>3236</v>
      </c>
      <c r="D46" s="214" t="s">
        <v>3237</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3218</v>
      </c>
      <c r="B47" s="211" t="s">
        <v>3238</v>
      </c>
      <c r="C47" s="212" t="s">
        <v>3239</v>
      </c>
      <c r="D47" s="214" t="s">
        <v>3240</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3218</v>
      </c>
      <c r="B48" s="211" t="s">
        <v>3241</v>
      </c>
      <c r="C48" s="212" t="s">
        <v>3242</v>
      </c>
      <c r="D48" s="214" t="s">
        <v>3243</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3244</v>
      </c>
      <c r="B49" s="210" t="s">
        <v>3245</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3244</v>
      </c>
      <c r="B50" s="211" t="s">
        <v>3246</v>
      </c>
      <c r="C50" s="212" t="s">
        <v>3247</v>
      </c>
      <c r="D50" s="214" t="s">
        <v>3248</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3244</v>
      </c>
      <c r="B51" s="211" t="s">
        <v>3249</v>
      </c>
      <c r="C51" s="212" t="s">
        <v>3250</v>
      </c>
      <c r="D51" s="214" t="s">
        <v>3251</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3244</v>
      </c>
      <c r="B52" s="211" t="s">
        <v>3252</v>
      </c>
      <c r="C52" s="212" t="s">
        <v>3253</v>
      </c>
      <c r="D52" s="214" t="s">
        <v>3254</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3244</v>
      </c>
      <c r="B53" s="211" t="s">
        <v>3255</v>
      </c>
      <c r="C53" s="212" t="s">
        <v>3256</v>
      </c>
      <c r="D53" s="214" t="s">
        <v>3257</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3244</v>
      </c>
      <c r="B54" s="211" t="s">
        <v>3258</v>
      </c>
      <c r="C54" s="212" t="s">
        <v>3259</v>
      </c>
      <c r="D54" s="214" t="s">
        <v>3260</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3244</v>
      </c>
      <c r="B55" s="211" t="s">
        <v>3261</v>
      </c>
      <c r="C55" s="212" t="s">
        <v>3262</v>
      </c>
      <c r="D55" s="214" t="s">
        <v>3263</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3244</v>
      </c>
      <c r="B56" s="211" t="s">
        <v>3264</v>
      </c>
      <c r="C56" s="212" t="s">
        <v>3265</v>
      </c>
      <c r="D56" s="214" t="s">
        <v>3266</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3244</v>
      </c>
      <c r="B57" s="211" t="s">
        <v>3267</v>
      </c>
      <c r="C57" s="212" t="s">
        <v>3268</v>
      </c>
      <c r="D57" s="214" t="s">
        <v>3269</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3244</v>
      </c>
      <c r="B58" s="211" t="s">
        <v>3270</v>
      </c>
      <c r="C58" s="212" t="s">
        <v>3271</v>
      </c>
      <c r="D58" s="214" t="s">
        <v>3272</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3244</v>
      </c>
      <c r="B59" s="211" t="s">
        <v>3273</v>
      </c>
      <c r="C59" s="212" t="s">
        <v>3274</v>
      </c>
      <c r="D59" s="214" t="s">
        <v>3275</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3244</v>
      </c>
      <c r="B60" s="211" t="s">
        <v>3276</v>
      </c>
      <c r="C60" s="212" t="s">
        <v>3277</v>
      </c>
      <c r="D60" s="214" t="s">
        <v>3278</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3244</v>
      </c>
      <c r="B61" s="211" t="s">
        <v>3279</v>
      </c>
      <c r="C61" s="212" t="s">
        <v>3280</v>
      </c>
      <c r="D61" s="214" t="s">
        <v>3281</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3244</v>
      </c>
      <c r="B62" s="211" t="s">
        <v>3282</v>
      </c>
      <c r="C62" s="212" t="s">
        <v>3283</v>
      </c>
      <c r="D62" s="214" t="s">
        <v>3284</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3244</v>
      </c>
      <c r="B63" s="211" t="s">
        <v>3285</v>
      </c>
      <c r="C63" s="212" t="s">
        <v>3286</v>
      </c>
      <c r="D63" s="214" t="s">
        <v>3287</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3288</v>
      </c>
      <c r="B64" s="210" t="s">
        <v>3289</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3288</v>
      </c>
      <c r="B65" s="211" t="s">
        <v>3290</v>
      </c>
      <c r="C65" s="212" t="s">
        <v>3291</v>
      </c>
      <c r="D65" s="214" t="s">
        <v>3292</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3288</v>
      </c>
      <c r="B66" s="211" t="s">
        <v>3293</v>
      </c>
      <c r="C66" s="212" t="s">
        <v>3294</v>
      </c>
      <c r="D66" s="214" t="s">
        <v>3295</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3288</v>
      </c>
      <c r="B67" s="211" t="s">
        <v>3296</v>
      </c>
      <c r="C67" s="212" t="s">
        <v>3297</v>
      </c>
      <c r="D67" s="214" t="s">
        <v>3298</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3288</v>
      </c>
      <c r="B68" s="211" t="s">
        <v>3299</v>
      </c>
      <c r="C68" s="212" t="s">
        <v>3300</v>
      </c>
      <c r="D68" s="214" t="s">
        <v>3301</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3288</v>
      </c>
      <c r="B69" s="211" t="s">
        <v>3302</v>
      </c>
      <c r="C69" s="212" t="s">
        <v>3303</v>
      </c>
      <c r="D69" s="214" t="s">
        <v>3304</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3288</v>
      </c>
      <c r="B70" s="211" t="s">
        <v>3305</v>
      </c>
      <c r="C70" s="212" t="s">
        <v>3306</v>
      </c>
      <c r="D70" s="214" t="s">
        <v>3307</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3288</v>
      </c>
      <c r="B71" s="211" t="s">
        <v>3308</v>
      </c>
      <c r="C71" s="212" t="s">
        <v>3309</v>
      </c>
      <c r="D71" s="214" t="s">
        <v>3310</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3288</v>
      </c>
      <c r="B72" s="211" t="s">
        <v>3311</v>
      </c>
      <c r="C72" s="212" t="s">
        <v>3312</v>
      </c>
      <c r="D72" s="214" t="s">
        <v>3313</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3288</v>
      </c>
      <c r="B73" s="211" t="s">
        <v>3314</v>
      </c>
      <c r="C73" s="212" t="s">
        <v>3315</v>
      </c>
      <c r="D73" s="214" t="s">
        <v>3316</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3288</v>
      </c>
      <c r="B74" s="211" t="s">
        <v>3317</v>
      </c>
      <c r="C74" s="212" t="s">
        <v>3318</v>
      </c>
      <c r="D74" s="214" t="s">
        <v>3319</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3288</v>
      </c>
      <c r="B75" s="211" t="s">
        <v>3320</v>
      </c>
      <c r="C75" s="212" t="s">
        <v>3321</v>
      </c>
      <c r="D75" s="214" t="s">
        <v>3322</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3288</v>
      </c>
      <c r="B76" s="211" t="s">
        <v>3323</v>
      </c>
      <c r="C76" s="212" t="s">
        <v>3324</v>
      </c>
      <c r="D76" s="214" t="s">
        <v>3325</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3288</v>
      </c>
      <c r="B77" s="211" t="s">
        <v>3326</v>
      </c>
      <c r="C77" s="212" t="s">
        <v>3327</v>
      </c>
      <c r="D77" s="214" t="s">
        <v>3328</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3288</v>
      </c>
      <c r="B78" s="211" t="s">
        <v>3329</v>
      </c>
      <c r="C78" s="212" t="s">
        <v>3330</v>
      </c>
      <c r="D78" s="214" t="s">
        <v>3331</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3288</v>
      </c>
      <c r="B79" s="211" t="s">
        <v>3332</v>
      </c>
      <c r="C79" s="212" t="s">
        <v>3333</v>
      </c>
      <c r="D79" s="214" t="s">
        <v>3334</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3288</v>
      </c>
      <c r="B80" s="211" t="s">
        <v>3335</v>
      </c>
      <c r="C80" s="212" t="s">
        <v>3336</v>
      </c>
      <c r="D80" s="214" t="s">
        <v>3337</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3288</v>
      </c>
      <c r="B81" s="211" t="s">
        <v>3338</v>
      </c>
      <c r="C81" s="212" t="s">
        <v>3339</v>
      </c>
      <c r="D81" s="214" t="s">
        <v>3340</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3288</v>
      </c>
      <c r="B82" s="211" t="s">
        <v>3341</v>
      </c>
      <c r="C82" s="212" t="s">
        <v>3342</v>
      </c>
      <c r="D82" s="214" t="s">
        <v>3343</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3288</v>
      </c>
      <c r="B83" s="211" t="s">
        <v>3344</v>
      </c>
      <c r="C83" s="212" t="s">
        <v>3345</v>
      </c>
      <c r="D83" s="214" t="s">
        <v>3346</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3288</v>
      </c>
      <c r="B84" s="211" t="s">
        <v>3347</v>
      </c>
      <c r="C84" s="212" t="s">
        <v>3348</v>
      </c>
      <c r="D84" s="214" t="s">
        <v>3349</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3288</v>
      </c>
      <c r="B85" s="211" t="s">
        <v>3350</v>
      </c>
      <c r="C85" s="212" t="s">
        <v>3351</v>
      </c>
      <c r="D85" s="214" t="s">
        <v>3352</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3288</v>
      </c>
      <c r="B86" s="211" t="s">
        <v>3353</v>
      </c>
      <c r="C86" s="212" t="s">
        <v>3354</v>
      </c>
      <c r="D86" s="214" t="s">
        <v>3355</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3288</v>
      </c>
      <c r="B87" s="211" t="s">
        <v>3356</v>
      </c>
      <c r="C87" s="212" t="s">
        <v>3357</v>
      </c>
      <c r="D87" s="214" t="s">
        <v>3358</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3288</v>
      </c>
      <c r="B88" s="211" t="s">
        <v>3359</v>
      </c>
      <c r="C88" s="212" t="s">
        <v>3360</v>
      </c>
      <c r="D88" s="214" t="s">
        <v>3361</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3288</v>
      </c>
      <c r="B89" s="211" t="s">
        <v>3362</v>
      </c>
      <c r="C89" s="212" t="s">
        <v>3363</v>
      </c>
      <c r="D89" s="214" t="s">
        <v>3364</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3288</v>
      </c>
      <c r="B90" s="211" t="s">
        <v>3365</v>
      </c>
      <c r="C90" s="212" t="s">
        <v>3366</v>
      </c>
      <c r="D90" s="214" t="s">
        <v>3367</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3288</v>
      </c>
      <c r="B91" s="211" t="s">
        <v>3368</v>
      </c>
      <c r="C91" s="212" t="s">
        <v>3369</v>
      </c>
      <c r="D91" s="214" t="s">
        <v>3370</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3288</v>
      </c>
      <c r="B92" s="211" t="s">
        <v>3371</v>
      </c>
      <c r="C92" s="212" t="s">
        <v>3372</v>
      </c>
      <c r="D92" s="214" t="s">
        <v>3373</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3288</v>
      </c>
      <c r="B93" s="211" t="s">
        <v>3374</v>
      </c>
      <c r="C93" s="212" t="s">
        <v>3375</v>
      </c>
      <c r="D93" s="214" t="s">
        <v>3376</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3288</v>
      </c>
      <c r="B94" s="211" t="s">
        <v>3377</v>
      </c>
      <c r="C94" s="212" t="s">
        <v>3378</v>
      </c>
      <c r="D94" s="214" t="s">
        <v>3379</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3288</v>
      </c>
      <c r="B95" s="211" t="s">
        <v>3380</v>
      </c>
      <c r="C95" s="212" t="s">
        <v>3381</v>
      </c>
      <c r="D95" s="214" t="s">
        <v>3382</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3288</v>
      </c>
      <c r="B96" s="211" t="s">
        <v>3383</v>
      </c>
      <c r="C96" s="212" t="s">
        <v>3384</v>
      </c>
      <c r="D96" s="214" t="s">
        <v>3385</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3288</v>
      </c>
      <c r="B97" s="211" t="s">
        <v>3386</v>
      </c>
      <c r="C97" s="212" t="s">
        <v>3387</v>
      </c>
      <c r="D97" s="214" t="s">
        <v>3388</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3288</v>
      </c>
      <c r="B98" s="218" t="s">
        <v>3389</v>
      </c>
      <c r="C98" s="219" t="s">
        <v>3390</v>
      </c>
      <c r="D98" s="220" t="s">
        <v>3391</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357</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IFERROR(INDEX('Recommendations'!$I$2:$I$56, MATCH(F2,'Recommendations'!$B$2:$B$56,0))="Implemented", FALSE))</xm:f>
            <x14:dxf>
              <font>
                <color rgb="FF000000"/>
              </font>
              <fill>
                <patternFill>
                  <bgColor rgb="FF3C7D22"/>
                </patternFill>
              </fill>
            </x14:dxf>
          </x14:cfRule>
          <x14:cfRule type="expression" priority="2" id="{00000000-000E-0000-0900-000002000000}">
            <xm:f>AND(F2&lt;&gt;"", IFERROR(INDEX('Recommendations'!$I$2:$I$56, MATCH(F2,'Recommendations'!$B$2:$B$56,0))="Compensated", FALSE))</xm:f>
            <x14:dxf>
              <font>
                <color rgb="FF000000"/>
              </font>
              <fill>
                <patternFill>
                  <bgColor rgb="FFC6E0B4"/>
                </patternFill>
              </fill>
            </x14:dxf>
          </x14:cfRule>
          <x14:cfRule type="expression" priority="3" id="{00000000-000E-0000-0900-000003000000}">
            <xm:f>AND(F2&lt;&gt;"", IFERROR(INDEX('Recommendations'!$I$2:$I$56, MATCH(F2,'Recommendations'!$B$2:$B$56,0))="Testing", FALSE))</xm:f>
            <x14:dxf>
              <font>
                <color rgb="FF000000"/>
              </font>
              <fill>
                <patternFill>
                  <bgColor rgb="FFFFC000"/>
                </patternFill>
              </fill>
            </x14:dxf>
          </x14:cfRule>
          <x14:cfRule type="expression" priority="4" id="{00000000-000E-0000-0900-000004000000}">
            <xm:f>AND(F2&lt;&gt;"", IFERROR(INDEX('Recommendations'!$I$2:$I$56, MATCH(F2,'Recommendations'!$B$2:$B$56,0))="Failed", FALSE))</xm:f>
            <x14:dxf>
              <font>
                <color rgb="FF000000"/>
              </font>
              <fill>
                <patternFill>
                  <bgColor rgb="FFD82891"/>
                </patternFill>
              </fill>
            </x14:dxf>
          </x14:cfRule>
          <x14:cfRule type="expression" priority="5" id="{00000000-000E-0000-0900-000005000000}">
            <xm:f>AND(F2&lt;&gt;"", IFERROR(INDEX('Recommendations'!$I$2:$I$56, MATCH(F2,'Recommendations'!$B$2:$B$56,0))="Risk Accepted", FALSE))</xm:f>
            <x14:dxf>
              <font>
                <color rgb="FF000000"/>
              </font>
              <fill>
                <patternFill>
                  <bgColor rgb="FFD9D9D9"/>
                </patternFill>
              </fill>
            </x14:dxf>
          </x14:cfRule>
          <x14:cfRule type="expression" priority="6" id="{00000000-000E-0000-0900-000006000000}">
            <xm:f>AND(F2&lt;&gt;"", IFERROR(INDEX('Recommendations'!$I$2:$I$56, MATCH(F2,'Recommendations'!$B$2:$B$56,0))="N/A",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1</v>
      </c>
      <c r="B1" s="253" t="s">
        <v>3392</v>
      </c>
      <c r="C1" s="253" t="s">
        <v>3393</v>
      </c>
      <c r="D1" s="253" t="s">
        <v>3394</v>
      </c>
      <c r="E1" s="253" t="s">
        <v>3395</v>
      </c>
      <c r="F1" s="253" t="s">
        <v>2221</v>
      </c>
      <c r="G1" s="253" t="s">
        <v>3396</v>
      </c>
      <c r="H1" s="253" t="s">
        <v>3397</v>
      </c>
      <c r="I1" s="253" t="s">
        <v>3398</v>
      </c>
      <c r="J1" s="253" t="s">
        <v>13</v>
      </c>
      <c r="K1" s="253" t="s">
        <v>607</v>
      </c>
      <c r="L1" s="253" t="s">
        <v>608</v>
      </c>
      <c r="M1" s="253" t="s">
        <v>609</v>
      </c>
      <c r="N1" s="253" t="s">
        <v>610</v>
      </c>
      <c r="O1" s="253" t="s">
        <v>611</v>
      </c>
      <c r="P1" s="253" t="s">
        <v>612</v>
      </c>
      <c r="Q1" s="253" t="s">
        <v>613</v>
      </c>
      <c r="R1" s="253" t="s">
        <v>614</v>
      </c>
      <c r="S1" s="253" t="s">
        <v>615</v>
      </c>
      <c r="T1" s="253" t="s">
        <v>616</v>
      </c>
      <c r="U1" s="253" t="s">
        <v>617</v>
      </c>
      <c r="V1" s="253" t="s">
        <v>618</v>
      </c>
      <c r="W1" s="253" t="s">
        <v>619</v>
      </c>
      <c r="X1" s="253" t="s">
        <v>620</v>
      </c>
      <c r="Y1" s="253" t="s">
        <v>621</v>
      </c>
      <c r="Z1" s="253" t="s">
        <v>622</v>
      </c>
      <c r="AA1" s="253" t="s">
        <v>623</v>
      </c>
      <c r="AB1" s="253" t="s">
        <v>624</v>
      </c>
      <c r="AC1" s="253" t="s">
        <v>625</v>
      </c>
      <c r="AD1" s="253" t="s">
        <v>626</v>
      </c>
      <c r="AE1" s="253" t="s">
        <v>627</v>
      </c>
      <c r="AF1" s="253" t="s">
        <v>628</v>
      </c>
      <c r="AG1" s="253" t="s">
        <v>629</v>
      </c>
      <c r="AH1" s="253" t="s">
        <v>630</v>
      </c>
      <c r="AI1" s="253" t="s">
        <v>631</v>
      </c>
      <c r="AJ1" s="253" t="s">
        <v>632</v>
      </c>
      <c r="AK1" s="253" t="s">
        <v>633</v>
      </c>
      <c r="AL1" s="253" t="s">
        <v>634</v>
      </c>
      <c r="AM1" s="253" t="s">
        <v>635</v>
      </c>
      <c r="AN1" s="253" t="s">
        <v>636</v>
      </c>
      <c r="AO1" s="253" t="s">
        <v>637</v>
      </c>
      <c r="AP1" s="253" t="s">
        <v>638</v>
      </c>
      <c r="AQ1" s="253" t="s">
        <v>639</v>
      </c>
      <c r="AR1" s="253" t="s">
        <v>640</v>
      </c>
      <c r="AS1" s="253" t="s">
        <v>641</v>
      </c>
      <c r="AT1" s="253" t="s">
        <v>642</v>
      </c>
      <c r="AU1" s="253" t="s">
        <v>643</v>
      </c>
      <c r="AV1" s="253" t="s">
        <v>644</v>
      </c>
      <c r="AW1" s="253" t="s">
        <v>645</v>
      </c>
      <c r="AX1" s="253" t="s">
        <v>646</v>
      </c>
      <c r="AY1" s="254" t="s">
        <v>647</v>
      </c>
    </row>
    <row r="2" spans="1:51" ht="60" customHeight="1" outlineLevel="1" x14ac:dyDescent="0.35">
      <c r="A2" s="244" t="s">
        <v>3399</v>
      </c>
      <c r="B2" s="232" t="s">
        <v>3400</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18</v>
      </c>
      <c r="B3" s="233" t="s">
        <v>3401</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3402</v>
      </c>
      <c r="B4" s="234" t="s">
        <v>3403</v>
      </c>
      <c r="C4" s="234" t="s">
        <v>3404</v>
      </c>
      <c r="D4" s="234" t="s">
        <v>3405</v>
      </c>
      <c r="E4" s="234" t="s">
        <v>3406</v>
      </c>
      <c r="F4" s="234" t="s">
        <v>25</v>
      </c>
      <c r="G4" s="234" t="s">
        <v>25</v>
      </c>
      <c r="H4" s="234" t="s">
        <v>3407</v>
      </c>
      <c r="I4" s="234" t="s">
        <v>25</v>
      </c>
      <c r="J4" s="234" t="s">
        <v>3408</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3409</v>
      </c>
      <c r="B5" s="234" t="s">
        <v>3410</v>
      </c>
      <c r="C5" s="234" t="s">
        <v>3411</v>
      </c>
      <c r="D5" s="234" t="s">
        <v>3412</v>
      </c>
      <c r="E5" s="234" t="s">
        <v>3413</v>
      </c>
      <c r="F5" s="234" t="s">
        <v>3414</v>
      </c>
      <c r="G5" s="234" t="s">
        <v>25</v>
      </c>
      <c r="H5" s="234" t="s">
        <v>3415</v>
      </c>
      <c r="I5" s="234" t="s">
        <v>25</v>
      </c>
      <c r="J5" s="234" t="s">
        <v>3416</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30</v>
      </c>
      <c r="B6" s="233" t="s">
        <v>3417</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3418</v>
      </c>
      <c r="B7" s="234" t="s">
        <v>3419</v>
      </c>
      <c r="C7" s="234" t="s">
        <v>3420</v>
      </c>
      <c r="D7" s="234" t="s">
        <v>3421</v>
      </c>
      <c r="E7" s="234" t="s">
        <v>3413</v>
      </c>
      <c r="F7" s="234" t="s">
        <v>3422</v>
      </c>
      <c r="G7" s="234" t="s">
        <v>25</v>
      </c>
      <c r="H7" s="234" t="s">
        <v>3423</v>
      </c>
      <c r="I7" s="234" t="s">
        <v>25</v>
      </c>
      <c r="J7" s="234" t="s">
        <v>3424</v>
      </c>
      <c r="K7" s="237" t="str">
        <f>IF(COUNTIF(L7:AY7,"&lt;&gt;")=0,"",SUMPRODUCT(((Recommendations[ImplStatus]="Implemented")+(Recommendations[ImplStatus]="Compensated"))*ISNUMBER(MATCH(Recommendations[Id],L7:AY7,0)))/COUNTIF(L7:AY7,"&lt;&gt;"))</f>
        <v/>
      </c>
      <c r="L7" s="240"/>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3425</v>
      </c>
      <c r="B8" s="234" t="s">
        <v>3426</v>
      </c>
      <c r="C8" s="234" t="s">
        <v>3427</v>
      </c>
      <c r="D8" s="234" t="s">
        <v>3428</v>
      </c>
      <c r="E8" s="234" t="s">
        <v>25</v>
      </c>
      <c r="F8" s="234" t="s">
        <v>25</v>
      </c>
      <c r="G8" s="234" t="s">
        <v>25</v>
      </c>
      <c r="H8" s="234" t="s">
        <v>3429</v>
      </c>
      <c r="I8" s="234" t="s">
        <v>3430</v>
      </c>
      <c r="J8" s="234" t="s">
        <v>3431</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3432</v>
      </c>
      <c r="B9" s="234" t="s">
        <v>3433</v>
      </c>
      <c r="C9" s="234" t="s">
        <v>3434</v>
      </c>
      <c r="D9" s="234" t="s">
        <v>3435</v>
      </c>
      <c r="E9" s="234" t="s">
        <v>25</v>
      </c>
      <c r="F9" s="234" t="s">
        <v>25</v>
      </c>
      <c r="G9" s="234" t="s">
        <v>25</v>
      </c>
      <c r="H9" s="234" t="s">
        <v>3436</v>
      </c>
      <c r="I9" s="234" t="s">
        <v>3437</v>
      </c>
      <c r="J9" s="234" t="s">
        <v>3438</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3439</v>
      </c>
      <c r="B10" s="234" t="s">
        <v>3440</v>
      </c>
      <c r="C10" s="234" t="s">
        <v>3441</v>
      </c>
      <c r="D10" s="234" t="s">
        <v>3442</v>
      </c>
      <c r="E10" s="234" t="s">
        <v>25</v>
      </c>
      <c r="F10" s="234" t="s">
        <v>25</v>
      </c>
      <c r="G10" s="234" t="s">
        <v>25</v>
      </c>
      <c r="H10" s="234" t="s">
        <v>3443</v>
      </c>
      <c r="I10" s="234" t="s">
        <v>3444</v>
      </c>
      <c r="J10" s="234" t="s">
        <v>3445</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3446</v>
      </c>
      <c r="B11" s="234" t="s">
        <v>3447</v>
      </c>
      <c r="C11" s="234" t="s">
        <v>3448</v>
      </c>
      <c r="D11" s="234" t="s">
        <v>3449</v>
      </c>
      <c r="E11" s="234" t="s">
        <v>25</v>
      </c>
      <c r="F11" s="234" t="s">
        <v>25</v>
      </c>
      <c r="G11" s="234" t="s">
        <v>25</v>
      </c>
      <c r="H11" s="234" t="s">
        <v>3450</v>
      </c>
      <c r="I11" s="234" t="s">
        <v>25</v>
      </c>
      <c r="J11" s="234" t="s">
        <v>3451</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3452</v>
      </c>
      <c r="B12" s="234" t="s">
        <v>3453</v>
      </c>
      <c r="C12" s="234" t="s">
        <v>3454</v>
      </c>
      <c r="D12" s="234" t="s">
        <v>3455</v>
      </c>
      <c r="E12" s="234" t="s">
        <v>25</v>
      </c>
      <c r="F12" s="234" t="s">
        <v>25</v>
      </c>
      <c r="G12" s="234" t="s">
        <v>3456</v>
      </c>
      <c r="H12" s="234" t="s">
        <v>3457</v>
      </c>
      <c r="I12" s="234" t="s">
        <v>25</v>
      </c>
      <c r="J12" s="234" t="s">
        <v>3458</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3459</v>
      </c>
      <c r="B13" s="234" t="s">
        <v>3460</v>
      </c>
      <c r="C13" s="234" t="s">
        <v>3461</v>
      </c>
      <c r="D13" s="234" t="s">
        <v>3462</v>
      </c>
      <c r="E13" s="234" t="s">
        <v>25</v>
      </c>
      <c r="F13" s="234" t="s">
        <v>25</v>
      </c>
      <c r="G13" s="234" t="s">
        <v>25</v>
      </c>
      <c r="H13" s="234" t="s">
        <v>3463</v>
      </c>
      <c r="I13" s="234" t="s">
        <v>25</v>
      </c>
      <c r="J13" s="234" t="s">
        <v>3464</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3465</v>
      </c>
      <c r="B14" s="234" t="s">
        <v>3466</v>
      </c>
      <c r="C14" s="234" t="s">
        <v>3467</v>
      </c>
      <c r="D14" s="234" t="s">
        <v>3468</v>
      </c>
      <c r="E14" s="234" t="s">
        <v>25</v>
      </c>
      <c r="F14" s="234" t="s">
        <v>3469</v>
      </c>
      <c r="G14" s="234" t="s">
        <v>25</v>
      </c>
      <c r="H14" s="234" t="s">
        <v>3470</v>
      </c>
      <c r="I14" s="234" t="s">
        <v>3471</v>
      </c>
      <c r="J14" s="234" t="s">
        <v>3472</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36</v>
      </c>
      <c r="B15" s="233" t="s">
        <v>3473</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3474</v>
      </c>
      <c r="B16" s="234" t="s">
        <v>3475</v>
      </c>
      <c r="C16" s="234" t="s">
        <v>3476</v>
      </c>
      <c r="D16" s="234" t="s">
        <v>3468</v>
      </c>
      <c r="E16" s="234" t="s">
        <v>25</v>
      </c>
      <c r="F16" s="234" t="s">
        <v>3477</v>
      </c>
      <c r="G16" s="234" t="s">
        <v>25</v>
      </c>
      <c r="H16" s="234" t="s">
        <v>3478</v>
      </c>
      <c r="I16" s="234" t="s">
        <v>25</v>
      </c>
      <c r="J16" s="234" t="s">
        <v>3479</v>
      </c>
      <c r="K16" s="237">
        <f>IF(COUNTIF(L16:AY16,"&lt;&gt;")=0,"",SUMPRODUCT(((Recommendations[ImplStatus]="Implemented")+(Recommendations[ImplStatus]="Compensated"))*ISNUMBER(MATCH(Recommendations[Id],L16:AY16,0)))/COUNTIF(L16:AY16,"&lt;&gt;"))</f>
        <v>0</v>
      </c>
      <c r="L16" s="240" t="s">
        <v>59</v>
      </c>
      <c r="M16" s="240"/>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3480</v>
      </c>
      <c r="B17" s="234" t="s">
        <v>3481</v>
      </c>
      <c r="C17" s="234" t="s">
        <v>3482</v>
      </c>
      <c r="D17" s="234" t="s">
        <v>3483</v>
      </c>
      <c r="E17" s="234" t="s">
        <v>25</v>
      </c>
      <c r="F17" s="234" t="s">
        <v>3477</v>
      </c>
      <c r="G17" s="234" t="s">
        <v>25</v>
      </c>
      <c r="H17" s="234" t="s">
        <v>3484</v>
      </c>
      <c r="I17" s="234" t="s">
        <v>25</v>
      </c>
      <c r="J17" s="234" t="s">
        <v>3485</v>
      </c>
      <c r="K17" s="237" t="str">
        <f>IF(COUNTIF(L17:AY17,"&lt;&gt;")=0,"",SUMPRODUCT(((Recommendations[ImplStatus]="Implemented")+(Recommendations[ImplStatus]="Compensated"))*ISNUMBER(MATCH(Recommendations[Id],L17:AY17,0)))/COUNTIF(L17:AY17,"&lt;&gt;"))</f>
        <v/>
      </c>
      <c r="L17" s="240"/>
      <c r="M17" s="240"/>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3486</v>
      </c>
      <c r="B18" s="234" t="s">
        <v>3487</v>
      </c>
      <c r="C18" s="234" t="s">
        <v>3488</v>
      </c>
      <c r="D18" s="234" t="s">
        <v>25</v>
      </c>
      <c r="E18" s="234" t="s">
        <v>25</v>
      </c>
      <c r="F18" s="234" t="s">
        <v>25</v>
      </c>
      <c r="G18" s="234" t="s">
        <v>25</v>
      </c>
      <c r="H18" s="234" t="s">
        <v>3489</v>
      </c>
      <c r="I18" s="234" t="s">
        <v>25</v>
      </c>
      <c r="J18" s="234" t="s">
        <v>3490</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v>
      </c>
      <c r="B19" s="233" t="s">
        <v>3491</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3492</v>
      </c>
      <c r="B20" s="234" t="s">
        <v>3493</v>
      </c>
      <c r="C20" s="234" t="s">
        <v>3494</v>
      </c>
      <c r="D20" s="234" t="s">
        <v>3495</v>
      </c>
      <c r="E20" s="234" t="s">
        <v>25</v>
      </c>
      <c r="F20" s="234" t="s">
        <v>3496</v>
      </c>
      <c r="G20" s="234" t="s">
        <v>25</v>
      </c>
      <c r="H20" s="234" t="s">
        <v>3497</v>
      </c>
      <c r="I20" s="234" t="s">
        <v>25</v>
      </c>
      <c r="J20" s="234" t="s">
        <v>3498</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3499</v>
      </c>
      <c r="B21" s="234" t="s">
        <v>3500</v>
      </c>
      <c r="C21" s="234" t="s">
        <v>3501</v>
      </c>
      <c r="D21" s="234" t="s">
        <v>3502</v>
      </c>
      <c r="E21" s="234" t="s">
        <v>3503</v>
      </c>
      <c r="F21" s="234" t="s">
        <v>25</v>
      </c>
      <c r="G21" s="234" t="s">
        <v>25</v>
      </c>
      <c r="H21" s="234" t="s">
        <v>3504</v>
      </c>
      <c r="I21" s="234" t="s">
        <v>3505</v>
      </c>
      <c r="J21" s="234" t="s">
        <v>3506</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3507</v>
      </c>
      <c r="B22" s="234" t="s">
        <v>3508</v>
      </c>
      <c r="C22" s="234" t="s">
        <v>3509</v>
      </c>
      <c r="D22" s="234" t="s">
        <v>3510</v>
      </c>
      <c r="E22" s="234" t="s">
        <v>25</v>
      </c>
      <c r="F22" s="234" t="s">
        <v>3511</v>
      </c>
      <c r="G22" s="234" t="s">
        <v>25</v>
      </c>
      <c r="H22" s="234" t="s">
        <v>3512</v>
      </c>
      <c r="I22" s="234" t="s">
        <v>25</v>
      </c>
      <c r="J22" s="234" t="s">
        <v>3513</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3514</v>
      </c>
      <c r="B23" s="234" t="s">
        <v>3515</v>
      </c>
      <c r="C23" s="234" t="s">
        <v>3516</v>
      </c>
      <c r="D23" s="234" t="s">
        <v>3517</v>
      </c>
      <c r="E23" s="234" t="s">
        <v>25</v>
      </c>
      <c r="F23" s="234" t="s">
        <v>25</v>
      </c>
      <c r="G23" s="234" t="s">
        <v>25</v>
      </c>
      <c r="H23" s="234" t="s">
        <v>3518</v>
      </c>
      <c r="I23" s="234" t="s">
        <v>3519</v>
      </c>
      <c r="J23" s="234" t="s">
        <v>3520</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3521</v>
      </c>
      <c r="B24" s="234" t="s">
        <v>3522</v>
      </c>
      <c r="C24" s="234" t="s">
        <v>3523</v>
      </c>
      <c r="D24" s="234" t="s">
        <v>3517</v>
      </c>
      <c r="E24" s="234" t="s">
        <v>25</v>
      </c>
      <c r="F24" s="234" t="s">
        <v>3524</v>
      </c>
      <c r="G24" s="234" t="s">
        <v>25</v>
      </c>
      <c r="H24" s="234" t="s">
        <v>3525</v>
      </c>
      <c r="I24" s="234" t="s">
        <v>25</v>
      </c>
      <c r="J24" s="234" t="s">
        <v>3526</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48</v>
      </c>
      <c r="B25" s="233" t="s">
        <v>3527</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3528</v>
      </c>
      <c r="B26" s="234" t="s">
        <v>3529</v>
      </c>
      <c r="C26" s="234" t="s">
        <v>3530</v>
      </c>
      <c r="D26" s="234" t="s">
        <v>3531</v>
      </c>
      <c r="E26" s="234" t="s">
        <v>25</v>
      </c>
      <c r="F26" s="234" t="s">
        <v>3532</v>
      </c>
      <c r="G26" s="234" t="s">
        <v>25</v>
      </c>
      <c r="H26" s="234" t="s">
        <v>3533</v>
      </c>
      <c r="I26" s="234" t="s">
        <v>25</v>
      </c>
      <c r="J26" s="234" t="s">
        <v>3534</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3535</v>
      </c>
      <c r="B27" s="232" t="s">
        <v>3536</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671</v>
      </c>
      <c r="B28" s="233" t="s">
        <v>3537</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59</v>
      </c>
      <c r="B29" s="234" t="s">
        <v>3538</v>
      </c>
      <c r="C29" s="234" t="s">
        <v>3539</v>
      </c>
      <c r="D29" s="234" t="s">
        <v>3540</v>
      </c>
      <c r="E29" s="234" t="s">
        <v>3541</v>
      </c>
      <c r="F29" s="234" t="s">
        <v>25</v>
      </c>
      <c r="G29" s="234" t="s">
        <v>25</v>
      </c>
      <c r="H29" s="234" t="s">
        <v>3542</v>
      </c>
      <c r="I29" s="234" t="s">
        <v>25</v>
      </c>
      <c r="J29" s="234" t="s">
        <v>3543</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3544</v>
      </c>
      <c r="B30" s="234" t="s">
        <v>3545</v>
      </c>
      <c r="C30" s="234" t="s">
        <v>3411</v>
      </c>
      <c r="D30" s="234" t="s">
        <v>3412</v>
      </c>
      <c r="E30" s="234" t="s">
        <v>25</v>
      </c>
      <c r="F30" s="234" t="s">
        <v>3414</v>
      </c>
      <c r="G30" s="234" t="s">
        <v>25</v>
      </c>
      <c r="H30" s="234" t="s">
        <v>3546</v>
      </c>
      <c r="I30" s="234" t="s">
        <v>25</v>
      </c>
      <c r="J30" s="234" t="s">
        <v>3547</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676</v>
      </c>
      <c r="B31" s="233" t="s">
        <v>3548</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3549</v>
      </c>
      <c r="B32" s="234" t="s">
        <v>3550</v>
      </c>
      <c r="C32" s="234" t="s">
        <v>3551</v>
      </c>
      <c r="D32" s="234" t="s">
        <v>3552</v>
      </c>
      <c r="E32" s="234" t="s">
        <v>25</v>
      </c>
      <c r="F32" s="234" t="s">
        <v>25</v>
      </c>
      <c r="G32" s="234" t="s">
        <v>3553</v>
      </c>
      <c r="H32" s="234" t="s">
        <v>3554</v>
      </c>
      <c r="I32" s="234" t="s">
        <v>25</v>
      </c>
      <c r="J32" s="234" t="s">
        <v>3555</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3556</v>
      </c>
      <c r="B33" s="234" t="s">
        <v>3557</v>
      </c>
      <c r="C33" s="234" t="s">
        <v>3558</v>
      </c>
      <c r="D33" s="234" t="s">
        <v>3559</v>
      </c>
      <c r="E33" s="234" t="s">
        <v>25</v>
      </c>
      <c r="F33" s="234" t="s">
        <v>3560</v>
      </c>
      <c r="G33" s="234" t="s">
        <v>25</v>
      </c>
      <c r="H33" s="234" t="s">
        <v>3561</v>
      </c>
      <c r="I33" s="234" t="s">
        <v>3562</v>
      </c>
      <c r="J33" s="234" t="s">
        <v>3563</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3564</v>
      </c>
      <c r="B34" s="234" t="s">
        <v>3565</v>
      </c>
      <c r="C34" s="234" t="s">
        <v>3566</v>
      </c>
      <c r="D34" s="234" t="s">
        <v>3567</v>
      </c>
      <c r="E34" s="234" t="s">
        <v>25</v>
      </c>
      <c r="F34" s="234" t="s">
        <v>25</v>
      </c>
      <c r="G34" s="234" t="s">
        <v>25</v>
      </c>
      <c r="H34" s="234" t="s">
        <v>3568</v>
      </c>
      <c r="I34" s="234" t="s">
        <v>25</v>
      </c>
      <c r="J34" s="234" t="s">
        <v>3569</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3570</v>
      </c>
      <c r="B35" s="234" t="s">
        <v>3571</v>
      </c>
      <c r="C35" s="234" t="s">
        <v>3572</v>
      </c>
      <c r="D35" s="234" t="s">
        <v>3573</v>
      </c>
      <c r="E35" s="234" t="s">
        <v>25</v>
      </c>
      <c r="F35" s="234" t="s">
        <v>3574</v>
      </c>
      <c r="G35" s="234" t="s">
        <v>25</v>
      </c>
      <c r="H35" s="234" t="s">
        <v>3575</v>
      </c>
      <c r="I35" s="234" t="s">
        <v>25</v>
      </c>
      <c r="J35" s="234" t="s">
        <v>3576</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3577</v>
      </c>
      <c r="B36" s="234" t="s">
        <v>3578</v>
      </c>
      <c r="C36" s="234" t="s">
        <v>3579</v>
      </c>
      <c r="D36" s="234" t="s">
        <v>3580</v>
      </c>
      <c r="E36" s="234" t="s">
        <v>25</v>
      </c>
      <c r="F36" s="234" t="s">
        <v>25</v>
      </c>
      <c r="G36" s="234" t="s">
        <v>3581</v>
      </c>
      <c r="H36" s="234" t="s">
        <v>3582</v>
      </c>
      <c r="I36" s="234" t="s">
        <v>25</v>
      </c>
      <c r="J36" s="234" t="s">
        <v>3583</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3584</v>
      </c>
      <c r="B37" s="234" t="s">
        <v>3585</v>
      </c>
      <c r="C37" s="234" t="s">
        <v>3586</v>
      </c>
      <c r="D37" s="234" t="s">
        <v>3587</v>
      </c>
      <c r="E37" s="234" t="s">
        <v>25</v>
      </c>
      <c r="F37" s="234" t="s">
        <v>3588</v>
      </c>
      <c r="G37" s="234" t="s">
        <v>3589</v>
      </c>
      <c r="H37" s="234" t="s">
        <v>3590</v>
      </c>
      <c r="I37" s="234" t="s">
        <v>25</v>
      </c>
      <c r="J37" s="234" t="s">
        <v>3591</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3592</v>
      </c>
      <c r="B38" s="234" t="s">
        <v>3593</v>
      </c>
      <c r="C38" s="234" t="s">
        <v>3594</v>
      </c>
      <c r="D38" s="234" t="s">
        <v>3595</v>
      </c>
      <c r="E38" s="234" t="s">
        <v>25</v>
      </c>
      <c r="F38" s="234" t="s">
        <v>3588</v>
      </c>
      <c r="G38" s="234" t="s">
        <v>3596</v>
      </c>
      <c r="H38" s="234" t="s">
        <v>3597</v>
      </c>
      <c r="I38" s="234" t="s">
        <v>3598</v>
      </c>
      <c r="J38" s="234" t="s">
        <v>3599</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680</v>
      </c>
      <c r="B39" s="233" t="s">
        <v>3600</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93</v>
      </c>
      <c r="B40" s="234" t="s">
        <v>3601</v>
      </c>
      <c r="C40" s="234" t="s">
        <v>3602</v>
      </c>
      <c r="D40" s="234" t="s">
        <v>3603</v>
      </c>
      <c r="E40" s="234" t="s">
        <v>25</v>
      </c>
      <c r="F40" s="234" t="s">
        <v>25</v>
      </c>
      <c r="G40" s="234" t="s">
        <v>25</v>
      </c>
      <c r="H40" s="234" t="s">
        <v>3604</v>
      </c>
      <c r="I40" s="234" t="s">
        <v>3605</v>
      </c>
      <c r="J40" s="234" t="s">
        <v>3606</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98</v>
      </c>
      <c r="B41" s="234" t="s">
        <v>3607</v>
      </c>
      <c r="C41" s="234" t="s">
        <v>3608</v>
      </c>
      <c r="D41" s="234" t="s">
        <v>25</v>
      </c>
      <c r="E41" s="234" t="s">
        <v>25</v>
      </c>
      <c r="F41" s="234" t="s">
        <v>25</v>
      </c>
      <c r="G41" s="234" t="s">
        <v>25</v>
      </c>
      <c r="H41" s="234" t="s">
        <v>3609</v>
      </c>
      <c r="I41" s="234" t="s">
        <v>25</v>
      </c>
      <c r="J41" s="234" t="s">
        <v>3610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3611</v>
      </c>
      <c r="B42" s="232" t="s">
        <v>3612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165</v>
      </c>
      <c r="B43" s="233" t="s">
        <v>3613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3614</v>
      </c>
      <c r="B44" s="234" t="s">
        <v>3615</v>
      </c>
      <c r="C44" s="234" t="s">
        <v>3616</v>
      </c>
      <c r="D44" s="234" t="s">
        <v>3617</v>
      </c>
      <c r="E44" s="234" t="s">
        <v>3406</v>
      </c>
      <c r="F44" s="234" t="s">
        <v>25</v>
      </c>
      <c r="G44" s="234" t="s">
        <v>25</v>
      </c>
      <c r="H44" s="234" t="s">
        <v>3618</v>
      </c>
      <c r="I44" s="234" t="s">
        <v>25</v>
      </c>
      <c r="J44" s="234" t="s">
        <v>3619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3620</v>
      </c>
      <c r="B45" s="234" t="s">
        <v>3621</v>
      </c>
      <c r="C45" s="234" t="s">
        <v>3622</v>
      </c>
      <c r="D45" s="234" t="s">
        <v>3412</v>
      </c>
      <c r="E45" s="234" t="s">
        <v>25</v>
      </c>
      <c r="F45" s="234" t="s">
        <v>3414</v>
      </c>
      <c r="G45" s="234" t="s">
        <v>25</v>
      </c>
      <c r="H45" s="234" t="s">
        <v>3623</v>
      </c>
      <c r="I45" s="234" t="s">
        <v>25</v>
      </c>
      <c r="J45" s="234" t="s">
        <v>3624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170</v>
      </c>
      <c r="B46" s="233" t="s">
        <v>3625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3626</v>
      </c>
      <c r="B47" s="234" t="s">
        <v>3627</v>
      </c>
      <c r="C47" s="234" t="s">
        <v>3628</v>
      </c>
      <c r="D47" s="234" t="s">
        <v>3629</v>
      </c>
      <c r="E47" s="234" t="s">
        <v>25</v>
      </c>
      <c r="F47" s="234" t="s">
        <v>3630</v>
      </c>
      <c r="G47" s="234" t="s">
        <v>3631</v>
      </c>
      <c r="H47" s="234" t="s">
        <v>3632</v>
      </c>
      <c r="I47" s="234" t="s">
        <v>3633</v>
      </c>
      <c r="J47" s="234" t="s">
        <v>3634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175</v>
      </c>
      <c r="B48" s="233" t="s">
        <v>3635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3636</v>
      </c>
      <c r="B49" s="234" t="s">
        <v>3637</v>
      </c>
      <c r="C49" s="234" t="s">
        <v>3638</v>
      </c>
      <c r="D49" s="234" t="s">
        <v>3639</v>
      </c>
      <c r="E49" s="234" t="s">
        <v>3640</v>
      </c>
      <c r="F49" s="234" t="s">
        <v>25</v>
      </c>
      <c r="G49" s="234" t="s">
        <v>25</v>
      </c>
      <c r="H49" s="234" t="s">
        <v>3641</v>
      </c>
      <c r="I49" s="234" t="s">
        <v>3642</v>
      </c>
      <c r="J49" s="234" t="s">
        <v>3643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3644</v>
      </c>
      <c r="B50" s="234" t="s">
        <v>3645</v>
      </c>
      <c r="C50" s="234" t="s">
        <v>3646</v>
      </c>
      <c r="D50" s="234" t="s">
        <v>25</v>
      </c>
      <c r="E50" s="234" t="s">
        <v>3647</v>
      </c>
      <c r="F50" s="234" t="s">
        <v>3648</v>
      </c>
      <c r="G50" s="234" t="s">
        <v>25</v>
      </c>
      <c r="H50" s="234" t="s">
        <v>3641</v>
      </c>
      <c r="I50" s="234" t="s">
        <v>3649</v>
      </c>
      <c r="J50" s="234" t="s">
        <v>3650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3651</v>
      </c>
      <c r="B51" s="234" t="s">
        <v>3652</v>
      </c>
      <c r="C51" s="234" t="s">
        <v>3653</v>
      </c>
      <c r="D51" s="234" t="s">
        <v>25</v>
      </c>
      <c r="E51" s="234" t="s">
        <v>25</v>
      </c>
      <c r="F51" s="234" t="s">
        <v>3654</v>
      </c>
      <c r="G51" s="234" t="s">
        <v>25</v>
      </c>
      <c r="H51" s="234" t="s">
        <v>3641</v>
      </c>
      <c r="I51" s="234" t="s">
        <v>3655</v>
      </c>
      <c r="J51" s="234" t="s">
        <v>3656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3657</v>
      </c>
      <c r="B52" s="234" t="s">
        <v>3658</v>
      </c>
      <c r="C52" s="234" t="s">
        <v>3659</v>
      </c>
      <c r="D52" s="234" t="s">
        <v>25</v>
      </c>
      <c r="E52" s="234" t="s">
        <v>25</v>
      </c>
      <c r="F52" s="234" t="s">
        <v>3660</v>
      </c>
      <c r="G52" s="234" t="s">
        <v>25</v>
      </c>
      <c r="H52" s="234" t="s">
        <v>3641</v>
      </c>
      <c r="I52" s="234" t="s">
        <v>3661</v>
      </c>
      <c r="J52" s="234" t="s">
        <v>3662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3663</v>
      </c>
      <c r="B53" s="234" t="s">
        <v>3664</v>
      </c>
      <c r="C53" s="234" t="s">
        <v>3665</v>
      </c>
      <c r="D53" s="234" t="s">
        <v>3666</v>
      </c>
      <c r="E53" s="234" t="s">
        <v>3667</v>
      </c>
      <c r="F53" s="234" t="s">
        <v>25</v>
      </c>
      <c r="G53" s="234" t="s">
        <v>25</v>
      </c>
      <c r="H53" s="234" t="s">
        <v>3668</v>
      </c>
      <c r="I53" s="234" t="s">
        <v>25</v>
      </c>
      <c r="J53" s="234" t="s">
        <v>3669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3670</v>
      </c>
      <c r="B54" s="234" t="s">
        <v>3671</v>
      </c>
      <c r="C54" s="234" t="s">
        <v>3665</v>
      </c>
      <c r="D54" s="234" t="s">
        <v>3666</v>
      </c>
      <c r="E54" s="234" t="s">
        <v>25</v>
      </c>
      <c r="F54" s="234" t="s">
        <v>25</v>
      </c>
      <c r="G54" s="234" t="s">
        <v>25</v>
      </c>
      <c r="H54" s="234" t="s">
        <v>3672</v>
      </c>
      <c r="I54" s="234" t="s">
        <v>3673</v>
      </c>
      <c r="J54" s="234" t="s">
        <v>3674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181</v>
      </c>
      <c r="B55" s="233" t="s">
        <v>3675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3676</v>
      </c>
      <c r="B56" s="234" t="s">
        <v>3677</v>
      </c>
      <c r="C56" s="234" t="s">
        <v>3678</v>
      </c>
      <c r="D56" s="234" t="s">
        <v>3679</v>
      </c>
      <c r="E56" s="234" t="s">
        <v>3680</v>
      </c>
      <c r="F56" s="234" t="s">
        <v>25</v>
      </c>
      <c r="G56" s="234" t="s">
        <v>3681</v>
      </c>
      <c r="H56" s="234" t="s">
        <v>25</v>
      </c>
      <c r="I56" s="234" t="s">
        <v>25</v>
      </c>
      <c r="J56" s="234" t="s">
        <v>3682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3683</v>
      </c>
      <c r="B57" s="234" t="s">
        <v>3684</v>
      </c>
      <c r="C57" s="234" t="s">
        <v>3685</v>
      </c>
      <c r="D57" s="234" t="s">
        <v>3686</v>
      </c>
      <c r="E57" s="234" t="s">
        <v>3687</v>
      </c>
      <c r="F57" s="234" t="s">
        <v>25</v>
      </c>
      <c r="G57" s="234" t="s">
        <v>3688</v>
      </c>
      <c r="H57" s="234" t="s">
        <v>3689</v>
      </c>
      <c r="I57" s="234" t="s">
        <v>25</v>
      </c>
      <c r="J57" s="234" t="s">
        <v>3690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188</v>
      </c>
      <c r="B58" s="233" t="s">
        <v>3691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3692</v>
      </c>
      <c r="B59" s="234" t="s">
        <v>3693</v>
      </c>
      <c r="C59" s="234" t="s">
        <v>3694</v>
      </c>
      <c r="D59" s="234" t="s">
        <v>3695</v>
      </c>
      <c r="E59" s="234" t="s">
        <v>25</v>
      </c>
      <c r="F59" s="234" t="s">
        <v>25</v>
      </c>
      <c r="G59" s="234" t="s">
        <v>3696</v>
      </c>
      <c r="H59" s="234" t="s">
        <v>3697</v>
      </c>
      <c r="I59" s="234" t="s">
        <v>3698</v>
      </c>
      <c r="J59" s="234" t="s">
        <v>3699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3700</v>
      </c>
      <c r="B60" s="234" t="s">
        <v>3701</v>
      </c>
      <c r="C60" s="234" t="s">
        <v>3702</v>
      </c>
      <c r="D60" s="234" t="s">
        <v>25</v>
      </c>
      <c r="E60" s="234" t="s">
        <v>3703</v>
      </c>
      <c r="F60" s="234" t="s">
        <v>3704</v>
      </c>
      <c r="G60" s="234" t="s">
        <v>25</v>
      </c>
      <c r="H60" s="234" t="s">
        <v>3705</v>
      </c>
      <c r="I60" s="234" t="s">
        <v>3706</v>
      </c>
      <c r="J60" s="234" t="s">
        <v>3707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3708</v>
      </c>
      <c r="B61" s="234" t="s">
        <v>3709</v>
      </c>
      <c r="C61" s="234" t="s">
        <v>3710</v>
      </c>
      <c r="D61" s="234" t="s">
        <v>25</v>
      </c>
      <c r="E61" s="234" t="s">
        <v>25</v>
      </c>
      <c r="F61" s="234" t="s">
        <v>25</v>
      </c>
      <c r="G61" s="234" t="s">
        <v>3711</v>
      </c>
      <c r="H61" s="234" t="s">
        <v>3712</v>
      </c>
      <c r="I61" s="234" t="s">
        <v>3713</v>
      </c>
      <c r="J61" s="234" t="s">
        <v>3714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3715</v>
      </c>
      <c r="B62" s="234" t="s">
        <v>3716</v>
      </c>
      <c r="C62" s="234" t="s">
        <v>3717</v>
      </c>
      <c r="D62" s="234" t="s">
        <v>3718</v>
      </c>
      <c r="E62" s="234" t="s">
        <v>25</v>
      </c>
      <c r="F62" s="234" t="s">
        <v>25</v>
      </c>
      <c r="G62" s="234" t="s">
        <v>25</v>
      </c>
      <c r="H62" s="234" t="s">
        <v>3719</v>
      </c>
      <c r="I62" s="234" t="s">
        <v>3720</v>
      </c>
      <c r="J62" s="234" t="s">
        <v>3721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194</v>
      </c>
      <c r="B63" s="233" t="s">
        <v>3722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3723</v>
      </c>
      <c r="B64" s="234" t="s">
        <v>3724</v>
      </c>
      <c r="C64" s="234" t="s">
        <v>3725</v>
      </c>
      <c r="D64" s="234" t="s">
        <v>3726</v>
      </c>
      <c r="E64" s="234" t="s">
        <v>25</v>
      </c>
      <c r="F64" s="234" t="s">
        <v>25</v>
      </c>
      <c r="G64" s="234" t="s">
        <v>3727</v>
      </c>
      <c r="H64" s="234" t="s">
        <v>3728</v>
      </c>
      <c r="I64" s="234" t="s">
        <v>3729</v>
      </c>
      <c r="J64" s="234" t="s">
        <v>3730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3731</v>
      </c>
      <c r="B65" s="234" t="s">
        <v>3732</v>
      </c>
      <c r="C65" s="234" t="s">
        <v>3733</v>
      </c>
      <c r="D65" s="234" t="s">
        <v>3734</v>
      </c>
      <c r="E65" s="234" t="s">
        <v>25</v>
      </c>
      <c r="F65" s="234" t="s">
        <v>25</v>
      </c>
      <c r="G65" s="234" t="s">
        <v>25</v>
      </c>
      <c r="H65" s="234" t="s">
        <v>3735</v>
      </c>
      <c r="I65" s="234" t="s">
        <v>3736</v>
      </c>
      <c r="J65" s="234" t="s">
        <v>3737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3738</v>
      </c>
      <c r="B66" s="234" t="s">
        <v>3739</v>
      </c>
      <c r="C66" s="234" t="s">
        <v>3740</v>
      </c>
      <c r="D66" s="234" t="s">
        <v>3741</v>
      </c>
      <c r="E66" s="234" t="s">
        <v>25</v>
      </c>
      <c r="F66" s="234" t="s">
        <v>25</v>
      </c>
      <c r="G66" s="234" t="s">
        <v>25</v>
      </c>
      <c r="H66" s="234" t="s">
        <v>3742</v>
      </c>
      <c r="I66" s="234" t="s">
        <v>3743</v>
      </c>
      <c r="J66" s="234" t="s">
        <v>3744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3745</v>
      </c>
      <c r="B67" s="234" t="s">
        <v>3746</v>
      </c>
      <c r="C67" s="234" t="s">
        <v>3747</v>
      </c>
      <c r="D67" s="234" t="s">
        <v>3748</v>
      </c>
      <c r="E67" s="234" t="s">
        <v>25</v>
      </c>
      <c r="F67" s="234" t="s">
        <v>25</v>
      </c>
      <c r="G67" s="234" t="s">
        <v>25</v>
      </c>
      <c r="H67" s="234" t="s">
        <v>3749</v>
      </c>
      <c r="I67" s="234" t="s">
        <v>25</v>
      </c>
      <c r="J67" s="234" t="s">
        <v>3750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3751</v>
      </c>
      <c r="B68" s="234" t="s">
        <v>3752</v>
      </c>
      <c r="C68" s="234" t="s">
        <v>3753</v>
      </c>
      <c r="D68" s="234" t="s">
        <v>25</v>
      </c>
      <c r="E68" s="234" t="s">
        <v>25</v>
      </c>
      <c r="F68" s="234" t="s">
        <v>25</v>
      </c>
      <c r="G68" s="234" t="s">
        <v>25</v>
      </c>
      <c r="H68" s="234" t="s">
        <v>3754</v>
      </c>
      <c r="I68" s="234" t="s">
        <v>25</v>
      </c>
      <c r="J68" s="234" t="s">
        <v>3755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723</v>
      </c>
      <c r="B69" s="233" t="s">
        <v>3756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3757</v>
      </c>
      <c r="B70" s="234" t="s">
        <v>3758</v>
      </c>
      <c r="C70" s="234" t="s">
        <v>3759</v>
      </c>
      <c r="D70" s="234" t="s">
        <v>25</v>
      </c>
      <c r="E70" s="234" t="s">
        <v>25</v>
      </c>
      <c r="F70" s="234" t="s">
        <v>25</v>
      </c>
      <c r="G70" s="234" t="s">
        <v>3760</v>
      </c>
      <c r="H70" s="234" t="s">
        <v>3761</v>
      </c>
      <c r="I70" s="234" t="s">
        <v>25</v>
      </c>
      <c r="J70" s="234" t="s">
        <v>3762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3763</v>
      </c>
      <c r="B71" s="234" t="s">
        <v>3764</v>
      </c>
      <c r="C71" s="234" t="s">
        <v>3765</v>
      </c>
      <c r="D71" s="234" t="s">
        <v>25</v>
      </c>
      <c r="E71" s="234" t="s">
        <v>25</v>
      </c>
      <c r="F71" s="234" t="s">
        <v>25</v>
      </c>
      <c r="G71" s="234" t="s">
        <v>25</v>
      </c>
      <c r="H71" s="234" t="s">
        <v>3766</v>
      </c>
      <c r="I71" s="234" t="s">
        <v>25</v>
      </c>
      <c r="J71" s="234" t="s">
        <v>3767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3768</v>
      </c>
      <c r="B72" s="234" t="s">
        <v>3769</v>
      </c>
      <c r="C72" s="234" t="s">
        <v>3770</v>
      </c>
      <c r="D72" s="234" t="s">
        <v>3771</v>
      </c>
      <c r="E72" s="234" t="s">
        <v>3772</v>
      </c>
      <c r="F72" s="234" t="s">
        <v>25</v>
      </c>
      <c r="G72" s="234" t="s">
        <v>25</v>
      </c>
      <c r="H72" s="234" t="s">
        <v>3773</v>
      </c>
      <c r="I72" s="234" t="s">
        <v>25</v>
      </c>
      <c r="J72" s="234" t="s">
        <v>3774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3775</v>
      </c>
      <c r="B73" s="234" t="s">
        <v>3776</v>
      </c>
      <c r="C73" s="234" t="s">
        <v>3777</v>
      </c>
      <c r="D73" s="234" t="s">
        <v>3778</v>
      </c>
      <c r="E73" s="234" t="s">
        <v>3772</v>
      </c>
      <c r="F73" s="234" t="s">
        <v>25</v>
      </c>
      <c r="G73" s="234" t="s">
        <v>3779</v>
      </c>
      <c r="H73" s="234" t="s">
        <v>3780</v>
      </c>
      <c r="I73" s="234" t="s">
        <v>25</v>
      </c>
      <c r="J73" s="234" t="s">
        <v>3781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3782</v>
      </c>
      <c r="B74" s="234" t="s">
        <v>3783</v>
      </c>
      <c r="C74" s="234" t="s">
        <v>3784</v>
      </c>
      <c r="D74" s="234" t="s">
        <v>3778</v>
      </c>
      <c r="E74" s="234" t="s">
        <v>3785</v>
      </c>
      <c r="F74" s="234" t="s">
        <v>25</v>
      </c>
      <c r="G74" s="234" t="s">
        <v>3786</v>
      </c>
      <c r="H74" s="234" t="s">
        <v>3787</v>
      </c>
      <c r="I74" s="234" t="s">
        <v>3788</v>
      </c>
      <c r="J74" s="234" t="s">
        <v>3789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3790</v>
      </c>
      <c r="B75" s="234" t="s">
        <v>3791</v>
      </c>
      <c r="C75" s="234" t="s">
        <v>3792</v>
      </c>
      <c r="D75" s="234" t="s">
        <v>3793</v>
      </c>
      <c r="E75" s="234" t="s">
        <v>3785</v>
      </c>
      <c r="F75" s="234" t="s">
        <v>3794</v>
      </c>
      <c r="G75" s="234" t="s">
        <v>3795</v>
      </c>
      <c r="H75" s="234" t="s">
        <v>3796</v>
      </c>
      <c r="I75" s="234" t="s">
        <v>3797</v>
      </c>
      <c r="J75" s="234" t="s">
        <v>3798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3799</v>
      </c>
      <c r="B76" s="234" t="s">
        <v>3800</v>
      </c>
      <c r="C76" s="234" t="s">
        <v>3801</v>
      </c>
      <c r="D76" s="234" t="s">
        <v>3802</v>
      </c>
      <c r="E76" s="234" t="s">
        <v>25</v>
      </c>
      <c r="F76" s="234" t="s">
        <v>25</v>
      </c>
      <c r="G76" s="234" t="s">
        <v>25</v>
      </c>
      <c r="H76" s="234" t="s">
        <v>3803</v>
      </c>
      <c r="I76" s="234" t="s">
        <v>25</v>
      </c>
      <c r="J76" s="234" t="s">
        <v>25</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3804</v>
      </c>
      <c r="B77" s="234" t="s">
        <v>3805</v>
      </c>
      <c r="C77" s="234" t="s">
        <v>3806</v>
      </c>
      <c r="D77" s="234" t="s">
        <v>25</v>
      </c>
      <c r="E77" s="234" t="s">
        <v>25</v>
      </c>
      <c r="F77" s="234" t="s">
        <v>25</v>
      </c>
      <c r="G77" s="234" t="s">
        <v>3807</v>
      </c>
      <c r="H77" s="234" t="s">
        <v>3808</v>
      </c>
      <c r="I77" s="234" t="s">
        <v>25</v>
      </c>
      <c r="J77" s="234" t="s">
        <v>3809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3810</v>
      </c>
      <c r="B78" s="234" t="s">
        <v>3811</v>
      </c>
      <c r="C78" s="234" t="s">
        <v>3812</v>
      </c>
      <c r="D78" s="234" t="s">
        <v>25</v>
      </c>
      <c r="E78" s="234" t="s">
        <v>25</v>
      </c>
      <c r="F78" s="234" t="s">
        <v>25</v>
      </c>
      <c r="G78" s="234" t="s">
        <v>3813</v>
      </c>
      <c r="H78" s="234" t="s">
        <v>3814</v>
      </c>
      <c r="I78" s="234" t="s">
        <v>3815</v>
      </c>
      <c r="J78" s="234" t="s">
        <v>3816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3817</v>
      </c>
      <c r="B79" s="232" t="s">
        <v>3818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201</v>
      </c>
      <c r="B80" s="233" t="s">
        <v>3819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3820</v>
      </c>
      <c r="B81" s="234" t="s">
        <v>3821</v>
      </c>
      <c r="C81" s="234" t="s">
        <v>3822</v>
      </c>
      <c r="D81" s="234" t="s">
        <v>3617</v>
      </c>
      <c r="E81" s="234" t="s">
        <v>3823</v>
      </c>
      <c r="F81" s="234" t="s">
        <v>25</v>
      </c>
      <c r="G81" s="234" t="s">
        <v>25</v>
      </c>
      <c r="H81" s="234" t="s">
        <v>3824</v>
      </c>
      <c r="I81" s="234" t="s">
        <v>25</v>
      </c>
      <c r="J81" s="234" t="s">
        <v>3825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3826</v>
      </c>
      <c r="B82" s="234" t="s">
        <v>3827</v>
      </c>
      <c r="C82" s="234" t="s">
        <v>3411</v>
      </c>
      <c r="D82" s="234" t="s">
        <v>3412</v>
      </c>
      <c r="E82" s="234" t="s">
        <v>25</v>
      </c>
      <c r="F82" s="234" t="s">
        <v>3414</v>
      </c>
      <c r="G82" s="234" t="s">
        <v>25</v>
      </c>
      <c r="H82" s="234" t="s">
        <v>3828</v>
      </c>
      <c r="I82" s="234" t="s">
        <v>25</v>
      </c>
      <c r="J82" s="234" t="s">
        <v>3829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207</v>
      </c>
      <c r="B83" s="233" t="s">
        <v>3830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3831</v>
      </c>
      <c r="B84" s="234" t="s">
        <v>3832</v>
      </c>
      <c r="C84" s="234" t="s">
        <v>3833</v>
      </c>
      <c r="D84" s="234" t="s">
        <v>3834</v>
      </c>
      <c r="E84" s="234" t="s">
        <v>25</v>
      </c>
      <c r="F84" s="234" t="s">
        <v>3835</v>
      </c>
      <c r="G84" s="234" t="s">
        <v>3836</v>
      </c>
      <c r="H84" s="234" t="s">
        <v>3837</v>
      </c>
      <c r="I84" s="234" t="s">
        <v>3838</v>
      </c>
      <c r="J84" s="234" t="s">
        <v>3839</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3840</v>
      </c>
      <c r="B85" s="234" t="s">
        <v>3841</v>
      </c>
      <c r="C85" s="234" t="s">
        <v>3842</v>
      </c>
      <c r="D85" s="234" t="s">
        <v>3843</v>
      </c>
      <c r="E85" s="234" t="s">
        <v>25</v>
      </c>
      <c r="F85" s="234" t="s">
        <v>25</v>
      </c>
      <c r="G85" s="234" t="s">
        <v>25</v>
      </c>
      <c r="H85" s="234" t="s">
        <v>3844</v>
      </c>
      <c r="I85" s="234" t="s">
        <v>3845</v>
      </c>
      <c r="J85" s="234" t="s">
        <v>3846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3847</v>
      </c>
      <c r="B86" s="234" t="s">
        <v>3848</v>
      </c>
      <c r="C86" s="234" t="s">
        <v>3849</v>
      </c>
      <c r="D86" s="234" t="s">
        <v>3850</v>
      </c>
      <c r="E86" s="234" t="s">
        <v>25</v>
      </c>
      <c r="F86" s="234" t="s">
        <v>25</v>
      </c>
      <c r="G86" s="234" t="s">
        <v>3851</v>
      </c>
      <c r="H86" s="234" t="s">
        <v>3852</v>
      </c>
      <c r="I86" s="234" t="s">
        <v>25</v>
      </c>
      <c r="J86" s="234" t="s">
        <v>3853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3854</v>
      </c>
      <c r="B87" s="234" t="s">
        <v>3855</v>
      </c>
      <c r="C87" s="234" t="s">
        <v>3856</v>
      </c>
      <c r="D87" s="234" t="s">
        <v>3857</v>
      </c>
      <c r="E87" s="234" t="s">
        <v>25</v>
      </c>
      <c r="F87" s="234" t="s">
        <v>3858</v>
      </c>
      <c r="G87" s="234" t="s">
        <v>25</v>
      </c>
      <c r="H87" s="234" t="s">
        <v>3859</v>
      </c>
      <c r="I87" s="234" t="s">
        <v>3860</v>
      </c>
      <c r="J87" s="234" t="s">
        <v>3861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3862</v>
      </c>
      <c r="B88" s="232" t="s">
        <v>3863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806</v>
      </c>
      <c r="B89" s="233" t="s">
        <v>3864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220</v>
      </c>
      <c r="B90" s="234" t="s">
        <v>3865</v>
      </c>
      <c r="C90" s="234" t="s">
        <v>3866</v>
      </c>
      <c r="D90" s="234" t="s">
        <v>3617</v>
      </c>
      <c r="E90" s="234" t="s">
        <v>3406</v>
      </c>
      <c r="F90" s="234" t="s">
        <v>25</v>
      </c>
      <c r="G90" s="234" t="s">
        <v>25</v>
      </c>
      <c r="H90" s="234" t="s">
        <v>3867</v>
      </c>
      <c r="I90" s="234" t="s">
        <v>25</v>
      </c>
      <c r="J90" s="234" t="s">
        <v>3868</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226</v>
      </c>
      <c r="B91" s="234" t="s">
        <v>3869</v>
      </c>
      <c r="C91" s="234" t="s">
        <v>3870</v>
      </c>
      <c r="D91" s="234" t="s">
        <v>3412</v>
      </c>
      <c r="E91" s="234" t="s">
        <v>25</v>
      </c>
      <c r="F91" s="234" t="s">
        <v>3414</v>
      </c>
      <c r="G91" s="234" t="s">
        <v>25</v>
      </c>
      <c r="H91" s="234" t="s">
        <v>3871</v>
      </c>
      <c r="I91" s="234" t="s">
        <v>25</v>
      </c>
      <c r="J91" s="234" t="s">
        <v>3872</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810</v>
      </c>
      <c r="B92" s="233" t="s">
        <v>3873</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256</v>
      </c>
      <c r="B93" s="234" t="s">
        <v>3874</v>
      </c>
      <c r="C93" s="234" t="s">
        <v>3875</v>
      </c>
      <c r="D93" s="234" t="s">
        <v>3876</v>
      </c>
      <c r="E93" s="234" t="s">
        <v>3877</v>
      </c>
      <c r="F93" s="234" t="s">
        <v>25</v>
      </c>
      <c r="G93" s="234" t="s">
        <v>25</v>
      </c>
      <c r="H93" s="234" t="s">
        <v>3878</v>
      </c>
      <c r="I93" s="234" t="s">
        <v>25</v>
      </c>
      <c r="J93" s="234" t="s">
        <v>3879</v>
      </c>
      <c r="K93" s="237">
        <f>IF(COUNTIF(L93:AY93,"&lt;&gt;")=0,"",SUMPRODUCT(((Recommendations[ImplStatus]="Implemented")+(Recommendations[ImplStatus]="Compensated"))*ISNUMBER(MATCH(Recommendations[Id],L93:AY93,0)))/COUNTIF(L93:AY93,"&lt;&gt;"))</f>
        <v>0</v>
      </c>
      <c r="L93" s="240" t="s">
        <v>338</v>
      </c>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262</v>
      </c>
      <c r="B94" s="234" t="s">
        <v>3880</v>
      </c>
      <c r="C94" s="234" t="s">
        <v>3881</v>
      </c>
      <c r="D94" s="234" t="s">
        <v>3882</v>
      </c>
      <c r="E94" s="234" t="s">
        <v>25</v>
      </c>
      <c r="F94" s="234" t="s">
        <v>3883</v>
      </c>
      <c r="G94" s="234" t="s">
        <v>25</v>
      </c>
      <c r="H94" s="234" t="s">
        <v>3884</v>
      </c>
      <c r="I94" s="234" t="s">
        <v>25</v>
      </c>
      <c r="J94" s="234" t="s">
        <v>25</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268</v>
      </c>
      <c r="B95" s="234" t="s">
        <v>3885</v>
      </c>
      <c r="C95" s="234" t="s">
        <v>3886</v>
      </c>
      <c r="D95" s="234" t="s">
        <v>3887</v>
      </c>
      <c r="E95" s="234" t="s">
        <v>25</v>
      </c>
      <c r="F95" s="234" t="s">
        <v>25</v>
      </c>
      <c r="G95" s="234" t="s">
        <v>25</v>
      </c>
      <c r="H95" s="234" t="s">
        <v>3888</v>
      </c>
      <c r="I95" s="234" t="s">
        <v>3889</v>
      </c>
      <c r="J95" s="234" t="s">
        <v>3890</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3891</v>
      </c>
      <c r="B96" s="234" t="s">
        <v>3892</v>
      </c>
      <c r="C96" s="234" t="s">
        <v>3893</v>
      </c>
      <c r="D96" s="234" t="s">
        <v>25</v>
      </c>
      <c r="E96" s="234" t="s">
        <v>25</v>
      </c>
      <c r="F96" s="234" t="s">
        <v>25</v>
      </c>
      <c r="G96" s="234" t="s">
        <v>25</v>
      </c>
      <c r="H96" s="234" t="s">
        <v>3894</v>
      </c>
      <c r="I96" s="234" t="s">
        <v>3845</v>
      </c>
      <c r="J96" s="234" t="s">
        <v>3895</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301</v>
      </c>
      <c r="B97" s="233" t="s">
        <v>3896</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3897</v>
      </c>
      <c r="B98" s="234" t="s">
        <v>3898</v>
      </c>
      <c r="C98" s="234" t="s">
        <v>3899</v>
      </c>
      <c r="D98" s="234" t="s">
        <v>3900</v>
      </c>
      <c r="E98" s="234" t="s">
        <v>25</v>
      </c>
      <c r="F98" s="234" t="s">
        <v>25</v>
      </c>
      <c r="G98" s="234" t="s">
        <v>25</v>
      </c>
      <c r="H98" s="234" t="s">
        <v>3901</v>
      </c>
      <c r="I98" s="234" t="s">
        <v>25</v>
      </c>
      <c r="J98" s="234" t="s">
        <v>3902</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3903</v>
      </c>
      <c r="B99" s="234" t="s">
        <v>3904</v>
      </c>
      <c r="C99" s="234" t="s">
        <v>3905</v>
      </c>
      <c r="D99" s="234" t="s">
        <v>3906</v>
      </c>
      <c r="E99" s="234" t="s">
        <v>3907</v>
      </c>
      <c r="F99" s="234" t="s">
        <v>25</v>
      </c>
      <c r="G99" s="234" t="s">
        <v>25</v>
      </c>
      <c r="H99" s="234" t="s">
        <v>3908</v>
      </c>
      <c r="I99" s="234" t="s">
        <v>25</v>
      </c>
      <c r="J99" s="234" t="s">
        <v>3909</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3910</v>
      </c>
      <c r="B100" s="234" t="s">
        <v>3911</v>
      </c>
      <c r="C100" s="234" t="s">
        <v>3912</v>
      </c>
      <c r="D100" s="234" t="s">
        <v>25</v>
      </c>
      <c r="E100" s="234" t="s">
        <v>25</v>
      </c>
      <c r="F100" s="234" t="s">
        <v>25</v>
      </c>
      <c r="G100" s="234" t="s">
        <v>25</v>
      </c>
      <c r="H100" s="234" t="s">
        <v>3913</v>
      </c>
      <c r="I100" s="234" t="s">
        <v>3914</v>
      </c>
      <c r="J100" s="234" t="s">
        <v>3915</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3916</v>
      </c>
      <c r="B101" s="234" t="s">
        <v>3917</v>
      </c>
      <c r="C101" s="234" t="s">
        <v>3918</v>
      </c>
      <c r="D101" s="234" t="s">
        <v>25</v>
      </c>
      <c r="E101" s="234" t="s">
        <v>25</v>
      </c>
      <c r="F101" s="234" t="s">
        <v>25</v>
      </c>
      <c r="G101" s="234" t="s">
        <v>25</v>
      </c>
      <c r="H101" s="234" t="s">
        <v>3919</v>
      </c>
      <c r="I101" s="234" t="s">
        <v>3845</v>
      </c>
      <c r="J101" s="234" t="s">
        <v>3920</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3921</v>
      </c>
      <c r="B102" s="234" t="s">
        <v>3922</v>
      </c>
      <c r="C102" s="234" t="s">
        <v>3923</v>
      </c>
      <c r="D102" s="234" t="s">
        <v>3924</v>
      </c>
      <c r="E102" s="234" t="s">
        <v>25</v>
      </c>
      <c r="F102" s="234" t="s">
        <v>25</v>
      </c>
      <c r="G102" s="234" t="s">
        <v>25</v>
      </c>
      <c r="H102" s="234" t="s">
        <v>3925</v>
      </c>
      <c r="I102" s="234" t="s">
        <v>25</v>
      </c>
      <c r="J102" s="234" t="s">
        <v>3926</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3927</v>
      </c>
      <c r="B103" s="234" t="s">
        <v>3928</v>
      </c>
      <c r="C103" s="234" t="s">
        <v>3929</v>
      </c>
      <c r="D103" s="234" t="s">
        <v>3924</v>
      </c>
      <c r="E103" s="234" t="s">
        <v>25</v>
      </c>
      <c r="F103" s="234" t="s">
        <v>3930</v>
      </c>
      <c r="G103" s="234" t="s">
        <v>25</v>
      </c>
      <c r="H103" s="234" t="s">
        <v>3931</v>
      </c>
      <c r="I103" s="234" t="s">
        <v>3932</v>
      </c>
      <c r="J103" s="234" t="s">
        <v>3933</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307</v>
      </c>
      <c r="B104" s="233" t="s">
        <v>3934</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3935</v>
      </c>
      <c r="B105" s="234" t="s">
        <v>3936</v>
      </c>
      <c r="C105" s="234" t="s">
        <v>3937</v>
      </c>
      <c r="D105" s="234" t="s">
        <v>3938</v>
      </c>
      <c r="E105" s="234" t="s">
        <v>3939</v>
      </c>
      <c r="F105" s="234" t="s">
        <v>25</v>
      </c>
      <c r="G105" s="234" t="s">
        <v>25</v>
      </c>
      <c r="H105" s="234" t="s">
        <v>3940</v>
      </c>
      <c r="I105" s="234" t="s">
        <v>3941</v>
      </c>
      <c r="J105" s="234" t="s">
        <v>3942</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3943</v>
      </c>
      <c r="B106" s="232" t="s">
        <v>3944</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828</v>
      </c>
      <c r="B107" s="233" t="s">
        <v>3945</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3946</v>
      </c>
      <c r="B108" s="234" t="s">
        <v>3947</v>
      </c>
      <c r="C108" s="234" t="s">
        <v>3948</v>
      </c>
      <c r="D108" s="234" t="s">
        <v>3617</v>
      </c>
      <c r="E108" s="234" t="s">
        <v>3406</v>
      </c>
      <c r="F108" s="234" t="s">
        <v>25</v>
      </c>
      <c r="G108" s="234" t="s">
        <v>25</v>
      </c>
      <c r="H108" s="234" t="s">
        <v>3949</v>
      </c>
      <c r="I108" s="234" t="s">
        <v>25</v>
      </c>
      <c r="J108" s="234" t="s">
        <v>3950</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3951</v>
      </c>
      <c r="B109" s="234" t="s">
        <v>3952</v>
      </c>
      <c r="C109" s="234" t="s">
        <v>3953</v>
      </c>
      <c r="D109" s="234" t="s">
        <v>3412</v>
      </c>
      <c r="E109" s="234" t="s">
        <v>25</v>
      </c>
      <c r="F109" s="234" t="s">
        <v>3414</v>
      </c>
      <c r="G109" s="234" t="s">
        <v>25</v>
      </c>
      <c r="H109" s="234" t="s">
        <v>3954</v>
      </c>
      <c r="I109" s="234" t="s">
        <v>25</v>
      </c>
      <c r="J109" s="234" t="s">
        <v>3955</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832</v>
      </c>
      <c r="B110" s="233" t="s">
        <v>3956</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3957</v>
      </c>
      <c r="B111" s="234" t="s">
        <v>3958</v>
      </c>
      <c r="C111" s="234" t="s">
        <v>3959</v>
      </c>
      <c r="D111" s="234" t="s">
        <v>3960</v>
      </c>
      <c r="E111" s="234" t="s">
        <v>25</v>
      </c>
      <c r="F111" s="234" t="s">
        <v>3961</v>
      </c>
      <c r="G111" s="234" t="s">
        <v>25</v>
      </c>
      <c r="H111" s="234" t="s">
        <v>3962</v>
      </c>
      <c r="I111" s="234" t="s">
        <v>3963</v>
      </c>
      <c r="J111" s="234" t="s">
        <v>3964</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3965</v>
      </c>
      <c r="B112" s="234" t="s">
        <v>3966</v>
      </c>
      <c r="C112" s="234" t="s">
        <v>3967</v>
      </c>
      <c r="D112" s="234" t="s">
        <v>3968</v>
      </c>
      <c r="E112" s="234" t="s">
        <v>25</v>
      </c>
      <c r="F112" s="234" t="s">
        <v>25</v>
      </c>
      <c r="G112" s="234" t="s">
        <v>25</v>
      </c>
      <c r="H112" s="234" t="s">
        <v>3969</v>
      </c>
      <c r="I112" s="234" t="s">
        <v>25</v>
      </c>
      <c r="J112" s="234" t="s">
        <v>3970</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3971</v>
      </c>
      <c r="B113" s="234" t="s">
        <v>3972</v>
      </c>
      <c r="C113" s="234" t="s">
        <v>3973</v>
      </c>
      <c r="D113" s="234" t="s">
        <v>3974</v>
      </c>
      <c r="E113" s="234" t="s">
        <v>25</v>
      </c>
      <c r="F113" s="234" t="s">
        <v>25</v>
      </c>
      <c r="G113" s="234" t="s">
        <v>25</v>
      </c>
      <c r="H113" s="234" t="s">
        <v>3975</v>
      </c>
      <c r="I113" s="234" t="s">
        <v>3976</v>
      </c>
      <c r="J113" s="234" t="s">
        <v>3977</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3978</v>
      </c>
      <c r="B114" s="234" t="s">
        <v>3979</v>
      </c>
      <c r="C114" s="234" t="s">
        <v>3980</v>
      </c>
      <c r="D114" s="234" t="s">
        <v>3981</v>
      </c>
      <c r="E114" s="234" t="s">
        <v>25</v>
      </c>
      <c r="F114" s="234" t="s">
        <v>25</v>
      </c>
      <c r="G114" s="234" t="s">
        <v>3982</v>
      </c>
      <c r="H114" s="234" t="s">
        <v>3983</v>
      </c>
      <c r="I114" s="234" t="s">
        <v>3984</v>
      </c>
      <c r="J114" s="234" t="s">
        <v>3985</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3986</v>
      </c>
      <c r="B115" s="234" t="s">
        <v>3987</v>
      </c>
      <c r="C115" s="234" t="s">
        <v>3988</v>
      </c>
      <c r="D115" s="234" t="s">
        <v>3989</v>
      </c>
      <c r="E115" s="234" t="s">
        <v>25</v>
      </c>
      <c r="F115" s="234" t="s">
        <v>3990</v>
      </c>
      <c r="G115" s="234" t="s">
        <v>25</v>
      </c>
      <c r="H115" s="234" t="s">
        <v>3991</v>
      </c>
      <c r="I115" s="234" t="s">
        <v>3991</v>
      </c>
      <c r="J115" s="234" t="s">
        <v>3992</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836</v>
      </c>
      <c r="B116" s="233" t="s">
        <v>3993</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3994</v>
      </c>
      <c r="B117" s="234" t="s">
        <v>3995</v>
      </c>
      <c r="C117" s="234" t="s">
        <v>3996</v>
      </c>
      <c r="D117" s="234" t="s">
        <v>3997</v>
      </c>
      <c r="E117" s="234" t="s">
        <v>25</v>
      </c>
      <c r="F117" s="234" t="s">
        <v>3998</v>
      </c>
      <c r="G117" s="234" t="s">
        <v>3999</v>
      </c>
      <c r="H117" s="234" t="s">
        <v>4000</v>
      </c>
      <c r="I117" s="234" t="s">
        <v>4001</v>
      </c>
      <c r="J117" s="234" t="s">
        <v>4002</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4003</v>
      </c>
      <c r="B118" s="234" t="s">
        <v>4004</v>
      </c>
      <c r="C118" s="234" t="s">
        <v>4005</v>
      </c>
      <c r="D118" s="234" t="s">
        <v>4006</v>
      </c>
      <c r="E118" s="234" t="s">
        <v>25</v>
      </c>
      <c r="F118" s="234" t="s">
        <v>25</v>
      </c>
      <c r="G118" s="234" t="s">
        <v>25</v>
      </c>
      <c r="H118" s="234" t="s">
        <v>4007</v>
      </c>
      <c r="I118" s="234" t="s">
        <v>3845</v>
      </c>
      <c r="J118" s="234" t="s">
        <v>4008</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4009</v>
      </c>
      <c r="B119" s="234" t="s">
        <v>4010</v>
      </c>
      <c r="C119" s="234" t="s">
        <v>4011</v>
      </c>
      <c r="D119" s="234" t="s">
        <v>4012</v>
      </c>
      <c r="E119" s="234" t="s">
        <v>25</v>
      </c>
      <c r="F119" s="234" t="s">
        <v>4013</v>
      </c>
      <c r="G119" s="234" t="s">
        <v>25</v>
      </c>
      <c r="H119" s="234" t="s">
        <v>4014</v>
      </c>
      <c r="I119" s="234" t="s">
        <v>4015</v>
      </c>
      <c r="J119" s="234" t="s">
        <v>4016</v>
      </c>
      <c r="K119" s="237">
        <f>IF(COUNTIF(L119:AY119,"&lt;&gt;")=0,"",SUMPRODUCT(((Recommendations[ImplStatus]="Implemented")+(Recommendations[ImplStatus]="Compensated"))*ISNUMBER(MATCH(Recommendations[Id],L119:AY119,0)))/COUNTIF(L119:AY119,"&lt;&gt;"))</f>
        <v>0</v>
      </c>
      <c r="L119" s="240" t="s">
        <v>18</v>
      </c>
      <c r="M119" s="240" t="s">
        <v>30</v>
      </c>
      <c r="N119" s="240" t="s">
        <v>42</v>
      </c>
      <c r="O119" s="240" t="s">
        <v>53</v>
      </c>
      <c r="P119" s="240" t="s">
        <v>104</v>
      </c>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840</v>
      </c>
      <c r="B120" s="233" t="s">
        <v>4017</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4018</v>
      </c>
      <c r="B121" s="234" t="s">
        <v>4019</v>
      </c>
      <c r="C121" s="234" t="s">
        <v>25</v>
      </c>
      <c r="D121" s="234" t="s">
        <v>25</v>
      </c>
      <c r="E121" s="234" t="s">
        <v>25</v>
      </c>
      <c r="F121" s="234" t="s">
        <v>25</v>
      </c>
      <c r="G121" s="234" t="s">
        <v>25</v>
      </c>
      <c r="H121" s="234" t="s">
        <v>25</v>
      </c>
      <c r="I121" s="234" t="s">
        <v>25</v>
      </c>
      <c r="J121" s="234" t="s">
        <v>25</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4020</v>
      </c>
      <c r="B122" s="234" t="s">
        <v>4021</v>
      </c>
      <c r="C122" s="234" t="s">
        <v>4022</v>
      </c>
      <c r="D122" s="234" t="s">
        <v>4023</v>
      </c>
      <c r="E122" s="234" t="s">
        <v>25</v>
      </c>
      <c r="F122" s="234" t="s">
        <v>4024</v>
      </c>
      <c r="G122" s="234" t="s">
        <v>25</v>
      </c>
      <c r="H122" s="234" t="s">
        <v>4025</v>
      </c>
      <c r="I122" s="234" t="s">
        <v>4026</v>
      </c>
      <c r="J122" s="234" t="s">
        <v>4027</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4028</v>
      </c>
      <c r="B123" s="234" t="s">
        <v>4029</v>
      </c>
      <c r="C123" s="234" t="s">
        <v>4030</v>
      </c>
      <c r="D123" s="234" t="s">
        <v>4031</v>
      </c>
      <c r="E123" s="234" t="s">
        <v>25</v>
      </c>
      <c r="F123" s="234" t="s">
        <v>4032</v>
      </c>
      <c r="G123" s="234" t="s">
        <v>25</v>
      </c>
      <c r="H123" s="234" t="s">
        <v>4033</v>
      </c>
      <c r="I123" s="234" t="s">
        <v>25</v>
      </c>
      <c r="J123" s="234" t="s">
        <v>4034</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844</v>
      </c>
      <c r="B124" s="233" t="s">
        <v>4035</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4036</v>
      </c>
      <c r="B125" s="234" t="s">
        <v>4037</v>
      </c>
      <c r="C125" s="234" t="s">
        <v>4038</v>
      </c>
      <c r="D125" s="234" t="s">
        <v>4039</v>
      </c>
      <c r="E125" s="234" t="s">
        <v>25</v>
      </c>
      <c r="F125" s="234" t="s">
        <v>25</v>
      </c>
      <c r="G125" s="234" t="s">
        <v>25</v>
      </c>
      <c r="H125" s="234" t="s">
        <v>4040</v>
      </c>
      <c r="I125" s="234" t="s">
        <v>25</v>
      </c>
      <c r="J125" s="234" t="s">
        <v>4041</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4042</v>
      </c>
      <c r="B126" s="234" t="s">
        <v>4043</v>
      </c>
      <c r="C126" s="234" t="s">
        <v>4044</v>
      </c>
      <c r="D126" s="234" t="s">
        <v>4045</v>
      </c>
      <c r="E126" s="234" t="s">
        <v>25</v>
      </c>
      <c r="F126" s="234" t="s">
        <v>4046</v>
      </c>
      <c r="G126" s="234" t="s">
        <v>25</v>
      </c>
      <c r="H126" s="234" t="s">
        <v>4047</v>
      </c>
      <c r="I126" s="234" t="s">
        <v>4048</v>
      </c>
      <c r="J126" s="234" t="s">
        <v>4049</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4050</v>
      </c>
      <c r="B127" s="234" t="s">
        <v>4051</v>
      </c>
      <c r="C127" s="234" t="s">
        <v>4052</v>
      </c>
      <c r="D127" s="234" t="s">
        <v>4053</v>
      </c>
      <c r="E127" s="234" t="s">
        <v>4054</v>
      </c>
      <c r="F127" s="234" t="s">
        <v>25</v>
      </c>
      <c r="G127" s="234" t="s">
        <v>25</v>
      </c>
      <c r="H127" s="234" t="s">
        <v>4055</v>
      </c>
      <c r="I127" s="234" t="s">
        <v>25</v>
      </c>
      <c r="J127" s="234" t="s">
        <v>4056</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4057</v>
      </c>
      <c r="B128" s="234" t="s">
        <v>4058</v>
      </c>
      <c r="C128" s="234" t="s">
        <v>4059</v>
      </c>
      <c r="D128" s="234" t="s">
        <v>25</v>
      </c>
      <c r="E128" s="234" t="s">
        <v>25</v>
      </c>
      <c r="F128" s="234" t="s">
        <v>25</v>
      </c>
      <c r="G128" s="234" t="s">
        <v>25</v>
      </c>
      <c r="H128" s="234" t="s">
        <v>4060</v>
      </c>
      <c r="I128" s="234" t="s">
        <v>4061</v>
      </c>
      <c r="J128" s="234" t="s">
        <v>4062</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4063</v>
      </c>
      <c r="B129" s="234" t="s">
        <v>4064</v>
      </c>
      <c r="C129" s="234" t="s">
        <v>4065</v>
      </c>
      <c r="D129" s="234" t="s">
        <v>25</v>
      </c>
      <c r="E129" s="234" t="s">
        <v>4066</v>
      </c>
      <c r="F129" s="234" t="s">
        <v>25</v>
      </c>
      <c r="G129" s="234" t="s">
        <v>25</v>
      </c>
      <c r="H129" s="234" t="s">
        <v>4067</v>
      </c>
      <c r="I129" s="234" t="s">
        <v>25</v>
      </c>
      <c r="J129" s="234" t="s">
        <v>4068</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4069</v>
      </c>
      <c r="B130" s="234" t="s">
        <v>4070</v>
      </c>
      <c r="C130" s="234" t="s">
        <v>4071</v>
      </c>
      <c r="D130" s="234" t="s">
        <v>25</v>
      </c>
      <c r="E130" s="234" t="s">
        <v>25</v>
      </c>
      <c r="F130" s="234" t="s">
        <v>25</v>
      </c>
      <c r="G130" s="234" t="s">
        <v>25</v>
      </c>
      <c r="H130" s="234" t="s">
        <v>4072</v>
      </c>
      <c r="I130" s="234" t="s">
        <v>25</v>
      </c>
      <c r="J130" s="234" t="s">
        <v>4073</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4074</v>
      </c>
      <c r="B131" s="232" t="s">
        <v>4075</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862</v>
      </c>
      <c r="B132" s="233" t="s">
        <v>4076</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4077</v>
      </c>
      <c r="B133" s="234" t="s">
        <v>4078</v>
      </c>
      <c r="C133" s="234" t="s">
        <v>4079</v>
      </c>
      <c r="D133" s="234" t="s">
        <v>3617</v>
      </c>
      <c r="E133" s="234" t="s">
        <v>3406</v>
      </c>
      <c r="F133" s="234" t="s">
        <v>25</v>
      </c>
      <c r="G133" s="234" t="s">
        <v>25</v>
      </c>
      <c r="H133" s="234" t="s">
        <v>4080</v>
      </c>
      <c r="I133" s="234" t="s">
        <v>25</v>
      </c>
      <c r="J133" s="234" t="s">
        <v>4081</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4082</v>
      </c>
      <c r="B134" s="234" t="s">
        <v>4083</v>
      </c>
      <c r="C134" s="234" t="s">
        <v>3622</v>
      </c>
      <c r="D134" s="234" t="s">
        <v>3412</v>
      </c>
      <c r="E134" s="234" t="s">
        <v>25</v>
      </c>
      <c r="F134" s="234" t="s">
        <v>3414</v>
      </c>
      <c r="G134" s="234" t="s">
        <v>25</v>
      </c>
      <c r="H134" s="234" t="s">
        <v>4084</v>
      </c>
      <c r="I134" s="234" t="s">
        <v>25</v>
      </c>
      <c r="J134" s="234" t="s">
        <v>4085</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866</v>
      </c>
      <c r="B135" s="233" t="s">
        <v>4086</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4087</v>
      </c>
      <c r="B136" s="234" t="s">
        <v>4088</v>
      </c>
      <c r="C136" s="234" t="s">
        <v>4089</v>
      </c>
      <c r="D136" s="234" t="s">
        <v>4090</v>
      </c>
      <c r="E136" s="234" t="s">
        <v>4091</v>
      </c>
      <c r="F136" s="234" t="s">
        <v>4092</v>
      </c>
      <c r="G136" s="234" t="s">
        <v>25</v>
      </c>
      <c r="H136" s="234" t="s">
        <v>4093</v>
      </c>
      <c r="I136" s="234" t="s">
        <v>25</v>
      </c>
      <c r="J136" s="234" t="s">
        <v>4094</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4095</v>
      </c>
      <c r="B137" s="234" t="s">
        <v>4096</v>
      </c>
      <c r="C137" s="234" t="s">
        <v>4097</v>
      </c>
      <c r="D137" s="234" t="s">
        <v>4098</v>
      </c>
      <c r="E137" s="234" t="s">
        <v>25</v>
      </c>
      <c r="F137" s="234" t="s">
        <v>25</v>
      </c>
      <c r="G137" s="234" t="s">
        <v>25</v>
      </c>
      <c r="H137" s="234" t="s">
        <v>4099</v>
      </c>
      <c r="I137" s="234" t="s">
        <v>25</v>
      </c>
      <c r="J137" s="234" t="s">
        <v>4100</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4101</v>
      </c>
      <c r="B138" s="234" t="s">
        <v>4102</v>
      </c>
      <c r="C138" s="234" t="s">
        <v>4103</v>
      </c>
      <c r="D138" s="234" t="s">
        <v>25</v>
      </c>
      <c r="E138" s="234" t="s">
        <v>25</v>
      </c>
      <c r="F138" s="234" t="s">
        <v>25</v>
      </c>
      <c r="G138" s="234" t="s">
        <v>25</v>
      </c>
      <c r="H138" s="234" t="s">
        <v>4104</v>
      </c>
      <c r="I138" s="234" t="s">
        <v>25</v>
      </c>
      <c r="J138" s="234" t="s">
        <v>4105</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4106</v>
      </c>
      <c r="B139" s="234" t="s">
        <v>4107</v>
      </c>
      <c r="C139" s="234" t="s">
        <v>4108</v>
      </c>
      <c r="D139" s="234" t="s">
        <v>4109</v>
      </c>
      <c r="E139" s="234" t="s">
        <v>25</v>
      </c>
      <c r="F139" s="234" t="s">
        <v>25</v>
      </c>
      <c r="G139" s="234" t="s">
        <v>25</v>
      </c>
      <c r="H139" s="234" t="s">
        <v>4110</v>
      </c>
      <c r="I139" s="234" t="s">
        <v>4111</v>
      </c>
      <c r="J139" s="234" t="s">
        <v>4112</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4113</v>
      </c>
      <c r="B140" s="234" t="s">
        <v>4114</v>
      </c>
      <c r="C140" s="234" t="s">
        <v>4115</v>
      </c>
      <c r="D140" s="234" t="s">
        <v>4116</v>
      </c>
      <c r="E140" s="234" t="s">
        <v>25</v>
      </c>
      <c r="F140" s="234" t="s">
        <v>25</v>
      </c>
      <c r="G140" s="234" t="s">
        <v>25</v>
      </c>
      <c r="H140" s="234" t="s">
        <v>4117</v>
      </c>
      <c r="I140" s="234" t="s">
        <v>3845</v>
      </c>
      <c r="J140" s="234" t="s">
        <v>4118</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4119</v>
      </c>
      <c r="B141" s="234" t="s">
        <v>4120</v>
      </c>
      <c r="C141" s="234" t="s">
        <v>4121</v>
      </c>
      <c r="D141" s="234" t="s">
        <v>25</v>
      </c>
      <c r="E141" s="234" t="s">
        <v>4122</v>
      </c>
      <c r="F141" s="234" t="s">
        <v>25</v>
      </c>
      <c r="G141" s="234" t="s">
        <v>25</v>
      </c>
      <c r="H141" s="234" t="s">
        <v>4123</v>
      </c>
      <c r="I141" s="234" t="s">
        <v>3845</v>
      </c>
      <c r="J141" s="234" t="s">
        <v>4124</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4125</v>
      </c>
      <c r="B142" s="234" t="s">
        <v>4126</v>
      </c>
      <c r="C142" s="234" t="s">
        <v>4127</v>
      </c>
      <c r="D142" s="234" t="s">
        <v>4128</v>
      </c>
      <c r="E142" s="234" t="s">
        <v>4122</v>
      </c>
      <c r="F142" s="234" t="s">
        <v>25</v>
      </c>
      <c r="G142" s="234" t="s">
        <v>25</v>
      </c>
      <c r="H142" s="234" t="s">
        <v>4129</v>
      </c>
      <c r="I142" s="234" t="s">
        <v>4130</v>
      </c>
      <c r="J142" s="234" t="s">
        <v>4131</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870</v>
      </c>
      <c r="B143" s="233" t="s">
        <v>4132</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4133</v>
      </c>
      <c r="B144" s="234" t="s">
        <v>4134</v>
      </c>
      <c r="C144" s="234" t="s">
        <v>4135</v>
      </c>
      <c r="D144" s="234" t="s">
        <v>25</v>
      </c>
      <c r="E144" s="234" t="s">
        <v>25</v>
      </c>
      <c r="F144" s="234" t="s">
        <v>25</v>
      </c>
      <c r="G144" s="234" t="s">
        <v>25</v>
      </c>
      <c r="H144" s="234" t="s">
        <v>4136</v>
      </c>
      <c r="I144" s="234" t="s">
        <v>25</v>
      </c>
      <c r="J144" s="234" t="s">
        <v>4137</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4138</v>
      </c>
      <c r="B145" s="234" t="s">
        <v>4139</v>
      </c>
      <c r="C145" s="234" t="s">
        <v>4140</v>
      </c>
      <c r="D145" s="234" t="s">
        <v>25</v>
      </c>
      <c r="E145" s="234" t="s">
        <v>25</v>
      </c>
      <c r="F145" s="234" t="s">
        <v>25</v>
      </c>
      <c r="G145" s="234" t="s">
        <v>25</v>
      </c>
      <c r="H145" s="234" t="s">
        <v>4141</v>
      </c>
      <c r="I145" s="234" t="s">
        <v>25</v>
      </c>
      <c r="J145" s="234" t="s">
        <v>4142</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4143</v>
      </c>
      <c r="B146" s="234" t="s">
        <v>4144</v>
      </c>
      <c r="C146" s="234" t="s">
        <v>4145</v>
      </c>
      <c r="D146" s="234" t="s">
        <v>4146</v>
      </c>
      <c r="E146" s="234" t="s">
        <v>25</v>
      </c>
      <c r="F146" s="234" t="s">
        <v>25</v>
      </c>
      <c r="G146" s="234" t="s">
        <v>25</v>
      </c>
      <c r="H146" s="234" t="s">
        <v>4147</v>
      </c>
      <c r="I146" s="234" t="s">
        <v>25</v>
      </c>
      <c r="J146" s="234" t="s">
        <v>4148</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4149</v>
      </c>
      <c r="B147" s="232" t="s">
        <v>4150</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892</v>
      </c>
      <c r="B148" s="233" t="s">
        <v>4151</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4152</v>
      </c>
      <c r="B149" s="234" t="s">
        <v>4153</v>
      </c>
      <c r="C149" s="234" t="s">
        <v>4154</v>
      </c>
      <c r="D149" s="234" t="s">
        <v>3617</v>
      </c>
      <c r="E149" s="234" t="s">
        <v>3406</v>
      </c>
      <c r="F149" s="234" t="s">
        <v>25</v>
      </c>
      <c r="G149" s="234" t="s">
        <v>25</v>
      </c>
      <c r="H149" s="234" t="s">
        <v>4155</v>
      </c>
      <c r="I149" s="234" t="s">
        <v>25</v>
      </c>
      <c r="J149" s="234" t="s">
        <v>4156</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4157</v>
      </c>
      <c r="B150" s="234" t="s">
        <v>4158</v>
      </c>
      <c r="C150" s="234" t="s">
        <v>3411</v>
      </c>
      <c r="D150" s="234" t="s">
        <v>3412</v>
      </c>
      <c r="E150" s="234" t="s">
        <v>25</v>
      </c>
      <c r="F150" s="234" t="s">
        <v>3414</v>
      </c>
      <c r="G150" s="234" t="s">
        <v>25</v>
      </c>
      <c r="H150" s="234" t="s">
        <v>4159</v>
      </c>
      <c r="I150" s="234" t="s">
        <v>25</v>
      </c>
      <c r="J150" s="234" t="s">
        <v>4160</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896</v>
      </c>
      <c r="B151" s="233" t="s">
        <v>4161</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4162</v>
      </c>
      <c r="B152" s="234" t="s">
        <v>4163</v>
      </c>
      <c r="C152" s="234" t="s">
        <v>4164</v>
      </c>
      <c r="D152" s="234" t="s">
        <v>25</v>
      </c>
      <c r="E152" s="234" t="s">
        <v>25</v>
      </c>
      <c r="F152" s="234" t="s">
        <v>25</v>
      </c>
      <c r="G152" s="234" t="s">
        <v>25</v>
      </c>
      <c r="H152" s="234" t="s">
        <v>4165</v>
      </c>
      <c r="I152" s="234" t="s">
        <v>4166</v>
      </c>
      <c r="J152" s="234" t="s">
        <v>4167</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4168</v>
      </c>
      <c r="B153" s="234" t="s">
        <v>4169</v>
      </c>
      <c r="C153" s="234" t="s">
        <v>4170</v>
      </c>
      <c r="D153" s="234" t="s">
        <v>4171</v>
      </c>
      <c r="E153" s="234" t="s">
        <v>25</v>
      </c>
      <c r="F153" s="234" t="s">
        <v>4172</v>
      </c>
      <c r="G153" s="234" t="s">
        <v>25</v>
      </c>
      <c r="H153" s="234" t="s">
        <v>4173</v>
      </c>
      <c r="I153" s="234" t="s">
        <v>4174</v>
      </c>
      <c r="J153" s="234" t="s">
        <v>4175</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4176</v>
      </c>
      <c r="B154" s="234" t="s">
        <v>4177</v>
      </c>
      <c r="C154" s="234" t="s">
        <v>4178</v>
      </c>
      <c r="D154" s="234" t="s">
        <v>25</v>
      </c>
      <c r="E154" s="234" t="s">
        <v>25</v>
      </c>
      <c r="F154" s="234" t="s">
        <v>4179</v>
      </c>
      <c r="G154" s="234" t="s">
        <v>25</v>
      </c>
      <c r="H154" s="234" t="s">
        <v>4180</v>
      </c>
      <c r="I154" s="234" t="s">
        <v>25</v>
      </c>
      <c r="J154" s="234" t="s">
        <v>4181</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4182</v>
      </c>
      <c r="B155" s="234" t="s">
        <v>4183</v>
      </c>
      <c r="C155" s="234" t="s">
        <v>4184</v>
      </c>
      <c r="D155" s="234" t="s">
        <v>25</v>
      </c>
      <c r="E155" s="234" t="s">
        <v>25</v>
      </c>
      <c r="F155" s="234" t="s">
        <v>25</v>
      </c>
      <c r="G155" s="234" t="s">
        <v>25</v>
      </c>
      <c r="H155" s="234" t="s">
        <v>4185</v>
      </c>
      <c r="I155" s="234" t="s">
        <v>4186</v>
      </c>
      <c r="J155" s="234" t="s">
        <v>4187</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4188</v>
      </c>
      <c r="B156" s="234" t="s">
        <v>4189</v>
      </c>
      <c r="C156" s="234" t="s">
        <v>4190</v>
      </c>
      <c r="D156" s="234" t="s">
        <v>25</v>
      </c>
      <c r="E156" s="234" t="s">
        <v>25</v>
      </c>
      <c r="F156" s="234" t="s">
        <v>25</v>
      </c>
      <c r="G156" s="234" t="s">
        <v>25</v>
      </c>
      <c r="H156" s="234" t="s">
        <v>4191</v>
      </c>
      <c r="I156" s="234" t="s">
        <v>25</v>
      </c>
      <c r="J156" s="234" t="s">
        <v>4192</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4193</v>
      </c>
      <c r="B157" s="234" t="s">
        <v>4194</v>
      </c>
      <c r="C157" s="234" t="s">
        <v>4195</v>
      </c>
      <c r="D157" s="234" t="s">
        <v>4196</v>
      </c>
      <c r="E157" s="234" t="s">
        <v>25</v>
      </c>
      <c r="F157" s="234" t="s">
        <v>25</v>
      </c>
      <c r="G157" s="234" t="s">
        <v>25</v>
      </c>
      <c r="H157" s="234" t="s">
        <v>4197</v>
      </c>
      <c r="I157" s="234" t="s">
        <v>25</v>
      </c>
      <c r="J157" s="234" t="s">
        <v>4198</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4199</v>
      </c>
      <c r="B158" s="234" t="s">
        <v>4200</v>
      </c>
      <c r="C158" s="234" t="s">
        <v>4201</v>
      </c>
      <c r="D158" s="234" t="s">
        <v>4202</v>
      </c>
      <c r="E158" s="234" t="s">
        <v>25</v>
      </c>
      <c r="F158" s="234" t="s">
        <v>25</v>
      </c>
      <c r="G158" s="234" t="s">
        <v>25</v>
      </c>
      <c r="H158" s="234" t="s">
        <v>25</v>
      </c>
      <c r="I158" s="234" t="s">
        <v>25</v>
      </c>
      <c r="J158" s="234" t="s">
        <v>4203</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4204</v>
      </c>
      <c r="B159" s="234" t="s">
        <v>4205</v>
      </c>
      <c r="C159" s="234" t="s">
        <v>4206</v>
      </c>
      <c r="D159" s="234" t="s">
        <v>4207</v>
      </c>
      <c r="E159" s="234" t="s">
        <v>25</v>
      </c>
      <c r="F159" s="234" t="s">
        <v>4208</v>
      </c>
      <c r="G159" s="234" t="s">
        <v>25</v>
      </c>
      <c r="H159" s="234" t="s">
        <v>4209</v>
      </c>
      <c r="I159" s="234" t="s">
        <v>4210</v>
      </c>
      <c r="J159" s="234" t="s">
        <v>4211</v>
      </c>
      <c r="K159" s="237">
        <f>IF(COUNTIF(L159:AY159,"&lt;&gt;")=0,"",SUMPRODUCT(((Recommendations[ImplStatus]="Implemented")+(Recommendations[ImplStatus]="Compensated"))*ISNUMBER(MATCH(Recommendations[Id],L159:AY159,0)))/COUNTIF(L159:AY159,"&lt;&gt;"))</f>
        <v>0</v>
      </c>
      <c r="L159" s="240" t="s">
        <v>110</v>
      </c>
      <c r="M159" s="240" t="s">
        <v>116</v>
      </c>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900</v>
      </c>
      <c r="B160" s="233" t="s">
        <v>4212</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4213</v>
      </c>
      <c r="B161" s="234" t="s">
        <v>4214</v>
      </c>
      <c r="C161" s="234" t="s">
        <v>4215</v>
      </c>
      <c r="D161" s="234" t="s">
        <v>4216</v>
      </c>
      <c r="E161" s="234" t="s">
        <v>25</v>
      </c>
      <c r="F161" s="234" t="s">
        <v>25</v>
      </c>
      <c r="G161" s="234" t="s">
        <v>4217</v>
      </c>
      <c r="H161" s="234" t="s">
        <v>4218</v>
      </c>
      <c r="I161" s="234" t="s">
        <v>4219</v>
      </c>
      <c r="J161" s="234" t="s">
        <v>4220</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4221</v>
      </c>
      <c r="B162" s="234" t="s">
        <v>4222</v>
      </c>
      <c r="C162" s="234" t="s">
        <v>4223</v>
      </c>
      <c r="D162" s="234" t="s">
        <v>4224</v>
      </c>
      <c r="E162" s="234" t="s">
        <v>25</v>
      </c>
      <c r="F162" s="234" t="s">
        <v>25</v>
      </c>
      <c r="G162" s="234" t="s">
        <v>25</v>
      </c>
      <c r="H162" s="234" t="s">
        <v>4225</v>
      </c>
      <c r="I162" s="234" t="s">
        <v>25</v>
      </c>
      <c r="J162" s="234" t="s">
        <v>4226</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4227</v>
      </c>
      <c r="B163" s="234" t="s">
        <v>4228</v>
      </c>
      <c r="C163" s="234" t="s">
        <v>4229</v>
      </c>
      <c r="D163" s="234" t="s">
        <v>4224</v>
      </c>
      <c r="E163" s="234" t="s">
        <v>25</v>
      </c>
      <c r="F163" s="234" t="s">
        <v>4230</v>
      </c>
      <c r="G163" s="234" t="s">
        <v>25</v>
      </c>
      <c r="H163" s="234" t="s">
        <v>4231</v>
      </c>
      <c r="I163" s="234" t="s">
        <v>25</v>
      </c>
      <c r="J163" s="234" t="s">
        <v>4232</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4233</v>
      </c>
      <c r="B164" s="234" t="s">
        <v>4234</v>
      </c>
      <c r="C164" s="234" t="s">
        <v>4235</v>
      </c>
      <c r="D164" s="234" t="s">
        <v>4236</v>
      </c>
      <c r="E164" s="234" t="s">
        <v>25</v>
      </c>
      <c r="F164" s="234" t="s">
        <v>25</v>
      </c>
      <c r="G164" s="234" t="s">
        <v>25</v>
      </c>
      <c r="H164" s="234" t="s">
        <v>4237</v>
      </c>
      <c r="I164" s="234" t="s">
        <v>4238</v>
      </c>
      <c r="J164" s="234" t="s">
        <v>4239</v>
      </c>
      <c r="K164" s="237">
        <f>IF(COUNTIF(L164:AY164,"&lt;&gt;")=0,"",SUMPRODUCT(((Recommendations[ImplStatus]="Implemented")+(Recommendations[ImplStatus]="Compensated"))*ISNUMBER(MATCH(Recommendations[Id],L164:AY164,0)))/COUNTIF(L164:AY164,"&lt;&gt;"))</f>
        <v>0</v>
      </c>
      <c r="L164" s="240" t="s">
        <v>256</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4240</v>
      </c>
      <c r="B165" s="234" t="s">
        <v>4241</v>
      </c>
      <c r="C165" s="234" t="s">
        <v>4242</v>
      </c>
      <c r="D165" s="234" t="s">
        <v>25</v>
      </c>
      <c r="E165" s="234" t="s">
        <v>25</v>
      </c>
      <c r="F165" s="234" t="s">
        <v>25</v>
      </c>
      <c r="G165" s="234" t="s">
        <v>25</v>
      </c>
      <c r="H165" s="234" t="s">
        <v>4243</v>
      </c>
      <c r="I165" s="234" t="s">
        <v>25</v>
      </c>
      <c r="J165" s="234" t="s">
        <v>4244</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4245</v>
      </c>
      <c r="B166" s="234" t="s">
        <v>4246</v>
      </c>
      <c r="C166" s="234" t="s">
        <v>4247</v>
      </c>
      <c r="D166" s="234" t="s">
        <v>4248</v>
      </c>
      <c r="E166" s="234" t="s">
        <v>25</v>
      </c>
      <c r="F166" s="234" t="s">
        <v>25</v>
      </c>
      <c r="G166" s="234" t="s">
        <v>25</v>
      </c>
      <c r="H166" s="234" t="s">
        <v>4249</v>
      </c>
      <c r="I166" s="234" t="s">
        <v>4250</v>
      </c>
      <c r="J166" s="234" t="s">
        <v>4251</v>
      </c>
      <c r="K166" s="237">
        <f>IF(COUNTIF(L166:AY166,"&lt;&gt;")=0,"",SUMPRODUCT(((Recommendations[ImplStatus]="Implemented")+(Recommendations[ImplStatus]="Compensated"))*ISNUMBER(MATCH(Recommendations[Id],L166:AY166,0)))/COUNTIF(L166:AY166,"&lt;&gt;"))</f>
        <v>0</v>
      </c>
      <c r="L166" s="240" t="s">
        <v>262</v>
      </c>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4252</v>
      </c>
      <c r="B167" s="234" t="s">
        <v>4253</v>
      </c>
      <c r="C167" s="234" t="s">
        <v>4254</v>
      </c>
      <c r="D167" s="234" t="s">
        <v>25</v>
      </c>
      <c r="E167" s="234" t="s">
        <v>25</v>
      </c>
      <c r="F167" s="234" t="s">
        <v>25</v>
      </c>
      <c r="G167" s="234" t="s">
        <v>25</v>
      </c>
      <c r="H167" s="234" t="s">
        <v>4255</v>
      </c>
      <c r="I167" s="234" t="s">
        <v>4256</v>
      </c>
      <c r="J167" s="234" t="s">
        <v>4257</v>
      </c>
      <c r="K167" s="237">
        <f>IF(COUNTIF(L167:AY167,"&lt;&gt;")=0,"",SUMPRODUCT(((Recommendations[ImplStatus]="Implemented")+(Recommendations[ImplStatus]="Compensated"))*ISNUMBER(MATCH(Recommendations[Id],L167:AY167,0)))/COUNTIF(L167:AY167,"&lt;&gt;"))</f>
        <v>0</v>
      </c>
      <c r="L167" s="240" t="s">
        <v>295</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4258</v>
      </c>
      <c r="B168" s="234" t="s">
        <v>4259</v>
      </c>
      <c r="C168" s="234" t="s">
        <v>4260</v>
      </c>
      <c r="D168" s="234" t="s">
        <v>4261</v>
      </c>
      <c r="E168" s="234" t="s">
        <v>25</v>
      </c>
      <c r="F168" s="234" t="s">
        <v>25</v>
      </c>
      <c r="G168" s="234" t="s">
        <v>25</v>
      </c>
      <c r="H168" s="234" t="s">
        <v>4262</v>
      </c>
      <c r="I168" s="234" t="s">
        <v>25</v>
      </c>
      <c r="J168" s="234" t="s">
        <v>4263</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4264</v>
      </c>
      <c r="B169" s="234" t="s">
        <v>4265</v>
      </c>
      <c r="C169" s="234" t="s">
        <v>4266</v>
      </c>
      <c r="D169" s="234" t="s">
        <v>4267</v>
      </c>
      <c r="E169" s="234" t="s">
        <v>25</v>
      </c>
      <c r="F169" s="234" t="s">
        <v>25</v>
      </c>
      <c r="G169" s="234" t="s">
        <v>4268</v>
      </c>
      <c r="H169" s="234" t="s">
        <v>4269</v>
      </c>
      <c r="I169" s="234" t="s">
        <v>4270</v>
      </c>
      <c r="J169" s="234" t="s">
        <v>4271</v>
      </c>
      <c r="K169" s="237">
        <f>IF(COUNTIF(L169:AY169,"&lt;&gt;")=0,"",SUMPRODUCT(((Recommendations[ImplStatus]="Implemented")+(Recommendations[ImplStatus]="Compensated"))*ISNUMBER(MATCH(Recommendations[Id],L169:AY169,0)))/COUNTIF(L169:AY169,"&lt;&gt;"))</f>
        <v>0</v>
      </c>
      <c r="L169" s="240" t="s">
        <v>289</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4272</v>
      </c>
      <c r="B170" s="234" t="s">
        <v>4273</v>
      </c>
      <c r="C170" s="234" t="s">
        <v>4274</v>
      </c>
      <c r="D170" s="234" t="s">
        <v>4275</v>
      </c>
      <c r="E170" s="234" t="s">
        <v>25</v>
      </c>
      <c r="F170" s="234" t="s">
        <v>25</v>
      </c>
      <c r="G170" s="234" t="s">
        <v>25</v>
      </c>
      <c r="H170" s="234" t="s">
        <v>4276</v>
      </c>
      <c r="I170" s="234" t="s">
        <v>4277</v>
      </c>
      <c r="J170" s="234" t="s">
        <v>4278</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4279</v>
      </c>
      <c r="B171" s="234" t="s">
        <v>4280</v>
      </c>
      <c r="C171" s="234" t="s">
        <v>4274</v>
      </c>
      <c r="D171" s="234" t="s">
        <v>4281</v>
      </c>
      <c r="E171" s="234" t="s">
        <v>25</v>
      </c>
      <c r="F171" s="234" t="s">
        <v>25</v>
      </c>
      <c r="G171" s="234" t="s">
        <v>4282</v>
      </c>
      <c r="H171" s="234" t="s">
        <v>4276</v>
      </c>
      <c r="I171" s="234" t="s">
        <v>4283</v>
      </c>
      <c r="J171" s="234" t="s">
        <v>4284</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4285</v>
      </c>
      <c r="B172" s="234" t="s">
        <v>4286</v>
      </c>
      <c r="C172" s="234" t="s">
        <v>4287</v>
      </c>
      <c r="D172" s="234" t="s">
        <v>4288</v>
      </c>
      <c r="E172" s="234" t="s">
        <v>25</v>
      </c>
      <c r="F172" s="234" t="s">
        <v>25</v>
      </c>
      <c r="G172" s="234" t="s">
        <v>25</v>
      </c>
      <c r="H172" s="234" t="s">
        <v>4289</v>
      </c>
      <c r="I172" s="234" t="s">
        <v>25</v>
      </c>
      <c r="J172" s="234" t="s">
        <v>4290</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904</v>
      </c>
      <c r="B173" s="233" t="s">
        <v>4291</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4292</v>
      </c>
      <c r="B174" s="234" t="s">
        <v>4293</v>
      </c>
      <c r="C174" s="234" t="s">
        <v>4294</v>
      </c>
      <c r="D174" s="234" t="s">
        <v>4295</v>
      </c>
      <c r="E174" s="234" t="s">
        <v>4296</v>
      </c>
      <c r="F174" s="234" t="s">
        <v>25</v>
      </c>
      <c r="G174" s="234" t="s">
        <v>25</v>
      </c>
      <c r="H174" s="234" t="s">
        <v>4297</v>
      </c>
      <c r="I174" s="234" t="s">
        <v>4298</v>
      </c>
      <c r="J174" s="234" t="s">
        <v>4299</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4300</v>
      </c>
      <c r="B175" s="234" t="s">
        <v>4301</v>
      </c>
      <c r="C175" s="234" t="s">
        <v>4302</v>
      </c>
      <c r="D175" s="234" t="s">
        <v>25</v>
      </c>
      <c r="E175" s="234" t="s">
        <v>4303</v>
      </c>
      <c r="F175" s="234" t="s">
        <v>25</v>
      </c>
      <c r="G175" s="234" t="s">
        <v>25</v>
      </c>
      <c r="H175" s="234" t="s">
        <v>4304</v>
      </c>
      <c r="I175" s="234" t="s">
        <v>25</v>
      </c>
      <c r="J175" s="234" t="s">
        <v>4305</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4306</v>
      </c>
      <c r="B176" s="234" t="s">
        <v>4307</v>
      </c>
      <c r="C176" s="234" t="s">
        <v>4308</v>
      </c>
      <c r="D176" s="234" t="s">
        <v>25</v>
      </c>
      <c r="E176" s="234" t="s">
        <v>4309</v>
      </c>
      <c r="F176" s="234" t="s">
        <v>25</v>
      </c>
      <c r="G176" s="234" t="s">
        <v>25</v>
      </c>
      <c r="H176" s="234" t="s">
        <v>4310</v>
      </c>
      <c r="I176" s="234" t="s">
        <v>4311</v>
      </c>
      <c r="J176" s="234" t="s">
        <v>4312</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908</v>
      </c>
      <c r="B177" s="233" t="s">
        <v>4313</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4314</v>
      </c>
      <c r="B178" s="234" t="s">
        <v>4315</v>
      </c>
      <c r="C178" s="234" t="s">
        <v>4316</v>
      </c>
      <c r="D178" s="234" t="s">
        <v>4317</v>
      </c>
      <c r="E178" s="234" t="s">
        <v>4318</v>
      </c>
      <c r="F178" s="234" t="s">
        <v>4319</v>
      </c>
      <c r="G178" s="234" t="s">
        <v>25</v>
      </c>
      <c r="H178" s="234" t="s">
        <v>4320</v>
      </c>
      <c r="I178" s="234" t="s">
        <v>4321</v>
      </c>
      <c r="J178" s="234" t="s">
        <v>4322</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912</v>
      </c>
      <c r="B179" s="233" t="s">
        <v>4323</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4324</v>
      </c>
      <c r="B180" s="234" t="s">
        <v>4325</v>
      </c>
      <c r="C180" s="234" t="s">
        <v>4326</v>
      </c>
      <c r="D180" s="234" t="s">
        <v>4317</v>
      </c>
      <c r="E180" s="234" t="s">
        <v>4327</v>
      </c>
      <c r="F180" s="234" t="s">
        <v>25</v>
      </c>
      <c r="G180" s="234" t="s">
        <v>25</v>
      </c>
      <c r="H180" s="234" t="s">
        <v>4328</v>
      </c>
      <c r="I180" s="234" t="s">
        <v>3845</v>
      </c>
      <c r="J180" s="234" t="s">
        <v>4329</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4330</v>
      </c>
      <c r="B181" s="234" t="s">
        <v>4331</v>
      </c>
      <c r="C181" s="234" t="s">
        <v>4332</v>
      </c>
      <c r="D181" s="234" t="s">
        <v>4333</v>
      </c>
      <c r="E181" s="234" t="s">
        <v>25</v>
      </c>
      <c r="F181" s="234" t="s">
        <v>25</v>
      </c>
      <c r="G181" s="234" t="s">
        <v>25</v>
      </c>
      <c r="H181" s="234" t="s">
        <v>4334</v>
      </c>
      <c r="I181" s="234" t="s">
        <v>4335</v>
      </c>
      <c r="J181" s="234" t="s">
        <v>4336</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4337</v>
      </c>
      <c r="B182" s="234" t="s">
        <v>4338</v>
      </c>
      <c r="C182" s="234" t="s">
        <v>4339</v>
      </c>
      <c r="D182" s="234" t="s">
        <v>4340</v>
      </c>
      <c r="E182" s="234" t="s">
        <v>25</v>
      </c>
      <c r="F182" s="234" t="s">
        <v>25</v>
      </c>
      <c r="G182" s="234" t="s">
        <v>25</v>
      </c>
      <c r="H182" s="234" t="s">
        <v>4341</v>
      </c>
      <c r="I182" s="234" t="s">
        <v>3845</v>
      </c>
      <c r="J182" s="234" t="s">
        <v>4342</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4343</v>
      </c>
      <c r="B183" s="232" t="s">
        <v>4344</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942</v>
      </c>
      <c r="B184" s="233" t="s">
        <v>4345</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4346</v>
      </c>
      <c r="B185" s="234" t="s">
        <v>4347</v>
      </c>
      <c r="C185" s="234" t="s">
        <v>4348</v>
      </c>
      <c r="D185" s="234" t="s">
        <v>3617</v>
      </c>
      <c r="E185" s="234" t="s">
        <v>4349</v>
      </c>
      <c r="F185" s="234" t="s">
        <v>25</v>
      </c>
      <c r="G185" s="234" t="s">
        <v>25</v>
      </c>
      <c r="H185" s="234" t="s">
        <v>4350</v>
      </c>
      <c r="I185" s="234" t="s">
        <v>25</v>
      </c>
      <c r="J185" s="234" t="s">
        <v>4351</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4352</v>
      </c>
      <c r="B186" s="234" t="s">
        <v>4353</v>
      </c>
      <c r="C186" s="234" t="s">
        <v>3622</v>
      </c>
      <c r="D186" s="234" t="s">
        <v>4354</v>
      </c>
      <c r="E186" s="234" t="s">
        <v>25</v>
      </c>
      <c r="F186" s="234" t="s">
        <v>25</v>
      </c>
      <c r="G186" s="234" t="s">
        <v>25</v>
      </c>
      <c r="H186" s="234" t="s">
        <v>4355</v>
      </c>
      <c r="I186" s="234" t="s">
        <v>25</v>
      </c>
      <c r="J186" s="234" t="s">
        <v>4356</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946</v>
      </c>
      <c r="B187" s="233" t="s">
        <v>4357</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4358</v>
      </c>
      <c r="B188" s="234" t="s">
        <v>4359</v>
      </c>
      <c r="C188" s="234" t="s">
        <v>4360</v>
      </c>
      <c r="D188" s="234" t="s">
        <v>4361</v>
      </c>
      <c r="E188" s="234" t="s">
        <v>25</v>
      </c>
      <c r="F188" s="234" t="s">
        <v>4362</v>
      </c>
      <c r="G188" s="234" t="s">
        <v>25</v>
      </c>
      <c r="H188" s="234" t="s">
        <v>4363</v>
      </c>
      <c r="I188" s="234" t="s">
        <v>4364</v>
      </c>
      <c r="J188" s="234" t="s">
        <v>4365</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4366</v>
      </c>
      <c r="B189" s="234" t="s">
        <v>4367</v>
      </c>
      <c r="C189" s="234" t="s">
        <v>4368</v>
      </c>
      <c r="D189" s="234" t="s">
        <v>4369</v>
      </c>
      <c r="E189" s="234" t="s">
        <v>25</v>
      </c>
      <c r="F189" s="234" t="s">
        <v>25</v>
      </c>
      <c r="G189" s="234" t="s">
        <v>25</v>
      </c>
      <c r="H189" s="234" t="s">
        <v>4370</v>
      </c>
      <c r="I189" s="234" t="s">
        <v>25</v>
      </c>
      <c r="J189" s="234" t="s">
        <v>4371</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4372</v>
      </c>
      <c r="B190" s="234" t="s">
        <v>4373</v>
      </c>
      <c r="C190" s="234" t="s">
        <v>4374</v>
      </c>
      <c r="D190" s="234" t="s">
        <v>4375</v>
      </c>
      <c r="E190" s="234" t="s">
        <v>25</v>
      </c>
      <c r="F190" s="234" t="s">
        <v>4376</v>
      </c>
      <c r="G190" s="234" t="s">
        <v>25</v>
      </c>
      <c r="H190" s="234" t="s">
        <v>4377</v>
      </c>
      <c r="I190" s="234" t="s">
        <v>25</v>
      </c>
      <c r="J190" s="234" t="s">
        <v>4378</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4379</v>
      </c>
      <c r="B191" s="234" t="s">
        <v>4380</v>
      </c>
      <c r="C191" s="234" t="s">
        <v>4381</v>
      </c>
      <c r="D191" s="234" t="s">
        <v>25</v>
      </c>
      <c r="E191" s="234" t="s">
        <v>25</v>
      </c>
      <c r="F191" s="234" t="s">
        <v>25</v>
      </c>
      <c r="G191" s="234" t="s">
        <v>25</v>
      </c>
      <c r="H191" s="234" t="s">
        <v>4382</v>
      </c>
      <c r="I191" s="234" t="s">
        <v>25</v>
      </c>
      <c r="J191" s="234" t="s">
        <v>4383</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4384</v>
      </c>
      <c r="B192" s="234" t="s">
        <v>4385</v>
      </c>
      <c r="C192" s="234" t="s">
        <v>4386</v>
      </c>
      <c r="D192" s="234" t="s">
        <v>4387</v>
      </c>
      <c r="E192" s="234" t="s">
        <v>4388</v>
      </c>
      <c r="F192" s="234" t="s">
        <v>25</v>
      </c>
      <c r="G192" s="234" t="s">
        <v>25</v>
      </c>
      <c r="H192" s="234" t="s">
        <v>4389</v>
      </c>
      <c r="I192" s="234" t="s">
        <v>25</v>
      </c>
      <c r="J192" s="234" t="s">
        <v>4390</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950</v>
      </c>
      <c r="B193" s="233" t="s">
        <v>4391</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4392</v>
      </c>
      <c r="B194" s="234" t="s">
        <v>4393</v>
      </c>
      <c r="C194" s="234" t="s">
        <v>4394</v>
      </c>
      <c r="D194" s="234" t="s">
        <v>4387</v>
      </c>
      <c r="E194" s="234" t="s">
        <v>4388</v>
      </c>
      <c r="F194" s="234" t="s">
        <v>4395</v>
      </c>
      <c r="G194" s="234" t="s">
        <v>25</v>
      </c>
      <c r="H194" s="234" t="s">
        <v>4396</v>
      </c>
      <c r="I194" s="234" t="s">
        <v>25</v>
      </c>
      <c r="J194" s="234" t="s">
        <v>4397</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4398</v>
      </c>
      <c r="B195" s="234" t="s">
        <v>4399</v>
      </c>
      <c r="C195" s="234" t="s">
        <v>4400</v>
      </c>
      <c r="D195" s="234" t="s">
        <v>4401</v>
      </c>
      <c r="E195" s="234" t="s">
        <v>25</v>
      </c>
      <c r="F195" s="234" t="s">
        <v>25</v>
      </c>
      <c r="G195" s="234" t="s">
        <v>25</v>
      </c>
      <c r="H195" s="234" t="s">
        <v>4402</v>
      </c>
      <c r="I195" s="234" t="s">
        <v>25</v>
      </c>
      <c r="J195" s="234" t="s">
        <v>4403</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4404</v>
      </c>
      <c r="B196" s="234" t="s">
        <v>4405</v>
      </c>
      <c r="C196" s="234" t="s">
        <v>4406</v>
      </c>
      <c r="D196" s="234" t="s">
        <v>25</v>
      </c>
      <c r="E196" s="234" t="s">
        <v>4407</v>
      </c>
      <c r="F196" s="234" t="s">
        <v>25</v>
      </c>
      <c r="G196" s="234" t="s">
        <v>25</v>
      </c>
      <c r="H196" s="234" t="s">
        <v>4408</v>
      </c>
      <c r="I196" s="234" t="s">
        <v>25</v>
      </c>
      <c r="J196" s="234" t="s">
        <v>4409</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4410</v>
      </c>
      <c r="B197" s="234" t="s">
        <v>4411</v>
      </c>
      <c r="C197" s="234" t="s">
        <v>4412</v>
      </c>
      <c r="D197" s="234" t="s">
        <v>25</v>
      </c>
      <c r="E197" s="234" t="s">
        <v>25</v>
      </c>
      <c r="F197" s="234" t="s">
        <v>25</v>
      </c>
      <c r="G197" s="234" t="s">
        <v>25</v>
      </c>
      <c r="H197" s="234" t="s">
        <v>4413</v>
      </c>
      <c r="I197" s="234" t="s">
        <v>25</v>
      </c>
      <c r="J197" s="234" t="s">
        <v>4414</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4415</v>
      </c>
      <c r="B198" s="234" t="s">
        <v>4416</v>
      </c>
      <c r="C198" s="234" t="s">
        <v>4417</v>
      </c>
      <c r="D198" s="234" t="s">
        <v>4418</v>
      </c>
      <c r="E198" s="234" t="s">
        <v>25</v>
      </c>
      <c r="F198" s="234" t="s">
        <v>25</v>
      </c>
      <c r="G198" s="234" t="s">
        <v>25</v>
      </c>
      <c r="H198" s="234" t="s">
        <v>4419</v>
      </c>
      <c r="I198" s="234" t="s">
        <v>25</v>
      </c>
      <c r="J198" s="234" t="s">
        <v>4420</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954</v>
      </c>
      <c r="B199" s="233" t="s">
        <v>4421</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4422</v>
      </c>
      <c r="B200" s="234" t="s">
        <v>4423</v>
      </c>
      <c r="C200" s="234" t="s">
        <v>4424</v>
      </c>
      <c r="D200" s="234" t="s">
        <v>25</v>
      </c>
      <c r="E200" s="234" t="s">
        <v>25</v>
      </c>
      <c r="F200" s="234" t="s">
        <v>25</v>
      </c>
      <c r="G200" s="234" t="s">
        <v>25</v>
      </c>
      <c r="H200" s="234" t="s">
        <v>4425</v>
      </c>
      <c r="I200" s="234" t="s">
        <v>25</v>
      </c>
      <c r="J200" s="234" t="s">
        <v>25</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4426</v>
      </c>
      <c r="B201" s="234" t="s">
        <v>4427</v>
      </c>
      <c r="C201" s="234" t="s">
        <v>4428</v>
      </c>
      <c r="D201" s="234" t="s">
        <v>4429</v>
      </c>
      <c r="E201" s="234" t="s">
        <v>25</v>
      </c>
      <c r="F201" s="234" t="s">
        <v>25</v>
      </c>
      <c r="G201" s="234" t="s">
        <v>25</v>
      </c>
      <c r="H201" s="234" t="s">
        <v>4430</v>
      </c>
      <c r="I201" s="234" t="s">
        <v>25</v>
      </c>
      <c r="J201" s="234" t="s">
        <v>4431</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4432</v>
      </c>
      <c r="B202" s="234" t="s">
        <v>4433</v>
      </c>
      <c r="C202" s="234" t="s">
        <v>4434</v>
      </c>
      <c r="D202" s="234" t="s">
        <v>25</v>
      </c>
      <c r="E202" s="234" t="s">
        <v>25</v>
      </c>
      <c r="F202" s="234" t="s">
        <v>25</v>
      </c>
      <c r="G202" s="234" t="s">
        <v>25</v>
      </c>
      <c r="H202" s="234" t="s">
        <v>4435</v>
      </c>
      <c r="I202" s="234" t="s">
        <v>25</v>
      </c>
      <c r="J202" s="234" t="s">
        <v>4436</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4437</v>
      </c>
      <c r="B203" s="234" t="s">
        <v>4438</v>
      </c>
      <c r="C203" s="234" t="s">
        <v>4439</v>
      </c>
      <c r="D203" s="234" t="s">
        <v>4440</v>
      </c>
      <c r="E203" s="234" t="s">
        <v>25</v>
      </c>
      <c r="F203" s="234" t="s">
        <v>25</v>
      </c>
      <c r="G203" s="234" t="s">
        <v>25</v>
      </c>
      <c r="H203" s="234" t="s">
        <v>4441</v>
      </c>
      <c r="I203" s="234" t="s">
        <v>25</v>
      </c>
      <c r="J203" s="234" t="s">
        <v>4442</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4443</v>
      </c>
      <c r="B204" s="234" t="s">
        <v>4444</v>
      </c>
      <c r="C204" s="234" t="s">
        <v>4445</v>
      </c>
      <c r="D204" s="234" t="s">
        <v>25</v>
      </c>
      <c r="E204" s="234" t="s">
        <v>25</v>
      </c>
      <c r="F204" s="234" t="s">
        <v>25</v>
      </c>
      <c r="G204" s="234" t="s">
        <v>25</v>
      </c>
      <c r="H204" s="234" t="s">
        <v>4446</v>
      </c>
      <c r="I204" s="234" t="s">
        <v>25</v>
      </c>
      <c r="J204" s="234" t="s">
        <v>4447</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4448</v>
      </c>
      <c r="B205" s="234" t="s">
        <v>4449</v>
      </c>
      <c r="C205" s="234" t="s">
        <v>4450</v>
      </c>
      <c r="D205" s="234" t="s">
        <v>25</v>
      </c>
      <c r="E205" s="234" t="s">
        <v>25</v>
      </c>
      <c r="F205" s="234" t="s">
        <v>25</v>
      </c>
      <c r="G205" s="234" t="s">
        <v>25</v>
      </c>
      <c r="H205" s="234" t="s">
        <v>4451</v>
      </c>
      <c r="I205" s="234" t="s">
        <v>4452</v>
      </c>
      <c r="J205" s="234" t="s">
        <v>4453</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4454</v>
      </c>
      <c r="B206" s="234" t="s">
        <v>4455</v>
      </c>
      <c r="C206" s="234" t="s">
        <v>4456</v>
      </c>
      <c r="D206" s="234" t="s">
        <v>25</v>
      </c>
      <c r="E206" s="234" t="s">
        <v>25</v>
      </c>
      <c r="F206" s="234" t="s">
        <v>25</v>
      </c>
      <c r="G206" s="234" t="s">
        <v>25</v>
      </c>
      <c r="H206" s="234" t="s">
        <v>4457</v>
      </c>
      <c r="I206" s="234" t="s">
        <v>25</v>
      </c>
      <c r="J206" s="234" t="s">
        <v>4458</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4459</v>
      </c>
      <c r="B207" s="234" t="s">
        <v>4460</v>
      </c>
      <c r="C207" s="234" t="s">
        <v>4456</v>
      </c>
      <c r="D207" s="234" t="s">
        <v>4461</v>
      </c>
      <c r="E207" s="234" t="s">
        <v>25</v>
      </c>
      <c r="F207" s="234" t="s">
        <v>25</v>
      </c>
      <c r="G207" s="234" t="s">
        <v>25</v>
      </c>
      <c r="H207" s="234" t="s">
        <v>4462</v>
      </c>
      <c r="I207" s="234" t="s">
        <v>25</v>
      </c>
      <c r="J207" s="234" t="s">
        <v>4463</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4464</v>
      </c>
      <c r="B208" s="234" t="s">
        <v>4465</v>
      </c>
      <c r="C208" s="234" t="s">
        <v>4466</v>
      </c>
      <c r="D208" s="234" t="s">
        <v>4461</v>
      </c>
      <c r="E208" s="234" t="s">
        <v>25</v>
      </c>
      <c r="F208" s="234" t="s">
        <v>4467</v>
      </c>
      <c r="G208" s="234" t="s">
        <v>4468</v>
      </c>
      <c r="H208" s="234" t="s">
        <v>4469</v>
      </c>
      <c r="I208" s="234" t="s">
        <v>4470</v>
      </c>
      <c r="J208" s="234" t="s">
        <v>4471</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4472</v>
      </c>
      <c r="B209" s="234" t="s">
        <v>4473</v>
      </c>
      <c r="C209" s="234" t="s">
        <v>4474</v>
      </c>
      <c r="D209" s="234" t="s">
        <v>4475</v>
      </c>
      <c r="E209" s="234" t="s">
        <v>25</v>
      </c>
      <c r="F209" s="234" t="s">
        <v>4467</v>
      </c>
      <c r="G209" s="234" t="s">
        <v>4476</v>
      </c>
      <c r="H209" s="234" t="s">
        <v>4477</v>
      </c>
      <c r="I209" s="234" t="s">
        <v>4470</v>
      </c>
      <c r="J209" s="234" t="s">
        <v>4478</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958</v>
      </c>
      <c r="B210" s="233" t="s">
        <v>4479</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4480</v>
      </c>
      <c r="B211" s="234" t="s">
        <v>4481</v>
      </c>
      <c r="C211" s="234" t="s">
        <v>4482</v>
      </c>
      <c r="D211" s="234" t="s">
        <v>4483</v>
      </c>
      <c r="E211" s="234" t="s">
        <v>25</v>
      </c>
      <c r="F211" s="234" t="s">
        <v>25</v>
      </c>
      <c r="G211" s="234" t="s">
        <v>4484</v>
      </c>
      <c r="H211" s="234" t="s">
        <v>4485</v>
      </c>
      <c r="I211" s="234" t="s">
        <v>4486</v>
      </c>
      <c r="J211" s="234" t="s">
        <v>4487</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4488</v>
      </c>
      <c r="B212" s="234" t="s">
        <v>4489</v>
      </c>
      <c r="C212" s="234" t="s">
        <v>4490</v>
      </c>
      <c r="D212" s="234" t="s">
        <v>4491</v>
      </c>
      <c r="E212" s="234" t="s">
        <v>25</v>
      </c>
      <c r="F212" s="234" t="s">
        <v>4492</v>
      </c>
      <c r="G212" s="234" t="s">
        <v>25</v>
      </c>
      <c r="H212" s="234" t="s">
        <v>25</v>
      </c>
      <c r="I212" s="234" t="s">
        <v>25</v>
      </c>
      <c r="J212" s="234" t="s">
        <v>4493</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4494</v>
      </c>
      <c r="B213" s="234" t="s">
        <v>4495</v>
      </c>
      <c r="C213" s="234" t="s">
        <v>4496</v>
      </c>
      <c r="D213" s="234" t="s">
        <v>4497</v>
      </c>
      <c r="E213" s="234" t="s">
        <v>25</v>
      </c>
      <c r="F213" s="234" t="s">
        <v>4498</v>
      </c>
      <c r="G213" s="234" t="s">
        <v>25</v>
      </c>
      <c r="H213" s="234" t="s">
        <v>4499</v>
      </c>
      <c r="I213" s="234" t="s">
        <v>25</v>
      </c>
      <c r="J213" s="234" t="s">
        <v>4500</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4501</v>
      </c>
      <c r="B214" s="234" t="s">
        <v>4502</v>
      </c>
      <c r="C214" s="234" t="s">
        <v>4503</v>
      </c>
      <c r="D214" s="234" t="s">
        <v>4504</v>
      </c>
      <c r="E214" s="234" t="s">
        <v>25</v>
      </c>
      <c r="F214" s="234" t="s">
        <v>25</v>
      </c>
      <c r="G214" s="234" t="s">
        <v>25</v>
      </c>
      <c r="H214" s="234" t="s">
        <v>4505</v>
      </c>
      <c r="I214" s="234" t="s">
        <v>3845</v>
      </c>
      <c r="J214" s="234" t="s">
        <v>4506</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4507</v>
      </c>
      <c r="B215" s="234" t="s">
        <v>4508</v>
      </c>
      <c r="C215" s="234" t="s">
        <v>4509</v>
      </c>
      <c r="D215" s="234" t="s">
        <v>4510</v>
      </c>
      <c r="E215" s="234" t="s">
        <v>25</v>
      </c>
      <c r="F215" s="234" t="s">
        <v>25</v>
      </c>
      <c r="G215" s="234" t="s">
        <v>25</v>
      </c>
      <c r="H215" s="234" t="s">
        <v>4511</v>
      </c>
      <c r="I215" s="234" t="s">
        <v>25</v>
      </c>
      <c r="J215" s="234" t="s">
        <v>4512</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4513</v>
      </c>
      <c r="B216" s="232" t="s">
        <v>4514</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972</v>
      </c>
      <c r="B217" s="233" t="s">
        <v>4515</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4516</v>
      </c>
      <c r="B218" s="234" t="s">
        <v>4517</v>
      </c>
      <c r="C218" s="234" t="s">
        <v>4518</v>
      </c>
      <c r="D218" s="234" t="s">
        <v>3617</v>
      </c>
      <c r="E218" s="234" t="s">
        <v>3406</v>
      </c>
      <c r="F218" s="234" t="s">
        <v>25</v>
      </c>
      <c r="G218" s="234" t="s">
        <v>25</v>
      </c>
      <c r="H218" s="234" t="s">
        <v>4519</v>
      </c>
      <c r="I218" s="234" t="s">
        <v>25</v>
      </c>
      <c r="J218" s="234" t="s">
        <v>4520</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4521</v>
      </c>
      <c r="B219" s="234" t="s">
        <v>4522</v>
      </c>
      <c r="C219" s="234" t="s">
        <v>3411</v>
      </c>
      <c r="D219" s="234" t="s">
        <v>3412</v>
      </c>
      <c r="E219" s="234" t="s">
        <v>25</v>
      </c>
      <c r="F219" s="234" t="s">
        <v>3414</v>
      </c>
      <c r="G219" s="234" t="s">
        <v>25</v>
      </c>
      <c r="H219" s="234" t="s">
        <v>4523</v>
      </c>
      <c r="I219" s="234" t="s">
        <v>25</v>
      </c>
      <c r="J219" s="234" t="s">
        <v>4524</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976</v>
      </c>
      <c r="B220" s="233" t="s">
        <v>4525</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4526</v>
      </c>
      <c r="B221" s="234" t="s">
        <v>4527</v>
      </c>
      <c r="C221" s="234" t="s">
        <v>4528</v>
      </c>
      <c r="D221" s="234" t="s">
        <v>4529</v>
      </c>
      <c r="E221" s="234" t="s">
        <v>25</v>
      </c>
      <c r="F221" s="234" t="s">
        <v>25</v>
      </c>
      <c r="G221" s="234" t="s">
        <v>25</v>
      </c>
      <c r="H221" s="234" t="s">
        <v>4530</v>
      </c>
      <c r="I221" s="234" t="s">
        <v>25</v>
      </c>
      <c r="J221" s="234" t="s">
        <v>4531</v>
      </c>
      <c r="K221" s="237">
        <f>IF(COUNTIF(L221:AY221,"&lt;&gt;")=0,"",SUMPRODUCT(((Recommendations[ImplStatus]="Implemented")+(Recommendations[ImplStatus]="Compensated"))*ISNUMBER(MATCH(Recommendations[Id],L221:AY221,0)))/COUNTIF(L221:AY221,"&lt;&gt;"))</f>
        <v>0</v>
      </c>
      <c r="L221" s="240" t="s">
        <v>165</v>
      </c>
      <c r="M221" s="240" t="s">
        <v>170</v>
      </c>
      <c r="N221" s="240" t="s">
        <v>194</v>
      </c>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4532</v>
      </c>
      <c r="B222" s="234" t="s">
        <v>4533</v>
      </c>
      <c r="C222" s="234" t="s">
        <v>4534</v>
      </c>
      <c r="D222" s="234" t="s">
        <v>4535</v>
      </c>
      <c r="E222" s="234" t="s">
        <v>25</v>
      </c>
      <c r="F222" s="234" t="s">
        <v>25</v>
      </c>
      <c r="G222" s="234" t="s">
        <v>25</v>
      </c>
      <c r="H222" s="234" t="s">
        <v>4536</v>
      </c>
      <c r="I222" s="234" t="s">
        <v>25</v>
      </c>
      <c r="J222" s="234" t="s">
        <v>4537</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4538</v>
      </c>
      <c r="B223" s="234" t="s">
        <v>4539</v>
      </c>
      <c r="C223" s="234" t="s">
        <v>4540</v>
      </c>
      <c r="D223" s="234" t="s">
        <v>25</v>
      </c>
      <c r="E223" s="234" t="s">
        <v>4541</v>
      </c>
      <c r="F223" s="234" t="s">
        <v>25</v>
      </c>
      <c r="G223" s="234" t="s">
        <v>25</v>
      </c>
      <c r="H223" s="234" t="s">
        <v>4542</v>
      </c>
      <c r="I223" s="234" t="s">
        <v>25</v>
      </c>
      <c r="J223" s="234" t="s">
        <v>4543</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4544</v>
      </c>
      <c r="B224" s="234" t="s">
        <v>4545</v>
      </c>
      <c r="C224" s="234" t="s">
        <v>4546</v>
      </c>
      <c r="D224" s="234" t="s">
        <v>25</v>
      </c>
      <c r="E224" s="234" t="s">
        <v>25</v>
      </c>
      <c r="F224" s="234" t="s">
        <v>25</v>
      </c>
      <c r="G224" s="234" t="s">
        <v>25</v>
      </c>
      <c r="H224" s="234" t="s">
        <v>4547</v>
      </c>
      <c r="I224" s="234" t="s">
        <v>25</v>
      </c>
      <c r="J224" s="234" t="s">
        <v>4548</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4549</v>
      </c>
      <c r="B225" s="234" t="s">
        <v>4550</v>
      </c>
      <c r="C225" s="234" t="s">
        <v>4551</v>
      </c>
      <c r="D225" s="234" t="s">
        <v>25</v>
      </c>
      <c r="E225" s="234" t="s">
        <v>25</v>
      </c>
      <c r="F225" s="234" t="s">
        <v>25</v>
      </c>
      <c r="G225" s="234" t="s">
        <v>25</v>
      </c>
      <c r="H225" s="234" t="s">
        <v>4552</v>
      </c>
      <c r="I225" s="234" t="s">
        <v>25</v>
      </c>
      <c r="J225" s="234" t="s">
        <v>25</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4553</v>
      </c>
      <c r="B226" s="234" t="s">
        <v>4554</v>
      </c>
      <c r="C226" s="234" t="s">
        <v>4555</v>
      </c>
      <c r="D226" s="234" t="s">
        <v>25</v>
      </c>
      <c r="E226" s="234" t="s">
        <v>25</v>
      </c>
      <c r="F226" s="234" t="s">
        <v>25</v>
      </c>
      <c r="G226" s="234" t="s">
        <v>25</v>
      </c>
      <c r="H226" s="234" t="s">
        <v>4556</v>
      </c>
      <c r="I226" s="234" t="s">
        <v>25</v>
      </c>
      <c r="J226" s="234" t="s">
        <v>4557</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4558</v>
      </c>
      <c r="B227" s="234" t="s">
        <v>4559</v>
      </c>
      <c r="C227" s="234" t="s">
        <v>4560</v>
      </c>
      <c r="D227" s="234" t="s">
        <v>25</v>
      </c>
      <c r="E227" s="234" t="s">
        <v>25</v>
      </c>
      <c r="F227" s="234" t="s">
        <v>25</v>
      </c>
      <c r="G227" s="234" t="s">
        <v>25</v>
      </c>
      <c r="H227" s="234" t="s">
        <v>4561</v>
      </c>
      <c r="I227" s="234" t="s">
        <v>25</v>
      </c>
      <c r="J227" s="234" t="s">
        <v>4562</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4563</v>
      </c>
      <c r="B228" s="234" t="s">
        <v>4564</v>
      </c>
      <c r="C228" s="234" t="s">
        <v>4565</v>
      </c>
      <c r="D228" s="234" t="s">
        <v>25</v>
      </c>
      <c r="E228" s="234" t="s">
        <v>25</v>
      </c>
      <c r="F228" s="234" t="s">
        <v>25</v>
      </c>
      <c r="G228" s="234" t="s">
        <v>25</v>
      </c>
      <c r="H228" s="234" t="s">
        <v>4566</v>
      </c>
      <c r="I228" s="234" t="s">
        <v>25</v>
      </c>
      <c r="J228" s="234" t="s">
        <v>4567</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4568</v>
      </c>
      <c r="B229" s="234" t="s">
        <v>4569</v>
      </c>
      <c r="C229" s="234" t="s">
        <v>4570</v>
      </c>
      <c r="D229" s="234" t="s">
        <v>25</v>
      </c>
      <c r="E229" s="234" t="s">
        <v>25</v>
      </c>
      <c r="F229" s="234" t="s">
        <v>25</v>
      </c>
      <c r="G229" s="234" t="s">
        <v>25</v>
      </c>
      <c r="H229" s="234" t="s">
        <v>4571</v>
      </c>
      <c r="I229" s="234" t="s">
        <v>25</v>
      </c>
      <c r="J229" s="234" t="s">
        <v>4572</v>
      </c>
      <c r="K229" s="237">
        <f>IF(COUNTIF(L229:AY229,"&lt;&gt;")=0,"",SUMPRODUCT(((Recommendations[ImplStatus]="Implemented")+(Recommendations[ImplStatus]="Compensated"))*ISNUMBER(MATCH(Recommendations[Id],L229:AY229,0)))/COUNTIF(L229:AY229,"&lt;&gt;"))</f>
        <v>0</v>
      </c>
      <c r="L229" s="240" t="s">
        <v>170</v>
      </c>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980</v>
      </c>
      <c r="B230" s="233" t="s">
        <v>4573</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4574</v>
      </c>
      <c r="B231" s="234" t="s">
        <v>4575</v>
      </c>
      <c r="C231" s="234" t="s">
        <v>4576</v>
      </c>
      <c r="D231" s="234" t="s">
        <v>4577</v>
      </c>
      <c r="E231" s="234" t="s">
        <v>25</v>
      </c>
      <c r="F231" s="234" t="s">
        <v>25</v>
      </c>
      <c r="G231" s="234" t="s">
        <v>25</v>
      </c>
      <c r="H231" s="234" t="s">
        <v>4578</v>
      </c>
      <c r="I231" s="234" t="s">
        <v>25</v>
      </c>
      <c r="J231" s="234" t="s">
        <v>4579</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4580</v>
      </c>
      <c r="B232" s="234" t="s">
        <v>4581</v>
      </c>
      <c r="C232" s="234" t="s">
        <v>4582</v>
      </c>
      <c r="D232" s="234" t="s">
        <v>4583</v>
      </c>
      <c r="E232" s="234" t="s">
        <v>25</v>
      </c>
      <c r="F232" s="234" t="s">
        <v>25</v>
      </c>
      <c r="G232" s="234" t="s">
        <v>25</v>
      </c>
      <c r="H232" s="234" t="s">
        <v>4584</v>
      </c>
      <c r="I232" s="234" t="s">
        <v>25</v>
      </c>
      <c r="J232" s="234" t="s">
        <v>4585</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4586</v>
      </c>
      <c r="B233" s="234" t="s">
        <v>4587</v>
      </c>
      <c r="C233" s="234" t="s">
        <v>4588</v>
      </c>
      <c r="D233" s="234" t="s">
        <v>4589</v>
      </c>
      <c r="E233" s="234" t="s">
        <v>25</v>
      </c>
      <c r="F233" s="234" t="s">
        <v>25</v>
      </c>
      <c r="G233" s="234" t="s">
        <v>25</v>
      </c>
      <c r="H233" s="234" t="s">
        <v>4590</v>
      </c>
      <c r="I233" s="234" t="s">
        <v>25</v>
      </c>
      <c r="J233" s="234" t="s">
        <v>4591</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4592</v>
      </c>
      <c r="B234" s="234" t="s">
        <v>4593</v>
      </c>
      <c r="C234" s="234" t="s">
        <v>4594</v>
      </c>
      <c r="D234" s="234" t="s">
        <v>4595</v>
      </c>
      <c r="E234" s="234" t="s">
        <v>25</v>
      </c>
      <c r="F234" s="234" t="s">
        <v>25</v>
      </c>
      <c r="G234" s="234" t="s">
        <v>25</v>
      </c>
      <c r="H234" s="234" t="s">
        <v>4596</v>
      </c>
      <c r="I234" s="234" t="s">
        <v>25</v>
      </c>
      <c r="J234" s="234" t="s">
        <v>4597</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984</v>
      </c>
      <c r="B235" s="233" t="s">
        <v>4598</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4599</v>
      </c>
      <c r="B236" s="234" t="s">
        <v>4600</v>
      </c>
      <c r="C236" s="234" t="s">
        <v>4601</v>
      </c>
      <c r="D236" s="234" t="s">
        <v>4602</v>
      </c>
      <c r="E236" s="234" t="s">
        <v>25</v>
      </c>
      <c r="F236" s="234" t="s">
        <v>25</v>
      </c>
      <c r="G236" s="234" t="s">
        <v>25</v>
      </c>
      <c r="H236" s="234" t="s">
        <v>4603</v>
      </c>
      <c r="I236" s="234" t="s">
        <v>25</v>
      </c>
      <c r="J236" s="234" t="s">
        <v>4604</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4605</v>
      </c>
      <c r="B237" s="234" t="s">
        <v>4606</v>
      </c>
      <c r="C237" s="234" t="s">
        <v>4607</v>
      </c>
      <c r="D237" s="234" t="s">
        <v>4608</v>
      </c>
      <c r="E237" s="234" t="s">
        <v>25</v>
      </c>
      <c r="F237" s="234" t="s">
        <v>25</v>
      </c>
      <c r="G237" s="234" t="s">
        <v>4609</v>
      </c>
      <c r="H237" s="234" t="s">
        <v>4610</v>
      </c>
      <c r="I237" s="234" t="s">
        <v>3845</v>
      </c>
      <c r="J237" s="234" t="s">
        <v>4611</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4612</v>
      </c>
      <c r="B238" s="234" t="s">
        <v>4613</v>
      </c>
      <c r="C238" s="234" t="s">
        <v>4614</v>
      </c>
      <c r="D238" s="234" t="s">
        <v>25</v>
      </c>
      <c r="E238" s="234" t="s">
        <v>25</v>
      </c>
      <c r="F238" s="234" t="s">
        <v>25</v>
      </c>
      <c r="G238" s="234" t="s">
        <v>25</v>
      </c>
      <c r="H238" s="234" t="s">
        <v>4615</v>
      </c>
      <c r="I238" s="234" t="s">
        <v>4616</v>
      </c>
      <c r="J238" s="234" t="s">
        <v>4617</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4618</v>
      </c>
      <c r="B239" s="234" t="s">
        <v>4619</v>
      </c>
      <c r="C239" s="234" t="s">
        <v>4620</v>
      </c>
      <c r="D239" s="234" t="s">
        <v>25</v>
      </c>
      <c r="E239" s="234" t="s">
        <v>25</v>
      </c>
      <c r="F239" s="234" t="s">
        <v>25</v>
      </c>
      <c r="G239" s="234" t="s">
        <v>25</v>
      </c>
      <c r="H239" s="234" t="s">
        <v>4621</v>
      </c>
      <c r="I239" s="234" t="s">
        <v>3845</v>
      </c>
      <c r="J239" s="234" t="s">
        <v>4622</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4623</v>
      </c>
      <c r="B240" s="234" t="s">
        <v>4624</v>
      </c>
      <c r="C240" s="234" t="s">
        <v>4625</v>
      </c>
      <c r="D240" s="234" t="s">
        <v>4626</v>
      </c>
      <c r="E240" s="234" t="s">
        <v>25</v>
      </c>
      <c r="F240" s="234" t="s">
        <v>25</v>
      </c>
      <c r="G240" s="234" t="s">
        <v>25</v>
      </c>
      <c r="H240" s="234" t="s">
        <v>4627</v>
      </c>
      <c r="I240" s="234" t="s">
        <v>25</v>
      </c>
      <c r="J240" s="234" t="s">
        <v>4628</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988</v>
      </c>
      <c r="B241" s="233" t="s">
        <v>4629</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4630</v>
      </c>
      <c r="B242" s="234" t="s">
        <v>4631</v>
      </c>
      <c r="C242" s="234" t="s">
        <v>4632</v>
      </c>
      <c r="D242" s="234" t="s">
        <v>25</v>
      </c>
      <c r="E242" s="234" t="s">
        <v>25</v>
      </c>
      <c r="F242" s="234" t="s">
        <v>4633</v>
      </c>
      <c r="G242" s="234" t="s">
        <v>25</v>
      </c>
      <c r="H242" s="234" t="s">
        <v>4634</v>
      </c>
      <c r="I242" s="234" t="s">
        <v>25</v>
      </c>
      <c r="J242" s="234" t="s">
        <v>4635</v>
      </c>
      <c r="K242" s="237">
        <f>IF(COUNTIF(L242:AY242,"&lt;&gt;")=0,"",SUMPRODUCT(((Recommendations[ImplStatus]="Implemented")+(Recommendations[ImplStatus]="Compensated"))*ISNUMBER(MATCH(Recommendations[Id],L242:AY242,0)))/COUNTIF(L242:AY242,"&lt;&gt;"))</f>
        <v>0</v>
      </c>
      <c r="L242" s="240" t="s">
        <v>175</v>
      </c>
      <c r="M242" s="240" t="s">
        <v>181</v>
      </c>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992</v>
      </c>
      <c r="B243" s="233" t="s">
        <v>4636</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4637</v>
      </c>
      <c r="B244" s="234" t="s">
        <v>4638</v>
      </c>
      <c r="C244" s="234" t="s">
        <v>4639</v>
      </c>
      <c r="D244" s="234" t="s">
        <v>25</v>
      </c>
      <c r="E244" s="234" t="s">
        <v>25</v>
      </c>
      <c r="F244" s="234" t="s">
        <v>4640</v>
      </c>
      <c r="G244" s="234" t="s">
        <v>25</v>
      </c>
      <c r="H244" s="234" t="s">
        <v>4641</v>
      </c>
      <c r="I244" s="234" t="s">
        <v>4642</v>
      </c>
      <c r="J244" s="234" t="s">
        <v>4643</v>
      </c>
      <c r="K244" s="237">
        <f>IF(COUNTIF(L244:AY244,"&lt;&gt;")=0,"",SUMPRODUCT(((Recommendations[ImplStatus]="Implemented")+(Recommendations[ImplStatus]="Compensated"))*ISNUMBER(MATCH(Recommendations[Id],L244:AY244,0)))/COUNTIF(L244:AY244,"&lt;&gt;"))</f>
        <v>0</v>
      </c>
      <c r="L244" s="240" t="s">
        <v>66</v>
      </c>
      <c r="M244" s="240" t="s">
        <v>72</v>
      </c>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4644</v>
      </c>
      <c r="B245" s="234" t="s">
        <v>4645</v>
      </c>
      <c r="C245" s="234" t="s">
        <v>4646</v>
      </c>
      <c r="D245" s="234" t="s">
        <v>4647</v>
      </c>
      <c r="E245" s="234" t="s">
        <v>25</v>
      </c>
      <c r="F245" s="234" t="s">
        <v>25</v>
      </c>
      <c r="G245" s="234" t="s">
        <v>25</v>
      </c>
      <c r="H245" s="234" t="s">
        <v>4648</v>
      </c>
      <c r="I245" s="234" t="s">
        <v>25</v>
      </c>
      <c r="J245" s="234" t="s">
        <v>4649</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4650</v>
      </c>
      <c r="B246" s="234" t="s">
        <v>4651</v>
      </c>
      <c r="C246" s="234" t="s">
        <v>4652</v>
      </c>
      <c r="D246" s="234" t="s">
        <v>25</v>
      </c>
      <c r="E246" s="234" t="s">
        <v>25</v>
      </c>
      <c r="F246" s="234" t="s">
        <v>25</v>
      </c>
      <c r="G246" s="234" t="s">
        <v>25</v>
      </c>
      <c r="H246" s="234" t="s">
        <v>4653</v>
      </c>
      <c r="I246" s="234" t="s">
        <v>25</v>
      </c>
      <c r="J246" s="234" t="s">
        <v>4654</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996</v>
      </c>
      <c r="B247" s="233" t="s">
        <v>4655</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4656</v>
      </c>
      <c r="B248" s="234" t="s">
        <v>4657</v>
      </c>
      <c r="C248" s="234" t="s">
        <v>4658</v>
      </c>
      <c r="D248" s="234" t="s">
        <v>4659</v>
      </c>
      <c r="E248" s="234" t="s">
        <v>25</v>
      </c>
      <c r="F248" s="234" t="s">
        <v>25</v>
      </c>
      <c r="G248" s="234" t="s">
        <v>25</v>
      </c>
      <c r="H248" s="234" t="s">
        <v>4660</v>
      </c>
      <c r="I248" s="234" t="s">
        <v>4661</v>
      </c>
      <c r="J248" s="234" t="s">
        <v>4662</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4663</v>
      </c>
      <c r="B249" s="234" t="s">
        <v>4664</v>
      </c>
      <c r="C249" s="234" t="s">
        <v>4658</v>
      </c>
      <c r="D249" s="234" t="s">
        <v>4665</v>
      </c>
      <c r="E249" s="234" t="s">
        <v>25</v>
      </c>
      <c r="F249" s="234" t="s">
        <v>25</v>
      </c>
      <c r="G249" s="234" t="s">
        <v>25</v>
      </c>
      <c r="H249" s="234" t="s">
        <v>4660</v>
      </c>
      <c r="I249" s="234" t="s">
        <v>4666</v>
      </c>
      <c r="J249" s="234" t="s">
        <v>4667</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4668</v>
      </c>
      <c r="B250" s="234" t="s">
        <v>4669</v>
      </c>
      <c r="C250" s="234" t="s">
        <v>4670</v>
      </c>
      <c r="D250" s="234" t="s">
        <v>4671</v>
      </c>
      <c r="E250" s="234" t="s">
        <v>25</v>
      </c>
      <c r="F250" s="234" t="s">
        <v>25</v>
      </c>
      <c r="G250" s="234" t="s">
        <v>25</v>
      </c>
      <c r="H250" s="234" t="s">
        <v>4672</v>
      </c>
      <c r="I250" s="234" t="s">
        <v>25</v>
      </c>
      <c r="J250" s="234" t="s">
        <v>4673</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4674</v>
      </c>
      <c r="B251" s="232" t="s">
        <v>4675</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1002</v>
      </c>
      <c r="B252" s="233" t="s">
        <v>4676</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4677</v>
      </c>
      <c r="B253" s="234" t="s">
        <v>4678</v>
      </c>
      <c r="C253" s="234" t="s">
        <v>4679</v>
      </c>
      <c r="D253" s="234" t="s">
        <v>3617</v>
      </c>
      <c r="E253" s="234" t="s">
        <v>3406</v>
      </c>
      <c r="F253" s="234" t="s">
        <v>25</v>
      </c>
      <c r="G253" s="234" t="s">
        <v>25</v>
      </c>
      <c r="H253" s="234" t="s">
        <v>4680</v>
      </c>
      <c r="I253" s="234" t="s">
        <v>25</v>
      </c>
      <c r="J253" s="234" t="s">
        <v>4681</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4682</v>
      </c>
      <c r="B254" s="234" t="s">
        <v>4683</v>
      </c>
      <c r="C254" s="234" t="s">
        <v>3411</v>
      </c>
      <c r="D254" s="234" t="s">
        <v>3412</v>
      </c>
      <c r="E254" s="234" t="s">
        <v>25</v>
      </c>
      <c r="F254" s="234" t="s">
        <v>3414</v>
      </c>
      <c r="G254" s="234" t="s">
        <v>25</v>
      </c>
      <c r="H254" s="234" t="s">
        <v>4684</v>
      </c>
      <c r="I254" s="234" t="s">
        <v>25</v>
      </c>
      <c r="J254" s="234" t="s">
        <v>4685</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1006</v>
      </c>
      <c r="B255" s="233" t="s">
        <v>4686</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4687</v>
      </c>
      <c r="B256" s="234" t="s">
        <v>4688</v>
      </c>
      <c r="C256" s="234" t="s">
        <v>4689</v>
      </c>
      <c r="D256" s="234" t="s">
        <v>4690</v>
      </c>
      <c r="E256" s="234" t="s">
        <v>4691</v>
      </c>
      <c r="F256" s="234" t="s">
        <v>4692</v>
      </c>
      <c r="G256" s="234" t="s">
        <v>25</v>
      </c>
      <c r="H256" s="234" t="s">
        <v>4693</v>
      </c>
      <c r="I256" s="234" t="s">
        <v>25</v>
      </c>
      <c r="J256" s="234" t="s">
        <v>4694</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4695</v>
      </c>
      <c r="B257" s="234" t="s">
        <v>4696</v>
      </c>
      <c r="C257" s="234" t="s">
        <v>4697</v>
      </c>
      <c r="D257" s="234" t="s">
        <v>4698</v>
      </c>
      <c r="E257" s="234" t="s">
        <v>25</v>
      </c>
      <c r="F257" s="234" t="s">
        <v>25</v>
      </c>
      <c r="G257" s="234" t="s">
        <v>25</v>
      </c>
      <c r="H257" s="234" t="s">
        <v>4699</v>
      </c>
      <c r="I257" s="234" t="s">
        <v>25</v>
      </c>
      <c r="J257" s="234" t="s">
        <v>4700</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1011</v>
      </c>
      <c r="B258" s="233" t="s">
        <v>4701</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4702</v>
      </c>
      <c r="B259" s="234" t="s">
        <v>4703</v>
      </c>
      <c r="C259" s="234" t="s">
        <v>4704</v>
      </c>
      <c r="D259" s="234" t="s">
        <v>4705</v>
      </c>
      <c r="E259" s="234" t="s">
        <v>4706</v>
      </c>
      <c r="F259" s="234" t="s">
        <v>25</v>
      </c>
      <c r="G259" s="234" t="s">
        <v>25</v>
      </c>
      <c r="H259" s="234" t="s">
        <v>4707</v>
      </c>
      <c r="I259" s="234" t="s">
        <v>25</v>
      </c>
      <c r="J259" s="234" t="s">
        <v>4708</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4709</v>
      </c>
      <c r="B260" s="234" t="s">
        <v>4710</v>
      </c>
      <c r="C260" s="234" t="s">
        <v>4711</v>
      </c>
      <c r="D260" s="234" t="s">
        <v>25</v>
      </c>
      <c r="E260" s="234" t="s">
        <v>25</v>
      </c>
      <c r="F260" s="234" t="s">
        <v>25</v>
      </c>
      <c r="G260" s="234" t="s">
        <v>25</v>
      </c>
      <c r="H260" s="234" t="s">
        <v>4712</v>
      </c>
      <c r="I260" s="234" t="s">
        <v>4713</v>
      </c>
      <c r="J260" s="234" t="s">
        <v>4714</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4715</v>
      </c>
      <c r="B261" s="234" t="s">
        <v>4716</v>
      </c>
      <c r="C261" s="234" t="s">
        <v>4717</v>
      </c>
      <c r="D261" s="234" t="s">
        <v>4718</v>
      </c>
      <c r="E261" s="234" t="s">
        <v>25</v>
      </c>
      <c r="F261" s="234" t="s">
        <v>25</v>
      </c>
      <c r="G261" s="234" t="s">
        <v>25</v>
      </c>
      <c r="H261" s="234" t="s">
        <v>4719</v>
      </c>
      <c r="I261" s="234" t="s">
        <v>4720</v>
      </c>
      <c r="J261" s="234" t="s">
        <v>4721</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4722</v>
      </c>
      <c r="B262" s="234" t="s">
        <v>4723</v>
      </c>
      <c r="C262" s="234" t="s">
        <v>4724</v>
      </c>
      <c r="D262" s="234" t="s">
        <v>4725</v>
      </c>
      <c r="E262" s="234" t="s">
        <v>25</v>
      </c>
      <c r="F262" s="234" t="s">
        <v>25</v>
      </c>
      <c r="G262" s="234" t="s">
        <v>25</v>
      </c>
      <c r="H262" s="234" t="s">
        <v>4726</v>
      </c>
      <c r="I262" s="234" t="s">
        <v>4727</v>
      </c>
      <c r="J262" s="234" t="s">
        <v>4728</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4729</v>
      </c>
      <c r="B263" s="234" t="s">
        <v>4730</v>
      </c>
      <c r="C263" s="234" t="s">
        <v>4731</v>
      </c>
      <c r="D263" s="234" t="s">
        <v>4732</v>
      </c>
      <c r="E263" s="234" t="s">
        <v>25</v>
      </c>
      <c r="F263" s="234" t="s">
        <v>25</v>
      </c>
      <c r="G263" s="234" t="s">
        <v>4733</v>
      </c>
      <c r="H263" s="234" t="s">
        <v>3641</v>
      </c>
      <c r="I263" s="234" t="s">
        <v>4734</v>
      </c>
      <c r="J263" s="234" t="s">
        <v>4735</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4736</v>
      </c>
      <c r="B264" s="234" t="s">
        <v>4737</v>
      </c>
      <c r="C264" s="234" t="s">
        <v>4724</v>
      </c>
      <c r="D264" s="234" t="s">
        <v>4738</v>
      </c>
      <c r="E264" s="234" t="s">
        <v>25</v>
      </c>
      <c r="F264" s="234" t="s">
        <v>25</v>
      </c>
      <c r="G264" s="234" t="s">
        <v>25</v>
      </c>
      <c r="H264" s="234" t="s">
        <v>4739</v>
      </c>
      <c r="I264" s="234" t="s">
        <v>25</v>
      </c>
      <c r="J264" s="234" t="s">
        <v>4740</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1015</v>
      </c>
      <c r="B265" s="233" t="s">
        <v>4741</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4742</v>
      </c>
      <c r="B266" s="234" t="s">
        <v>4743</v>
      </c>
      <c r="C266" s="234" t="s">
        <v>4744</v>
      </c>
      <c r="D266" s="234" t="s">
        <v>4745</v>
      </c>
      <c r="E266" s="234" t="s">
        <v>4746</v>
      </c>
      <c r="F266" s="234" t="s">
        <v>25</v>
      </c>
      <c r="G266" s="234" t="s">
        <v>4747</v>
      </c>
      <c r="H266" s="234" t="s">
        <v>4748</v>
      </c>
      <c r="I266" s="234" t="s">
        <v>4749</v>
      </c>
      <c r="J266" s="234" t="s">
        <v>4750</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4751</v>
      </c>
      <c r="B267" s="234" t="s">
        <v>4752</v>
      </c>
      <c r="C267" s="234" t="s">
        <v>4753</v>
      </c>
      <c r="D267" s="234" t="s">
        <v>4754</v>
      </c>
      <c r="E267" s="234" t="s">
        <v>25</v>
      </c>
      <c r="F267" s="234" t="s">
        <v>25</v>
      </c>
      <c r="G267" s="234" t="s">
        <v>25</v>
      </c>
      <c r="H267" s="234" t="s">
        <v>4755</v>
      </c>
      <c r="I267" s="234" t="s">
        <v>25</v>
      </c>
      <c r="J267" s="234" t="s">
        <v>4756</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4757</v>
      </c>
      <c r="B268" s="234" t="s">
        <v>4758</v>
      </c>
      <c r="C268" s="234" t="s">
        <v>4759</v>
      </c>
      <c r="D268" s="234" t="s">
        <v>4754</v>
      </c>
      <c r="E268" s="234" t="s">
        <v>25</v>
      </c>
      <c r="F268" s="234" t="s">
        <v>25</v>
      </c>
      <c r="G268" s="234" t="s">
        <v>4760</v>
      </c>
      <c r="H268" s="234" t="s">
        <v>4761</v>
      </c>
      <c r="I268" s="234" t="s">
        <v>25</v>
      </c>
      <c r="J268" s="234" t="s">
        <v>4762</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4763</v>
      </c>
      <c r="B269" s="234" t="s">
        <v>4764</v>
      </c>
      <c r="C269" s="234" t="s">
        <v>4759</v>
      </c>
      <c r="D269" s="234" t="s">
        <v>4765</v>
      </c>
      <c r="E269" s="234" t="s">
        <v>25</v>
      </c>
      <c r="F269" s="234" t="s">
        <v>25</v>
      </c>
      <c r="G269" s="234" t="s">
        <v>25</v>
      </c>
      <c r="H269" s="234" t="s">
        <v>4766</v>
      </c>
      <c r="I269" s="234" t="s">
        <v>25</v>
      </c>
      <c r="J269" s="234" t="s">
        <v>4767</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4768</v>
      </c>
      <c r="B270" s="234" t="s">
        <v>4769</v>
      </c>
      <c r="C270" s="234" t="s">
        <v>4770</v>
      </c>
      <c r="D270" s="234" t="s">
        <v>4771</v>
      </c>
      <c r="E270" s="234" t="s">
        <v>25</v>
      </c>
      <c r="F270" s="234" t="s">
        <v>25</v>
      </c>
      <c r="G270" s="234" t="s">
        <v>25</v>
      </c>
      <c r="H270" s="234" t="s">
        <v>4772</v>
      </c>
      <c r="I270" s="234" t="s">
        <v>25</v>
      </c>
      <c r="J270" s="234" t="s">
        <v>4773</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4774</v>
      </c>
      <c r="B271" s="234" t="s">
        <v>4775</v>
      </c>
      <c r="C271" s="234" t="s">
        <v>4776</v>
      </c>
      <c r="D271" s="234" t="s">
        <v>4777</v>
      </c>
      <c r="E271" s="234" t="s">
        <v>25</v>
      </c>
      <c r="F271" s="234" t="s">
        <v>25</v>
      </c>
      <c r="G271" s="234" t="s">
        <v>25</v>
      </c>
      <c r="H271" s="234" t="s">
        <v>4778</v>
      </c>
      <c r="I271" s="234" t="s">
        <v>4779</v>
      </c>
      <c r="J271" s="234" t="s">
        <v>25</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4780</v>
      </c>
      <c r="B272" s="234" t="s">
        <v>4781</v>
      </c>
      <c r="C272" s="234" t="s">
        <v>4782</v>
      </c>
      <c r="D272" s="234" t="s">
        <v>4783</v>
      </c>
      <c r="E272" s="234" t="s">
        <v>25</v>
      </c>
      <c r="F272" s="234" t="s">
        <v>25</v>
      </c>
      <c r="G272" s="234" t="s">
        <v>25</v>
      </c>
      <c r="H272" s="234" t="s">
        <v>4784</v>
      </c>
      <c r="I272" s="234" t="s">
        <v>4785</v>
      </c>
      <c r="J272" s="234" t="s">
        <v>4786</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1019</v>
      </c>
      <c r="B273" s="233" t="s">
        <v>4787</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4788</v>
      </c>
      <c r="B274" s="234" t="s">
        <v>4789</v>
      </c>
      <c r="C274" s="234" t="s">
        <v>4790</v>
      </c>
      <c r="D274" s="234" t="s">
        <v>4783</v>
      </c>
      <c r="E274" s="234" t="s">
        <v>4791</v>
      </c>
      <c r="F274" s="234" t="s">
        <v>25</v>
      </c>
      <c r="G274" s="234" t="s">
        <v>25</v>
      </c>
      <c r="H274" s="234" t="s">
        <v>4792</v>
      </c>
      <c r="I274" s="234" t="s">
        <v>25</v>
      </c>
      <c r="J274" s="234" t="s">
        <v>4793</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4794</v>
      </c>
      <c r="B275" s="234" t="s">
        <v>4795</v>
      </c>
      <c r="C275" s="234" t="s">
        <v>4796</v>
      </c>
      <c r="D275" s="234" t="s">
        <v>4797</v>
      </c>
      <c r="E275" s="234" t="s">
        <v>25</v>
      </c>
      <c r="F275" s="234" t="s">
        <v>25</v>
      </c>
      <c r="G275" s="234" t="s">
        <v>25</v>
      </c>
      <c r="H275" s="234" t="s">
        <v>4798</v>
      </c>
      <c r="I275" s="234" t="s">
        <v>25</v>
      </c>
      <c r="J275" s="234" t="s">
        <v>4799</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4800</v>
      </c>
      <c r="B276" s="234" t="s">
        <v>4801</v>
      </c>
      <c r="C276" s="234" t="s">
        <v>4802</v>
      </c>
      <c r="D276" s="234" t="s">
        <v>4803</v>
      </c>
      <c r="E276" s="234" t="s">
        <v>25</v>
      </c>
      <c r="F276" s="234" t="s">
        <v>4804</v>
      </c>
      <c r="G276" s="234" t="s">
        <v>25</v>
      </c>
      <c r="H276" s="234" t="s">
        <v>4805</v>
      </c>
      <c r="I276" s="234" t="s">
        <v>4806</v>
      </c>
      <c r="J276" s="234" t="s">
        <v>4807</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4808</v>
      </c>
      <c r="B277" s="233" t="s">
        <v>4809</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4810</v>
      </c>
      <c r="B278" s="234" t="s">
        <v>4811</v>
      </c>
      <c r="C278" s="234" t="s">
        <v>4812</v>
      </c>
      <c r="D278" s="234" t="s">
        <v>4813</v>
      </c>
      <c r="E278" s="234" t="s">
        <v>25</v>
      </c>
      <c r="F278" s="234" t="s">
        <v>4814</v>
      </c>
      <c r="G278" s="234" t="s">
        <v>25</v>
      </c>
      <c r="H278" s="234" t="s">
        <v>4815</v>
      </c>
      <c r="I278" s="234" t="s">
        <v>25</v>
      </c>
      <c r="J278" s="234" t="s">
        <v>4816</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4817</v>
      </c>
      <c r="B279" s="232" t="s">
        <v>4818</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1025</v>
      </c>
      <c r="B280" s="233" t="s">
        <v>4819</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4820</v>
      </c>
      <c r="B281" s="234" t="s">
        <v>4821</v>
      </c>
      <c r="C281" s="234" t="s">
        <v>4822</v>
      </c>
      <c r="D281" s="234" t="s">
        <v>4823</v>
      </c>
      <c r="E281" s="234" t="s">
        <v>4824</v>
      </c>
      <c r="F281" s="234" t="s">
        <v>25</v>
      </c>
      <c r="G281" s="234" t="s">
        <v>25</v>
      </c>
      <c r="H281" s="234" t="s">
        <v>4825</v>
      </c>
      <c r="I281" s="234" t="s">
        <v>25</v>
      </c>
      <c r="J281" s="234" t="s">
        <v>4826</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4827</v>
      </c>
      <c r="B282" s="234" t="s">
        <v>4828</v>
      </c>
      <c r="C282" s="234" t="s">
        <v>4829</v>
      </c>
      <c r="D282" s="234" t="s">
        <v>25</v>
      </c>
      <c r="E282" s="234" t="s">
        <v>25</v>
      </c>
      <c r="F282" s="234" t="s">
        <v>25</v>
      </c>
      <c r="G282" s="234" t="s">
        <v>25</v>
      </c>
      <c r="H282" s="234" t="s">
        <v>4830</v>
      </c>
      <c r="I282" s="234" t="s">
        <v>25</v>
      </c>
      <c r="J282" s="234" t="s">
        <v>4831</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4832</v>
      </c>
      <c r="B283" s="234" t="s">
        <v>4833</v>
      </c>
      <c r="C283" s="234" t="s">
        <v>4834</v>
      </c>
      <c r="D283" s="234" t="s">
        <v>25</v>
      </c>
      <c r="E283" s="234" t="s">
        <v>25</v>
      </c>
      <c r="F283" s="234" t="s">
        <v>25</v>
      </c>
      <c r="G283" s="234" t="s">
        <v>25</v>
      </c>
      <c r="H283" s="234" t="s">
        <v>4835</v>
      </c>
      <c r="I283" s="234" t="s">
        <v>25</v>
      </c>
      <c r="J283" s="234" t="s">
        <v>4836</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4837</v>
      </c>
      <c r="B284" s="234" t="s">
        <v>4838</v>
      </c>
      <c r="C284" s="234" t="s">
        <v>4839</v>
      </c>
      <c r="D284" s="234" t="s">
        <v>4840</v>
      </c>
      <c r="E284" s="234" t="s">
        <v>25</v>
      </c>
      <c r="F284" s="234" t="s">
        <v>25</v>
      </c>
      <c r="G284" s="234" t="s">
        <v>25</v>
      </c>
      <c r="H284" s="234" t="s">
        <v>4841</v>
      </c>
      <c r="I284" s="234" t="s">
        <v>25</v>
      </c>
      <c r="J284" s="234" t="s">
        <v>4842</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1029</v>
      </c>
      <c r="B285" s="233" t="s">
        <v>4843</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4844</v>
      </c>
      <c r="B286" s="234" t="s">
        <v>4845</v>
      </c>
      <c r="C286" s="234" t="s">
        <v>4846</v>
      </c>
      <c r="D286" s="234" t="s">
        <v>4847</v>
      </c>
      <c r="E286" s="234" t="s">
        <v>25</v>
      </c>
      <c r="F286" s="234" t="s">
        <v>25</v>
      </c>
      <c r="G286" s="234" t="s">
        <v>25</v>
      </c>
      <c r="H286" s="234" t="s">
        <v>4848</v>
      </c>
      <c r="I286" s="234" t="s">
        <v>4849</v>
      </c>
      <c r="J286" s="234" t="s">
        <v>4850</v>
      </c>
      <c r="K286" s="237">
        <f>IF(COUNTIF(L286:AY286,"&lt;&gt;")=0,"",SUMPRODUCT(((Recommendations[ImplStatus]="Implemented")+(Recommendations[ImplStatus]="Compensated"))*ISNUMBER(MATCH(Recommendations[Id],L286:AY286,0)))/COUNTIF(L286:AY286,"&lt;&gt;"))</f>
        <v>0</v>
      </c>
      <c r="L286" s="240" t="s">
        <v>122</v>
      </c>
      <c r="M286" s="240" t="s">
        <v>326</v>
      </c>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1033</v>
      </c>
      <c r="B287" s="233" t="s">
        <v>4851</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4852</v>
      </c>
      <c r="B288" s="234" t="s">
        <v>4853</v>
      </c>
      <c r="C288" s="234" t="s">
        <v>4854</v>
      </c>
      <c r="D288" s="234" t="s">
        <v>4855</v>
      </c>
      <c r="E288" s="234" t="s">
        <v>4856</v>
      </c>
      <c r="F288" s="234" t="s">
        <v>4857</v>
      </c>
      <c r="G288" s="234" t="s">
        <v>4858</v>
      </c>
      <c r="H288" s="234" t="s">
        <v>4859</v>
      </c>
      <c r="I288" s="234" t="s">
        <v>3845</v>
      </c>
      <c r="J288" s="234" t="s">
        <v>4860</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4861</v>
      </c>
      <c r="B289" s="234" t="s">
        <v>4862</v>
      </c>
      <c r="C289" s="234" t="s">
        <v>4863</v>
      </c>
      <c r="D289" s="234" t="s">
        <v>25</v>
      </c>
      <c r="E289" s="234" t="s">
        <v>4856</v>
      </c>
      <c r="F289" s="234" t="s">
        <v>25</v>
      </c>
      <c r="G289" s="234" t="s">
        <v>4864</v>
      </c>
      <c r="H289" s="234" t="s">
        <v>4865</v>
      </c>
      <c r="I289" s="234" t="s">
        <v>4866</v>
      </c>
      <c r="J289" s="234" t="s">
        <v>4867</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4868</v>
      </c>
      <c r="B290" s="234" t="s">
        <v>4869</v>
      </c>
      <c r="C290" s="234" t="s">
        <v>4870</v>
      </c>
      <c r="D290" s="234" t="s">
        <v>25</v>
      </c>
      <c r="E290" s="234" t="s">
        <v>4871</v>
      </c>
      <c r="F290" s="234" t="s">
        <v>25</v>
      </c>
      <c r="G290" s="234" t="s">
        <v>4872</v>
      </c>
      <c r="H290" s="234" t="s">
        <v>4873</v>
      </c>
      <c r="I290" s="234" t="s">
        <v>4874</v>
      </c>
      <c r="J290" s="234" t="s">
        <v>4875</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4876</v>
      </c>
      <c r="B291" s="234" t="s">
        <v>4877</v>
      </c>
      <c r="C291" s="234" t="s">
        <v>4878</v>
      </c>
      <c r="D291" s="234" t="s">
        <v>25</v>
      </c>
      <c r="E291" s="234" t="s">
        <v>25</v>
      </c>
      <c r="F291" s="234" t="s">
        <v>25</v>
      </c>
      <c r="G291" s="234" t="s">
        <v>25</v>
      </c>
      <c r="H291" s="234" t="s">
        <v>4879</v>
      </c>
      <c r="I291" s="234" t="s">
        <v>3845</v>
      </c>
      <c r="J291" s="234" t="s">
        <v>4880</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1037</v>
      </c>
      <c r="B292" s="233" t="s">
        <v>4881</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4882</v>
      </c>
      <c r="B293" s="234" t="s">
        <v>4883</v>
      </c>
      <c r="C293" s="234" t="s">
        <v>4884</v>
      </c>
      <c r="D293" s="234" t="s">
        <v>4885</v>
      </c>
      <c r="E293" s="234" t="s">
        <v>25</v>
      </c>
      <c r="F293" s="234" t="s">
        <v>25</v>
      </c>
      <c r="G293" s="234" t="s">
        <v>25</v>
      </c>
      <c r="H293" s="234" t="s">
        <v>4886</v>
      </c>
      <c r="I293" s="234" t="s">
        <v>4887</v>
      </c>
      <c r="J293" s="234" t="s">
        <v>4888</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4889</v>
      </c>
      <c r="B294" s="234" t="s">
        <v>4890</v>
      </c>
      <c r="C294" s="234" t="s">
        <v>4891</v>
      </c>
      <c r="D294" s="234" t="s">
        <v>4885</v>
      </c>
      <c r="E294" s="234" t="s">
        <v>25</v>
      </c>
      <c r="F294" s="234" t="s">
        <v>4892</v>
      </c>
      <c r="G294" s="234" t="s">
        <v>25</v>
      </c>
      <c r="H294" s="234" t="s">
        <v>4893</v>
      </c>
      <c r="I294" s="234" t="s">
        <v>3815</v>
      </c>
      <c r="J294" s="234" t="s">
        <v>4894</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4895</v>
      </c>
      <c r="B295" s="234" t="s">
        <v>4896</v>
      </c>
      <c r="C295" s="234" t="s">
        <v>4897</v>
      </c>
      <c r="D295" s="234" t="s">
        <v>4898</v>
      </c>
      <c r="E295" s="234" t="s">
        <v>25</v>
      </c>
      <c r="F295" s="234" t="s">
        <v>25</v>
      </c>
      <c r="G295" s="234" t="s">
        <v>25</v>
      </c>
      <c r="H295" s="234" t="s">
        <v>4899</v>
      </c>
      <c r="I295" s="234" t="s">
        <v>3815</v>
      </c>
      <c r="J295" s="234" t="s">
        <v>4900</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1041</v>
      </c>
      <c r="B296" s="233" t="s">
        <v>4901</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4902</v>
      </c>
      <c r="B297" s="234" t="s">
        <v>4903</v>
      </c>
      <c r="C297" s="234" t="s">
        <v>4904</v>
      </c>
      <c r="D297" s="234" t="s">
        <v>4898</v>
      </c>
      <c r="E297" s="234" t="s">
        <v>25</v>
      </c>
      <c r="F297" s="234" t="s">
        <v>4905</v>
      </c>
      <c r="G297" s="234" t="s">
        <v>25</v>
      </c>
      <c r="H297" s="234" t="s">
        <v>4906</v>
      </c>
      <c r="I297" s="234" t="s">
        <v>25</v>
      </c>
      <c r="J297" s="234" t="s">
        <v>4907</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4908</v>
      </c>
      <c r="B298" s="234" t="s">
        <v>4909</v>
      </c>
      <c r="C298" s="234" t="s">
        <v>4910</v>
      </c>
      <c r="D298" s="234" t="s">
        <v>4911</v>
      </c>
      <c r="E298" s="234" t="s">
        <v>25</v>
      </c>
      <c r="F298" s="234" t="s">
        <v>25</v>
      </c>
      <c r="G298" s="234" t="s">
        <v>4912</v>
      </c>
      <c r="H298" s="234" t="s">
        <v>4913</v>
      </c>
      <c r="I298" s="234" t="s">
        <v>4913</v>
      </c>
      <c r="J298" s="234" t="s">
        <v>4914</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4915</v>
      </c>
      <c r="B299" s="234" t="s">
        <v>4916</v>
      </c>
      <c r="C299" s="234" t="s">
        <v>4917</v>
      </c>
      <c r="D299" s="234" t="s">
        <v>25</v>
      </c>
      <c r="E299" s="234" t="s">
        <v>25</v>
      </c>
      <c r="F299" s="234" t="s">
        <v>25</v>
      </c>
      <c r="G299" s="234" t="s">
        <v>25</v>
      </c>
      <c r="H299" s="234" t="s">
        <v>4918</v>
      </c>
      <c r="I299" s="234" t="s">
        <v>4919</v>
      </c>
      <c r="J299" s="234" t="s">
        <v>4920</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4921</v>
      </c>
      <c r="B300" s="234" t="s">
        <v>4922</v>
      </c>
      <c r="C300" s="234" t="s">
        <v>4923</v>
      </c>
      <c r="D300" s="234" t="s">
        <v>25</v>
      </c>
      <c r="E300" s="234" t="s">
        <v>25</v>
      </c>
      <c r="F300" s="234" t="s">
        <v>4924</v>
      </c>
      <c r="G300" s="234" t="s">
        <v>25</v>
      </c>
      <c r="H300" s="234" t="s">
        <v>4925</v>
      </c>
      <c r="I300" s="234" t="s">
        <v>4919</v>
      </c>
      <c r="J300" s="234" t="s">
        <v>4926</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1045</v>
      </c>
      <c r="B301" s="233" t="s">
        <v>4927</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4928</v>
      </c>
      <c r="B302" s="234" t="s">
        <v>4929</v>
      </c>
      <c r="C302" s="234" t="s">
        <v>4930</v>
      </c>
      <c r="D302" s="234" t="s">
        <v>25</v>
      </c>
      <c r="E302" s="234" t="s">
        <v>25</v>
      </c>
      <c r="F302" s="234" t="s">
        <v>25</v>
      </c>
      <c r="G302" s="234" t="s">
        <v>25</v>
      </c>
      <c r="H302" s="234" t="s">
        <v>4931</v>
      </c>
      <c r="I302" s="234" t="s">
        <v>25</v>
      </c>
      <c r="J302" s="234" t="s">
        <v>4932</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4933</v>
      </c>
      <c r="B303" s="234" t="s">
        <v>4934</v>
      </c>
      <c r="C303" s="234" t="s">
        <v>4935</v>
      </c>
      <c r="D303" s="234" t="s">
        <v>4936</v>
      </c>
      <c r="E303" s="234" t="s">
        <v>25</v>
      </c>
      <c r="F303" s="234" t="s">
        <v>25</v>
      </c>
      <c r="G303" s="234" t="s">
        <v>25</v>
      </c>
      <c r="H303" s="234" t="s">
        <v>4937</v>
      </c>
      <c r="I303" s="234" t="s">
        <v>3845</v>
      </c>
      <c r="J303" s="234" t="s">
        <v>4938</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4939</v>
      </c>
      <c r="B304" s="234" t="s">
        <v>4940</v>
      </c>
      <c r="C304" s="234" t="s">
        <v>4941</v>
      </c>
      <c r="D304" s="234" t="s">
        <v>4936</v>
      </c>
      <c r="E304" s="234" t="s">
        <v>25</v>
      </c>
      <c r="F304" s="234" t="s">
        <v>4942</v>
      </c>
      <c r="G304" s="234" t="s">
        <v>25</v>
      </c>
      <c r="H304" s="234" t="s">
        <v>4943</v>
      </c>
      <c r="I304" s="234" t="s">
        <v>25</v>
      </c>
      <c r="J304" s="234" t="s">
        <v>4944</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4945</v>
      </c>
      <c r="B305" s="234" t="s">
        <v>4946</v>
      </c>
      <c r="C305" s="234" t="s">
        <v>4947</v>
      </c>
      <c r="D305" s="234" t="s">
        <v>4948</v>
      </c>
      <c r="E305" s="234" t="s">
        <v>25</v>
      </c>
      <c r="F305" s="234" t="s">
        <v>25</v>
      </c>
      <c r="G305" s="234" t="s">
        <v>25</v>
      </c>
      <c r="H305" s="234" t="s">
        <v>4949</v>
      </c>
      <c r="I305" s="234" t="s">
        <v>4950</v>
      </c>
      <c r="J305" s="234" t="s">
        <v>4951</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4952</v>
      </c>
      <c r="B306" s="234" t="s">
        <v>4953</v>
      </c>
      <c r="C306" s="234" t="s">
        <v>4954</v>
      </c>
      <c r="D306" s="234" t="s">
        <v>4955</v>
      </c>
      <c r="E306" s="234" t="s">
        <v>25</v>
      </c>
      <c r="F306" s="234" t="s">
        <v>25</v>
      </c>
      <c r="G306" s="234" t="s">
        <v>25</v>
      </c>
      <c r="H306" s="234" t="s">
        <v>4956</v>
      </c>
      <c r="I306" s="234" t="s">
        <v>3845</v>
      </c>
      <c r="J306" s="234" t="s">
        <v>4957</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1049</v>
      </c>
      <c r="B307" s="233" t="s">
        <v>4958</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4959</v>
      </c>
      <c r="B308" s="234" t="s">
        <v>4960</v>
      </c>
      <c r="C308" s="234" t="s">
        <v>4961</v>
      </c>
      <c r="D308" s="234" t="s">
        <v>4955</v>
      </c>
      <c r="E308" s="234" t="s">
        <v>25</v>
      </c>
      <c r="F308" s="234" t="s">
        <v>4962</v>
      </c>
      <c r="G308" s="234" t="s">
        <v>25</v>
      </c>
      <c r="H308" s="234" t="s">
        <v>4963</v>
      </c>
      <c r="I308" s="234" t="s">
        <v>4964</v>
      </c>
      <c r="J308" s="234" t="s">
        <v>4965</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1053</v>
      </c>
      <c r="B309" s="233" t="s">
        <v>4966</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4967</v>
      </c>
      <c r="B310" s="234" t="s">
        <v>4968</v>
      </c>
      <c r="C310" s="234" t="s">
        <v>4969</v>
      </c>
      <c r="D310" s="234" t="s">
        <v>25</v>
      </c>
      <c r="E310" s="234" t="s">
        <v>25</v>
      </c>
      <c r="F310" s="234" t="s">
        <v>4970</v>
      </c>
      <c r="G310" s="234" t="s">
        <v>25</v>
      </c>
      <c r="H310" s="234" t="s">
        <v>4971</v>
      </c>
      <c r="I310" s="234" t="s">
        <v>4972</v>
      </c>
      <c r="J310" s="234" t="s">
        <v>4973</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4974</v>
      </c>
      <c r="B311" s="234" t="s">
        <v>4975</v>
      </c>
      <c r="C311" s="234" t="s">
        <v>4976</v>
      </c>
      <c r="D311" s="234" t="s">
        <v>4977</v>
      </c>
      <c r="E311" s="234" t="s">
        <v>25</v>
      </c>
      <c r="F311" s="234" t="s">
        <v>25</v>
      </c>
      <c r="G311" s="234" t="s">
        <v>4978</v>
      </c>
      <c r="H311" s="234" t="s">
        <v>4979</v>
      </c>
      <c r="I311" s="234" t="s">
        <v>25</v>
      </c>
      <c r="J311" s="234" t="s">
        <v>4980</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4981</v>
      </c>
      <c r="B312" s="234" t="s">
        <v>4982</v>
      </c>
      <c r="C312" s="234" t="s">
        <v>4983</v>
      </c>
      <c r="D312" s="234" t="s">
        <v>4984</v>
      </c>
      <c r="E312" s="234" t="s">
        <v>25</v>
      </c>
      <c r="F312" s="234" t="s">
        <v>25</v>
      </c>
      <c r="G312" s="234" t="s">
        <v>25</v>
      </c>
      <c r="H312" s="234" t="s">
        <v>4985</v>
      </c>
      <c r="I312" s="234" t="s">
        <v>25</v>
      </c>
      <c r="J312" s="234" t="s">
        <v>4986</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4987</v>
      </c>
      <c r="B313" s="234" t="s">
        <v>4988</v>
      </c>
      <c r="C313" s="234" t="s">
        <v>4989</v>
      </c>
      <c r="D313" s="234" t="s">
        <v>4990</v>
      </c>
      <c r="E313" s="234" t="s">
        <v>25</v>
      </c>
      <c r="F313" s="234" t="s">
        <v>25</v>
      </c>
      <c r="G313" s="234" t="s">
        <v>4991</v>
      </c>
      <c r="H313" s="234" t="s">
        <v>4992</v>
      </c>
      <c r="I313" s="234" t="s">
        <v>4993</v>
      </c>
      <c r="J313" s="234" t="s">
        <v>4994</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4995</v>
      </c>
      <c r="B314" s="234" t="s">
        <v>4996</v>
      </c>
      <c r="C314" s="234" t="s">
        <v>4997</v>
      </c>
      <c r="D314" s="234" t="s">
        <v>4998</v>
      </c>
      <c r="E314" s="234" t="s">
        <v>25</v>
      </c>
      <c r="F314" s="234" t="s">
        <v>25</v>
      </c>
      <c r="G314" s="234" t="s">
        <v>4999</v>
      </c>
      <c r="H314" s="234" t="s">
        <v>5000</v>
      </c>
      <c r="I314" s="234" t="s">
        <v>5001</v>
      </c>
      <c r="J314" s="234" t="s">
        <v>5002</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5003</v>
      </c>
      <c r="B315" s="233" t="s">
        <v>5004</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5005</v>
      </c>
      <c r="B316" s="234" t="s">
        <v>5006</v>
      </c>
      <c r="C316" s="234" t="s">
        <v>5007</v>
      </c>
      <c r="D316" s="234" t="s">
        <v>25</v>
      </c>
      <c r="E316" s="234" t="s">
        <v>25</v>
      </c>
      <c r="F316" s="234" t="s">
        <v>25</v>
      </c>
      <c r="G316" s="234" t="s">
        <v>25</v>
      </c>
      <c r="H316" s="234" t="s">
        <v>5008</v>
      </c>
      <c r="I316" s="234" t="s">
        <v>5009</v>
      </c>
      <c r="J316" s="234" t="s">
        <v>5010</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5011</v>
      </c>
      <c r="B317" s="234" t="s">
        <v>5012</v>
      </c>
      <c r="C317" s="234" t="s">
        <v>25</v>
      </c>
      <c r="D317" s="234" t="s">
        <v>25</v>
      </c>
      <c r="E317" s="234" t="s">
        <v>25</v>
      </c>
      <c r="F317" s="234" t="s">
        <v>25</v>
      </c>
      <c r="G317" s="234" t="s">
        <v>25</v>
      </c>
      <c r="H317" s="234" t="s">
        <v>25</v>
      </c>
      <c r="I317" s="234" t="s">
        <v>25</v>
      </c>
      <c r="J317" s="234" t="s">
        <v>25</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5013</v>
      </c>
      <c r="B318" s="233" t="s">
        <v>5014</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5015</v>
      </c>
      <c r="B319" s="234" t="s">
        <v>5016</v>
      </c>
      <c r="C319" s="234" t="s">
        <v>5017</v>
      </c>
      <c r="D319" s="234" t="s">
        <v>5018</v>
      </c>
      <c r="E319" s="234" t="s">
        <v>25</v>
      </c>
      <c r="F319" s="234" t="s">
        <v>5019</v>
      </c>
      <c r="G319" s="234" t="s">
        <v>5020</v>
      </c>
      <c r="H319" s="234" t="s">
        <v>5021</v>
      </c>
      <c r="I319" s="234" t="s">
        <v>25</v>
      </c>
      <c r="J319" s="234" t="s">
        <v>5022</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5023</v>
      </c>
      <c r="B320" s="234" t="s">
        <v>5024</v>
      </c>
      <c r="C320" s="234" t="s">
        <v>5025</v>
      </c>
      <c r="D320" s="234" t="s">
        <v>5026</v>
      </c>
      <c r="E320" s="234" t="s">
        <v>25</v>
      </c>
      <c r="F320" s="234" t="s">
        <v>25</v>
      </c>
      <c r="G320" s="234" t="s">
        <v>25</v>
      </c>
      <c r="H320" s="234" t="s">
        <v>5027</v>
      </c>
      <c r="I320" s="234" t="s">
        <v>25</v>
      </c>
      <c r="J320" s="234" t="s">
        <v>25</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5028</v>
      </c>
      <c r="B321" s="234" t="s">
        <v>5029</v>
      </c>
      <c r="C321" s="234" t="s">
        <v>5030</v>
      </c>
      <c r="D321" s="234" t="s">
        <v>5031</v>
      </c>
      <c r="E321" s="234" t="s">
        <v>25</v>
      </c>
      <c r="F321" s="234" t="s">
        <v>25</v>
      </c>
      <c r="G321" s="234" t="s">
        <v>25</v>
      </c>
      <c r="H321" s="234" t="s">
        <v>5032</v>
      </c>
      <c r="I321" s="234" t="s">
        <v>25</v>
      </c>
      <c r="J321" s="234" t="s">
        <v>5033</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5034</v>
      </c>
      <c r="B322" s="234" t="s">
        <v>5035</v>
      </c>
      <c r="C322" s="234" t="s">
        <v>5036</v>
      </c>
      <c r="D322" s="234" t="s">
        <v>5037</v>
      </c>
      <c r="E322" s="234" t="s">
        <v>25</v>
      </c>
      <c r="F322" s="234" t="s">
        <v>25</v>
      </c>
      <c r="G322" s="234" t="s">
        <v>25</v>
      </c>
      <c r="H322" s="234" t="s">
        <v>5038</v>
      </c>
      <c r="I322" s="234" t="s">
        <v>25</v>
      </c>
      <c r="J322" s="234" t="s">
        <v>5039</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5040</v>
      </c>
      <c r="B323" s="234" t="s">
        <v>5041</v>
      </c>
      <c r="C323" s="234" t="s">
        <v>5042</v>
      </c>
      <c r="D323" s="234" t="s">
        <v>25</v>
      </c>
      <c r="E323" s="234" t="s">
        <v>25</v>
      </c>
      <c r="F323" s="234" t="s">
        <v>25</v>
      </c>
      <c r="G323" s="234" t="s">
        <v>25</v>
      </c>
      <c r="H323" s="234" t="s">
        <v>5043</v>
      </c>
      <c r="I323" s="234" t="s">
        <v>3845</v>
      </c>
      <c r="J323" s="234" t="s">
        <v>5044</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5045</v>
      </c>
      <c r="B324" s="234" t="s">
        <v>5046</v>
      </c>
      <c r="C324" s="234" t="s">
        <v>5047</v>
      </c>
      <c r="D324" s="234" t="s">
        <v>25</v>
      </c>
      <c r="E324" s="234" t="s">
        <v>25</v>
      </c>
      <c r="F324" s="234" t="s">
        <v>25</v>
      </c>
      <c r="G324" s="234" t="s">
        <v>25</v>
      </c>
      <c r="H324" s="234" t="s">
        <v>5048</v>
      </c>
      <c r="I324" s="234" t="s">
        <v>5049</v>
      </c>
      <c r="J324" s="234" t="s">
        <v>5050</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5051</v>
      </c>
      <c r="B325" s="234" t="s">
        <v>5052</v>
      </c>
      <c r="C325" s="234" t="s">
        <v>5053</v>
      </c>
      <c r="D325" s="234" t="s">
        <v>5054</v>
      </c>
      <c r="E325" s="234" t="s">
        <v>25</v>
      </c>
      <c r="F325" s="234" t="s">
        <v>25</v>
      </c>
      <c r="G325" s="234" t="s">
        <v>25</v>
      </c>
      <c r="H325" s="234" t="s">
        <v>5055</v>
      </c>
      <c r="I325" s="234" t="s">
        <v>25</v>
      </c>
      <c r="J325" s="234" t="s">
        <v>5056</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5057</v>
      </c>
      <c r="B326" s="241" t="s">
        <v>5058</v>
      </c>
      <c r="C326" s="241" t="s">
        <v>5059</v>
      </c>
      <c r="D326" s="241" t="s">
        <v>5060</v>
      </c>
      <c r="E326" s="241" t="s">
        <v>25</v>
      </c>
      <c r="F326" s="241" t="s">
        <v>25</v>
      </c>
      <c r="G326" s="241" t="s">
        <v>25</v>
      </c>
      <c r="H326" s="241" t="s">
        <v>5061</v>
      </c>
      <c r="I326" s="241" t="s">
        <v>3845</v>
      </c>
      <c r="J326" s="241" t="s">
        <v>5062</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357</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IFERROR(INDEX('Recommendations'!$I$2:$I$56, MATCH(L2,'Recommendations'!$B$2:$B$56,0))="Implemented", FALSE))</xm:f>
            <x14:dxf>
              <font>
                <color rgb="FF000000"/>
              </font>
              <fill>
                <patternFill>
                  <bgColor rgb="FF3C7D22"/>
                </patternFill>
              </fill>
            </x14:dxf>
          </x14:cfRule>
          <x14:cfRule type="expression" priority="2" id="{00000000-000E-0000-0A00-000002000000}">
            <xm:f>AND(L2&lt;&gt;"", IFERROR(INDEX('Recommendations'!$I$2:$I$56, MATCH(L2,'Recommendations'!$B$2:$B$56,0))="Compensated", FALSE))</xm:f>
            <x14:dxf>
              <font>
                <color rgb="FF000000"/>
              </font>
              <fill>
                <patternFill>
                  <bgColor rgb="FFC6E0B4"/>
                </patternFill>
              </fill>
            </x14:dxf>
          </x14:cfRule>
          <x14:cfRule type="expression" priority="3" id="{00000000-000E-0000-0A00-000003000000}">
            <xm:f>AND(L2&lt;&gt;"", IFERROR(INDEX('Recommendations'!$I$2:$I$56, MATCH(L2,'Recommendations'!$B$2:$B$56,0))="Testing", FALSE))</xm:f>
            <x14:dxf>
              <font>
                <color rgb="FF000000"/>
              </font>
              <fill>
                <patternFill>
                  <bgColor rgb="FFFFC000"/>
                </patternFill>
              </fill>
            </x14:dxf>
          </x14:cfRule>
          <x14:cfRule type="expression" priority="4" id="{00000000-000E-0000-0A00-000004000000}">
            <xm:f>AND(L2&lt;&gt;"", IFERROR(INDEX('Recommendations'!$I$2:$I$56, MATCH(L2,'Recommendations'!$B$2:$B$56,0))="Failed", FALSE))</xm:f>
            <x14:dxf>
              <font>
                <color rgb="FF000000"/>
              </font>
              <fill>
                <patternFill>
                  <bgColor rgb="FFD82891"/>
                </patternFill>
              </fill>
            </x14:dxf>
          </x14:cfRule>
          <x14:cfRule type="expression" priority="5" id="{00000000-000E-0000-0A00-000005000000}">
            <xm:f>AND(L2&lt;&gt;"", IFERROR(INDEX('Recommendations'!$I$2:$I$56, MATCH(L2,'Recommendations'!$B$2:$B$56,0))="Risk Accepted", FALSE))</xm:f>
            <x14:dxf>
              <font>
                <color rgb="FF000000"/>
              </font>
              <fill>
                <patternFill>
                  <bgColor rgb="FFD9D9D9"/>
                </patternFill>
              </fill>
            </x14:dxf>
          </x14:cfRule>
          <x14:cfRule type="expression" priority="6" id="{00000000-000E-0000-0A00-000006000000}">
            <xm:f>AND(L2&lt;&gt;"", IFERROR(INDEX('Recommendations'!$I$2:$I$56, MATCH(L2,'Recommendations'!$B$2:$B$56,0))="N/A",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2219</v>
      </c>
      <c r="B1" s="286" t="s">
        <v>3104</v>
      </c>
      <c r="C1" s="286" t="s">
        <v>1</v>
      </c>
      <c r="D1" s="286" t="s">
        <v>602</v>
      </c>
      <c r="E1" s="286" t="s">
        <v>5063</v>
      </c>
      <c r="F1" s="286" t="s">
        <v>5064</v>
      </c>
      <c r="G1" s="286" t="s">
        <v>607</v>
      </c>
      <c r="H1" s="286" t="s">
        <v>608</v>
      </c>
      <c r="I1" s="286" t="s">
        <v>609</v>
      </c>
      <c r="J1" s="286" t="s">
        <v>610</v>
      </c>
      <c r="K1" s="286" t="s">
        <v>611</v>
      </c>
      <c r="L1" s="286" t="s">
        <v>612</v>
      </c>
      <c r="M1" s="286" t="s">
        <v>613</v>
      </c>
      <c r="N1" s="286" t="s">
        <v>614</v>
      </c>
      <c r="O1" s="286" t="s">
        <v>615</v>
      </c>
      <c r="P1" s="286" t="s">
        <v>616</v>
      </c>
      <c r="Q1" s="286" t="s">
        <v>617</v>
      </c>
      <c r="R1" s="286" t="s">
        <v>618</v>
      </c>
      <c r="S1" s="286" t="s">
        <v>619</v>
      </c>
      <c r="T1" s="286" t="s">
        <v>620</v>
      </c>
      <c r="U1" s="286" t="s">
        <v>621</v>
      </c>
      <c r="V1" s="286" t="s">
        <v>622</v>
      </c>
      <c r="W1" s="286" t="s">
        <v>623</v>
      </c>
      <c r="X1" s="286" t="s">
        <v>624</v>
      </c>
      <c r="Y1" s="286" t="s">
        <v>625</v>
      </c>
      <c r="Z1" s="286" t="s">
        <v>626</v>
      </c>
      <c r="AA1" s="286" t="s">
        <v>627</v>
      </c>
      <c r="AB1" s="286" t="s">
        <v>628</v>
      </c>
      <c r="AC1" s="286" t="s">
        <v>629</v>
      </c>
      <c r="AD1" s="286" t="s">
        <v>630</v>
      </c>
      <c r="AE1" s="286" t="s">
        <v>631</v>
      </c>
      <c r="AF1" s="286" t="s">
        <v>632</v>
      </c>
      <c r="AG1" s="286" t="s">
        <v>633</v>
      </c>
      <c r="AH1" s="286" t="s">
        <v>634</v>
      </c>
      <c r="AI1" s="286" t="s">
        <v>635</v>
      </c>
      <c r="AJ1" s="286" t="s">
        <v>636</v>
      </c>
      <c r="AK1" s="286" t="s">
        <v>637</v>
      </c>
      <c r="AL1" s="286" t="s">
        <v>638</v>
      </c>
      <c r="AM1" s="286" t="s">
        <v>639</v>
      </c>
      <c r="AN1" s="286" t="s">
        <v>640</v>
      </c>
      <c r="AO1" s="286" t="s">
        <v>641</v>
      </c>
      <c r="AP1" s="286" t="s">
        <v>642</v>
      </c>
      <c r="AQ1" s="286" t="s">
        <v>643</v>
      </c>
      <c r="AR1" s="286" t="s">
        <v>644</v>
      </c>
      <c r="AS1" s="286" t="s">
        <v>645</v>
      </c>
      <c r="AT1" s="286" t="s">
        <v>646</v>
      </c>
      <c r="AU1" s="287" t="s">
        <v>647</v>
      </c>
    </row>
    <row r="2" spans="1:47" ht="60" customHeight="1" outlineLevel="1" x14ac:dyDescent="0.35">
      <c r="A2" s="277" t="s">
        <v>5065</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5065</v>
      </c>
      <c r="B3" s="256" t="s">
        <v>5066</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5065</v>
      </c>
      <c r="B4" s="257" t="s">
        <v>5066</v>
      </c>
      <c r="C4" s="258" t="s">
        <v>5067</v>
      </c>
      <c r="D4" s="261" t="s">
        <v>5068</v>
      </c>
      <c r="E4" s="262" t="s">
        <v>5069</v>
      </c>
      <c r="F4" s="265" t="s">
        <v>5070</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5065</v>
      </c>
      <c r="B5" s="257" t="s">
        <v>5066</v>
      </c>
      <c r="C5" s="258" t="s">
        <v>5071</v>
      </c>
      <c r="D5" s="261" t="s">
        <v>5072</v>
      </c>
      <c r="E5" s="262" t="s">
        <v>5069</v>
      </c>
      <c r="F5" s="265" t="s">
        <v>5070</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5065</v>
      </c>
      <c r="B6" s="257" t="s">
        <v>5066</v>
      </c>
      <c r="C6" s="258" t="s">
        <v>5073</v>
      </c>
      <c r="D6" s="261" t="s">
        <v>5074</v>
      </c>
      <c r="E6" s="262" t="s">
        <v>5069</v>
      </c>
      <c r="F6" s="265" t="s">
        <v>5070</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5065</v>
      </c>
      <c r="B7" s="257" t="s">
        <v>5066</v>
      </c>
      <c r="C7" s="258" t="s">
        <v>5075</v>
      </c>
      <c r="D7" s="261" t="s">
        <v>5076</v>
      </c>
      <c r="E7" s="262" t="s">
        <v>5069</v>
      </c>
      <c r="F7" s="265" t="s">
        <v>5070</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5065</v>
      </c>
      <c r="B8" s="257" t="s">
        <v>5066</v>
      </c>
      <c r="C8" s="258" t="s">
        <v>5077</v>
      </c>
      <c r="D8" s="261" t="s">
        <v>5078</v>
      </c>
      <c r="E8" s="262" t="s">
        <v>5069</v>
      </c>
      <c r="F8" s="265" t="s">
        <v>5070</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5065</v>
      </c>
      <c r="B9" s="257" t="s">
        <v>5066</v>
      </c>
      <c r="C9" s="258" t="s">
        <v>5079</v>
      </c>
      <c r="D9" s="261" t="s">
        <v>5080</v>
      </c>
      <c r="E9" s="262" t="s">
        <v>5069</v>
      </c>
      <c r="F9" s="265" t="s">
        <v>5070</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5065</v>
      </c>
      <c r="B10" s="257" t="s">
        <v>5066</v>
      </c>
      <c r="C10" s="258" t="s">
        <v>5081</v>
      </c>
      <c r="D10" s="261" t="s">
        <v>5082</v>
      </c>
      <c r="E10" s="262" t="s">
        <v>5069</v>
      </c>
      <c r="F10" s="265" t="s">
        <v>5070</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5065</v>
      </c>
      <c r="B11" s="257" t="s">
        <v>5066</v>
      </c>
      <c r="C11" s="258" t="s">
        <v>5083</v>
      </c>
      <c r="D11" s="261" t="s">
        <v>5084</v>
      </c>
      <c r="E11" s="262" t="s">
        <v>5069</v>
      </c>
      <c r="F11" s="265" t="s">
        <v>5070</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5065</v>
      </c>
      <c r="B12" s="257" t="s">
        <v>5066</v>
      </c>
      <c r="C12" s="258" t="s">
        <v>5085</v>
      </c>
      <c r="D12" s="261" t="s">
        <v>5086</v>
      </c>
      <c r="E12" s="262" t="s">
        <v>5069</v>
      </c>
      <c r="F12" s="265" t="s">
        <v>5070</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5065</v>
      </c>
      <c r="B13" s="257" t="s">
        <v>5066</v>
      </c>
      <c r="C13" s="258" t="s">
        <v>5087</v>
      </c>
      <c r="D13" s="261" t="s">
        <v>5088</v>
      </c>
      <c r="E13" s="262" t="s">
        <v>5069</v>
      </c>
      <c r="F13" s="265" t="s">
        <v>5070</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5065</v>
      </c>
      <c r="B14" s="257" t="s">
        <v>5066</v>
      </c>
      <c r="C14" s="258" t="s">
        <v>5089</v>
      </c>
      <c r="D14" s="261" t="s">
        <v>5090</v>
      </c>
      <c r="E14" s="262" t="s">
        <v>5069</v>
      </c>
      <c r="F14" s="265" t="s">
        <v>5070</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5065</v>
      </c>
      <c r="B15" s="257" t="s">
        <v>5066</v>
      </c>
      <c r="C15" s="258" t="s">
        <v>5091</v>
      </c>
      <c r="D15" s="261" t="s">
        <v>5092</v>
      </c>
      <c r="E15" s="262" t="s">
        <v>5069</v>
      </c>
      <c r="F15" s="265" t="s">
        <v>5070</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5065</v>
      </c>
      <c r="B16" s="257" t="s">
        <v>5066</v>
      </c>
      <c r="C16" s="258" t="s">
        <v>5093</v>
      </c>
      <c r="D16" s="261" t="s">
        <v>5094</v>
      </c>
      <c r="E16" s="262" t="s">
        <v>5069</v>
      </c>
      <c r="F16" s="265" t="s">
        <v>5070</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5065</v>
      </c>
      <c r="B17" s="256" t="s">
        <v>5095</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5065</v>
      </c>
      <c r="B18" s="257" t="s">
        <v>5095</v>
      </c>
      <c r="C18" s="258" t="s">
        <v>5096</v>
      </c>
      <c r="D18" s="261" t="s">
        <v>5097</v>
      </c>
      <c r="E18" s="262" t="s">
        <v>5098</v>
      </c>
      <c r="F18" s="265" t="s">
        <v>5099</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5065</v>
      </c>
      <c r="B19" s="257" t="s">
        <v>5095</v>
      </c>
      <c r="C19" s="258" t="s">
        <v>5100</v>
      </c>
      <c r="D19" s="261" t="s">
        <v>5101</v>
      </c>
      <c r="E19" s="262" t="s">
        <v>5098</v>
      </c>
      <c r="F19" s="265" t="s">
        <v>5099</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5065</v>
      </c>
      <c r="B20" s="257" t="s">
        <v>5095</v>
      </c>
      <c r="C20" s="258" t="s">
        <v>5102</v>
      </c>
      <c r="D20" s="261" t="s">
        <v>5103</v>
      </c>
      <c r="E20" s="262" t="s">
        <v>5098</v>
      </c>
      <c r="F20" s="265" t="s">
        <v>5099</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5065</v>
      </c>
      <c r="B21" s="257" t="s">
        <v>5095</v>
      </c>
      <c r="C21" s="258" t="s">
        <v>5104</v>
      </c>
      <c r="D21" s="261" t="s">
        <v>5105</v>
      </c>
      <c r="E21" s="262" t="s">
        <v>5098</v>
      </c>
      <c r="F21" s="265" t="s">
        <v>5099</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5065</v>
      </c>
      <c r="B22" s="257" t="s">
        <v>5095</v>
      </c>
      <c r="C22" s="258" t="s">
        <v>5106</v>
      </c>
      <c r="D22" s="261" t="s">
        <v>5107</v>
      </c>
      <c r="E22" s="262" t="s">
        <v>5098</v>
      </c>
      <c r="F22" s="265" t="s">
        <v>5099</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5065</v>
      </c>
      <c r="B23" s="257" t="s">
        <v>5095</v>
      </c>
      <c r="C23" s="258" t="s">
        <v>5108</v>
      </c>
      <c r="D23" s="261" t="s">
        <v>5109</v>
      </c>
      <c r="E23" s="262" t="s">
        <v>5069</v>
      </c>
      <c r="F23" s="265" t="s">
        <v>5070</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5065</v>
      </c>
      <c r="B24" s="257" t="s">
        <v>5095</v>
      </c>
      <c r="C24" s="258" t="s">
        <v>5110</v>
      </c>
      <c r="D24" s="261" t="s">
        <v>5111</v>
      </c>
      <c r="E24" s="262" t="s">
        <v>5069</v>
      </c>
      <c r="F24" s="265" t="s">
        <v>5070</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5065</v>
      </c>
      <c r="B25" s="257" t="s">
        <v>5095</v>
      </c>
      <c r="C25" s="258" t="s">
        <v>5112</v>
      </c>
      <c r="D25" s="261" t="s">
        <v>5113</v>
      </c>
      <c r="E25" s="262" t="s">
        <v>5069</v>
      </c>
      <c r="F25" s="265" t="s">
        <v>5114</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5065</v>
      </c>
      <c r="B26" s="257" t="s">
        <v>5095</v>
      </c>
      <c r="C26" s="258" t="s">
        <v>5115</v>
      </c>
      <c r="D26" s="261" t="s">
        <v>5116</v>
      </c>
      <c r="E26" s="262" t="s">
        <v>5069</v>
      </c>
      <c r="F26" s="265" t="s">
        <v>5114</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5065</v>
      </c>
      <c r="B27" s="257" t="s">
        <v>5095</v>
      </c>
      <c r="C27" s="258" t="s">
        <v>5117</v>
      </c>
      <c r="D27" s="261" t="s">
        <v>5118</v>
      </c>
      <c r="E27" s="262" t="s">
        <v>5069</v>
      </c>
      <c r="F27" s="265" t="s">
        <v>5114</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5065</v>
      </c>
      <c r="B28" s="257" t="s">
        <v>5095</v>
      </c>
      <c r="C28" s="258" t="s">
        <v>5119</v>
      </c>
      <c r="D28" s="261" t="s">
        <v>5120</v>
      </c>
      <c r="E28" s="262" t="s">
        <v>5069</v>
      </c>
      <c r="F28" s="265" t="s">
        <v>5114</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5065</v>
      </c>
      <c r="B29" s="257" t="s">
        <v>5095</v>
      </c>
      <c r="C29" s="258" t="s">
        <v>5121</v>
      </c>
      <c r="D29" s="261" t="s">
        <v>5122</v>
      </c>
      <c r="E29" s="262" t="s">
        <v>5069</v>
      </c>
      <c r="F29" s="265" t="s">
        <v>5114</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5065</v>
      </c>
      <c r="B30" s="257" t="s">
        <v>5095</v>
      </c>
      <c r="C30" s="258" t="s">
        <v>5123</v>
      </c>
      <c r="D30" s="261" t="s">
        <v>5124</v>
      </c>
      <c r="E30" s="262" t="s">
        <v>5069</v>
      </c>
      <c r="F30" s="265" t="s">
        <v>5114</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5065</v>
      </c>
      <c r="B31" s="257" t="s">
        <v>5095</v>
      </c>
      <c r="C31" s="258" t="s">
        <v>5125</v>
      </c>
      <c r="D31" s="261" t="s">
        <v>5126</v>
      </c>
      <c r="E31" s="262" t="s">
        <v>5069</v>
      </c>
      <c r="F31" s="265" t="s">
        <v>5114</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5065</v>
      </c>
      <c r="B32" s="257" t="s">
        <v>5095</v>
      </c>
      <c r="C32" s="258" t="s">
        <v>5127</v>
      </c>
      <c r="D32" s="261" t="s">
        <v>5128</v>
      </c>
      <c r="E32" s="262" t="s">
        <v>5069</v>
      </c>
      <c r="F32" s="265" t="s">
        <v>5114</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5065</v>
      </c>
      <c r="B33" s="257" t="s">
        <v>5095</v>
      </c>
      <c r="C33" s="258" t="s">
        <v>5129</v>
      </c>
      <c r="D33" s="261" t="s">
        <v>5130</v>
      </c>
      <c r="E33" s="262" t="s">
        <v>5098</v>
      </c>
      <c r="F33" s="265" t="s">
        <v>5099</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5065</v>
      </c>
      <c r="B34" s="257" t="s">
        <v>5095</v>
      </c>
      <c r="C34" s="258" t="s">
        <v>5131</v>
      </c>
      <c r="D34" s="261" t="s">
        <v>5132</v>
      </c>
      <c r="E34" s="262" t="s">
        <v>5069</v>
      </c>
      <c r="F34" s="265" t="s">
        <v>5114</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5065</v>
      </c>
      <c r="B35" s="256" t="s">
        <v>5133</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5065</v>
      </c>
      <c r="B36" s="257" t="s">
        <v>5133</v>
      </c>
      <c r="C36" s="258" t="s">
        <v>5134</v>
      </c>
      <c r="D36" s="261" t="s">
        <v>5135</v>
      </c>
      <c r="E36" s="262" t="s">
        <v>5069</v>
      </c>
      <c r="F36" s="265" t="s">
        <v>5114</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5065</v>
      </c>
      <c r="B37" s="257" t="s">
        <v>5133</v>
      </c>
      <c r="C37" s="258" t="s">
        <v>5136</v>
      </c>
      <c r="D37" s="261" t="s">
        <v>5137</v>
      </c>
      <c r="E37" s="262" t="s">
        <v>5069</v>
      </c>
      <c r="F37" s="265" t="s">
        <v>5138</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5065</v>
      </c>
      <c r="B38" s="257" t="s">
        <v>5133</v>
      </c>
      <c r="C38" s="258" t="s">
        <v>5139</v>
      </c>
      <c r="D38" s="261" t="s">
        <v>5140</v>
      </c>
      <c r="E38" s="262" t="s">
        <v>5069</v>
      </c>
      <c r="F38" s="265" t="s">
        <v>5138</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5065</v>
      </c>
      <c r="B39" s="257" t="s">
        <v>5133</v>
      </c>
      <c r="C39" s="258" t="s">
        <v>5141</v>
      </c>
      <c r="D39" s="261" t="s">
        <v>5142</v>
      </c>
      <c r="E39" s="262" t="s">
        <v>5069</v>
      </c>
      <c r="F39" s="265" t="s">
        <v>5138</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5065</v>
      </c>
      <c r="B40" s="257" t="s">
        <v>5133</v>
      </c>
      <c r="C40" s="258" t="s">
        <v>5143</v>
      </c>
      <c r="D40" s="261" t="s">
        <v>5144</v>
      </c>
      <c r="E40" s="262" t="s">
        <v>5069</v>
      </c>
      <c r="F40" s="265" t="s">
        <v>5138</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5065</v>
      </c>
      <c r="B41" s="257" t="s">
        <v>5133</v>
      </c>
      <c r="C41" s="258" t="s">
        <v>5145</v>
      </c>
      <c r="D41" s="261" t="s">
        <v>5146</v>
      </c>
      <c r="E41" s="262" t="s">
        <v>5069</v>
      </c>
      <c r="F41" s="265" t="s">
        <v>5138</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5065</v>
      </c>
      <c r="B42" s="257" t="s">
        <v>5133</v>
      </c>
      <c r="C42" s="258" t="s">
        <v>5147</v>
      </c>
      <c r="D42" s="261" t="s">
        <v>5148</v>
      </c>
      <c r="E42" s="262" t="s">
        <v>5069</v>
      </c>
      <c r="F42" s="265" t="s">
        <v>5138</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5065</v>
      </c>
      <c r="B43" s="257" t="s">
        <v>5133</v>
      </c>
      <c r="C43" s="258" t="s">
        <v>5149</v>
      </c>
      <c r="D43" s="261" t="s">
        <v>5150</v>
      </c>
      <c r="E43" s="262" t="s">
        <v>5069</v>
      </c>
      <c r="F43" s="265" t="s">
        <v>5138</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5065</v>
      </c>
      <c r="B44" s="257" t="s">
        <v>5133</v>
      </c>
      <c r="C44" s="258" t="s">
        <v>5151</v>
      </c>
      <c r="D44" s="261" t="s">
        <v>5152</v>
      </c>
      <c r="E44" s="262" t="s">
        <v>5069</v>
      </c>
      <c r="F44" s="265" t="s">
        <v>5138</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5065</v>
      </c>
      <c r="B45" s="257" t="s">
        <v>5133</v>
      </c>
      <c r="C45" s="258" t="s">
        <v>5153</v>
      </c>
      <c r="D45" s="261" t="s">
        <v>5154</v>
      </c>
      <c r="E45" s="262" t="s">
        <v>5069</v>
      </c>
      <c r="F45" s="265" t="s">
        <v>5138</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5065</v>
      </c>
      <c r="B46" s="257" t="s">
        <v>5133</v>
      </c>
      <c r="C46" s="258" t="s">
        <v>5155</v>
      </c>
      <c r="D46" s="261" t="s">
        <v>5156</v>
      </c>
      <c r="E46" s="262" t="s">
        <v>5069</v>
      </c>
      <c r="F46" s="265" t="s">
        <v>5138</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5065</v>
      </c>
      <c r="B47" s="257" t="s">
        <v>5133</v>
      </c>
      <c r="C47" s="258" t="s">
        <v>5157</v>
      </c>
      <c r="D47" s="261" t="s">
        <v>5158</v>
      </c>
      <c r="E47" s="262" t="s">
        <v>5069</v>
      </c>
      <c r="F47" s="265" t="s">
        <v>5138</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5065</v>
      </c>
      <c r="B48" s="257" t="s">
        <v>5133</v>
      </c>
      <c r="C48" s="258" t="s">
        <v>5159</v>
      </c>
      <c r="D48" s="261" t="s">
        <v>5160</v>
      </c>
      <c r="E48" s="262" t="s">
        <v>5069</v>
      </c>
      <c r="F48" s="265" t="s">
        <v>5138</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5065</v>
      </c>
      <c r="B49" s="257" t="s">
        <v>5133</v>
      </c>
      <c r="C49" s="258" t="s">
        <v>5161</v>
      </c>
      <c r="D49" s="261" t="s">
        <v>5162</v>
      </c>
      <c r="E49" s="262" t="s">
        <v>5069</v>
      </c>
      <c r="F49" s="265" t="s">
        <v>5138</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5065</v>
      </c>
      <c r="B50" s="256" t="s">
        <v>2343</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5065</v>
      </c>
      <c r="B51" s="257" t="s">
        <v>2343</v>
      </c>
      <c r="C51" s="258" t="s">
        <v>5163</v>
      </c>
      <c r="D51" s="261" t="s">
        <v>5164</v>
      </c>
      <c r="E51" s="262" t="s">
        <v>5165</v>
      </c>
      <c r="F51" s="265" t="s">
        <v>5166</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5065</v>
      </c>
      <c r="B52" s="257" t="s">
        <v>2343</v>
      </c>
      <c r="C52" s="258" t="s">
        <v>5167</v>
      </c>
      <c r="D52" s="261" t="s">
        <v>5168</v>
      </c>
      <c r="E52" s="262" t="s">
        <v>5165</v>
      </c>
      <c r="F52" s="265" t="s">
        <v>5166</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5065</v>
      </c>
      <c r="B53" s="257" t="s">
        <v>2343</v>
      </c>
      <c r="C53" s="258" t="s">
        <v>5169</v>
      </c>
      <c r="D53" s="261" t="s">
        <v>5170</v>
      </c>
      <c r="E53" s="262" t="s">
        <v>5165</v>
      </c>
      <c r="F53" s="265" t="s">
        <v>5166</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5065</v>
      </c>
      <c r="B54" s="257" t="s">
        <v>2343</v>
      </c>
      <c r="C54" s="258" t="s">
        <v>5171</v>
      </c>
      <c r="D54" s="261" t="s">
        <v>5172</v>
      </c>
      <c r="E54" s="262" t="s">
        <v>5165</v>
      </c>
      <c r="F54" s="265" t="s">
        <v>5166</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5065</v>
      </c>
      <c r="B55" s="257" t="s">
        <v>2343</v>
      </c>
      <c r="C55" s="258" t="s">
        <v>5173</v>
      </c>
      <c r="D55" s="261" t="s">
        <v>5174</v>
      </c>
      <c r="E55" s="262" t="s">
        <v>5165</v>
      </c>
      <c r="F55" s="265" t="s">
        <v>5166</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5065</v>
      </c>
      <c r="B56" s="257" t="s">
        <v>2343</v>
      </c>
      <c r="C56" s="258" t="s">
        <v>5175</v>
      </c>
      <c r="D56" s="261" t="s">
        <v>5176</v>
      </c>
      <c r="E56" s="262" t="s">
        <v>5165</v>
      </c>
      <c r="F56" s="265" t="s">
        <v>5166</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5065</v>
      </c>
      <c r="B57" s="257" t="s">
        <v>2343</v>
      </c>
      <c r="C57" s="258" t="s">
        <v>5177</v>
      </c>
      <c r="D57" s="261" t="s">
        <v>5178</v>
      </c>
      <c r="E57" s="262" t="s">
        <v>5165</v>
      </c>
      <c r="F57" s="265" t="s">
        <v>5166</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5065</v>
      </c>
      <c r="B58" s="257" t="s">
        <v>2343</v>
      </c>
      <c r="C58" s="258" t="s">
        <v>5179</v>
      </c>
      <c r="D58" s="261" t="s">
        <v>5180</v>
      </c>
      <c r="E58" s="262" t="s">
        <v>5069</v>
      </c>
      <c r="F58" s="265" t="s">
        <v>5166</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5065</v>
      </c>
      <c r="B59" s="257" t="s">
        <v>2343</v>
      </c>
      <c r="C59" s="258" t="s">
        <v>5181</v>
      </c>
      <c r="D59" s="261" t="s">
        <v>5182</v>
      </c>
      <c r="E59" s="262" t="s">
        <v>5069</v>
      </c>
      <c r="F59" s="265" t="s">
        <v>5166</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5065</v>
      </c>
      <c r="B60" s="256" t="s">
        <v>5183</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5065</v>
      </c>
      <c r="B61" s="257" t="s">
        <v>5183</v>
      </c>
      <c r="C61" s="258" t="s">
        <v>5184</v>
      </c>
      <c r="D61" s="261" t="s">
        <v>5185</v>
      </c>
      <c r="E61" s="262" t="s">
        <v>5069</v>
      </c>
      <c r="F61" s="265" t="s">
        <v>5186</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5065</v>
      </c>
      <c r="B62" s="257" t="s">
        <v>5183</v>
      </c>
      <c r="C62" s="258" t="s">
        <v>5187</v>
      </c>
      <c r="D62" s="261" t="s">
        <v>5188</v>
      </c>
      <c r="E62" s="262" t="s">
        <v>5069</v>
      </c>
      <c r="F62" s="265" t="s">
        <v>5186</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5065</v>
      </c>
      <c r="B63" s="257" t="s">
        <v>5183</v>
      </c>
      <c r="C63" s="258" t="s">
        <v>5189</v>
      </c>
      <c r="D63" s="261" t="s">
        <v>5190</v>
      </c>
      <c r="E63" s="262" t="s">
        <v>5069</v>
      </c>
      <c r="F63" s="265" t="s">
        <v>5186</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5065</v>
      </c>
      <c r="B64" s="257" t="s">
        <v>5183</v>
      </c>
      <c r="C64" s="258" t="s">
        <v>5191</v>
      </c>
      <c r="D64" s="261" t="s">
        <v>5192</v>
      </c>
      <c r="E64" s="262" t="s">
        <v>5069</v>
      </c>
      <c r="F64" s="265" t="s">
        <v>5186</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5065</v>
      </c>
      <c r="B65" s="257" t="s">
        <v>5183</v>
      </c>
      <c r="C65" s="258" t="s">
        <v>5193</v>
      </c>
      <c r="D65" s="261" t="s">
        <v>5194</v>
      </c>
      <c r="E65" s="262" t="s">
        <v>5069</v>
      </c>
      <c r="F65" s="265" t="s">
        <v>5186</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5065</v>
      </c>
      <c r="B66" s="257" t="s">
        <v>5183</v>
      </c>
      <c r="C66" s="258" t="s">
        <v>5195</v>
      </c>
      <c r="D66" s="261" t="s">
        <v>5196</v>
      </c>
      <c r="E66" s="262" t="s">
        <v>5069</v>
      </c>
      <c r="F66" s="265" t="s">
        <v>5186</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5065</v>
      </c>
      <c r="B67" s="257" t="s">
        <v>5183</v>
      </c>
      <c r="C67" s="258" t="s">
        <v>5197</v>
      </c>
      <c r="D67" s="261" t="s">
        <v>5198</v>
      </c>
      <c r="E67" s="262" t="s">
        <v>5069</v>
      </c>
      <c r="F67" s="265" t="s">
        <v>5186</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5065</v>
      </c>
      <c r="B68" s="257" t="s">
        <v>5183</v>
      </c>
      <c r="C68" s="258" t="s">
        <v>5199</v>
      </c>
      <c r="D68" s="261" t="s">
        <v>5200</v>
      </c>
      <c r="E68" s="262" t="s">
        <v>5069</v>
      </c>
      <c r="F68" s="265" t="s">
        <v>5201</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5065</v>
      </c>
      <c r="B69" s="257" t="s">
        <v>5183</v>
      </c>
      <c r="C69" s="258" t="s">
        <v>5202</v>
      </c>
      <c r="D69" s="261" t="s">
        <v>5203</v>
      </c>
      <c r="E69" s="262" t="s">
        <v>5069</v>
      </c>
      <c r="F69" s="265" t="s">
        <v>5201</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5065</v>
      </c>
      <c r="B70" s="257" t="s">
        <v>5183</v>
      </c>
      <c r="C70" s="258" t="s">
        <v>5204</v>
      </c>
      <c r="D70" s="261" t="s">
        <v>5205</v>
      </c>
      <c r="E70" s="262" t="s">
        <v>5069</v>
      </c>
      <c r="F70" s="265" t="s">
        <v>5201</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5065</v>
      </c>
      <c r="B71" s="257" t="s">
        <v>5183</v>
      </c>
      <c r="C71" s="258" t="s">
        <v>5206</v>
      </c>
      <c r="D71" s="261" t="s">
        <v>5207</v>
      </c>
      <c r="E71" s="262" t="s">
        <v>5069</v>
      </c>
      <c r="F71" s="265" t="s">
        <v>5208</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5065</v>
      </c>
      <c r="B72" s="257" t="s">
        <v>5183</v>
      </c>
      <c r="C72" s="258" t="s">
        <v>5209</v>
      </c>
      <c r="D72" s="261" t="s">
        <v>5210</v>
      </c>
      <c r="E72" s="262" t="s">
        <v>5069</v>
      </c>
      <c r="F72" s="265" t="s">
        <v>5186</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5065</v>
      </c>
      <c r="B73" s="257" t="s">
        <v>5183</v>
      </c>
      <c r="C73" s="258" t="s">
        <v>5211</v>
      </c>
      <c r="D73" s="261" t="s">
        <v>5212</v>
      </c>
      <c r="E73" s="262" t="s">
        <v>5213</v>
      </c>
      <c r="F73" s="265" t="s">
        <v>5186</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5065</v>
      </c>
      <c r="B74" s="256" t="s">
        <v>5214</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5065</v>
      </c>
      <c r="B75" s="257" t="s">
        <v>5214</v>
      </c>
      <c r="C75" s="258" t="s">
        <v>5215</v>
      </c>
      <c r="D75" s="261" t="s">
        <v>5216</v>
      </c>
      <c r="E75" s="262" t="s">
        <v>5213</v>
      </c>
      <c r="F75" s="265" t="s">
        <v>5217</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5065</v>
      </c>
      <c r="B76" s="257" t="s">
        <v>5214</v>
      </c>
      <c r="C76" s="258" t="s">
        <v>5218</v>
      </c>
      <c r="D76" s="261" t="s">
        <v>5219</v>
      </c>
      <c r="E76" s="262" t="s">
        <v>5213</v>
      </c>
      <c r="F76" s="265" t="s">
        <v>5217</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5065</v>
      </c>
      <c r="B77" s="257" t="s">
        <v>5214</v>
      </c>
      <c r="C77" s="258" t="s">
        <v>5220</v>
      </c>
      <c r="D77" s="261" t="s">
        <v>5221</v>
      </c>
      <c r="E77" s="262" t="s">
        <v>5213</v>
      </c>
      <c r="F77" s="265" t="s">
        <v>5217</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5065</v>
      </c>
      <c r="B78" s="257" t="s">
        <v>5214</v>
      </c>
      <c r="C78" s="258" t="s">
        <v>5222</v>
      </c>
      <c r="D78" s="261" t="s">
        <v>5223</v>
      </c>
      <c r="E78" s="262" t="s">
        <v>5213</v>
      </c>
      <c r="F78" s="265" t="s">
        <v>5217</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5065</v>
      </c>
      <c r="B79" s="257" t="s">
        <v>5214</v>
      </c>
      <c r="C79" s="258" t="s">
        <v>5224</v>
      </c>
      <c r="D79" s="261" t="s">
        <v>5225</v>
      </c>
      <c r="E79" s="262" t="s">
        <v>5213</v>
      </c>
      <c r="F79" s="265" t="s">
        <v>5217</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5065</v>
      </c>
      <c r="B80" s="257" t="s">
        <v>5214</v>
      </c>
      <c r="C80" s="258" t="s">
        <v>5226</v>
      </c>
      <c r="D80" s="261" t="s">
        <v>5227</v>
      </c>
      <c r="E80" s="262" t="s">
        <v>5213</v>
      </c>
      <c r="F80" s="265" t="s">
        <v>5217</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5065</v>
      </c>
      <c r="B81" s="257" t="s">
        <v>5214</v>
      </c>
      <c r="C81" s="258" t="s">
        <v>5228</v>
      </c>
      <c r="D81" s="261" t="s">
        <v>5229</v>
      </c>
      <c r="E81" s="262" t="s">
        <v>5213</v>
      </c>
      <c r="F81" s="265" t="s">
        <v>5217</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5065</v>
      </c>
      <c r="B82" s="257" t="s">
        <v>5214</v>
      </c>
      <c r="C82" s="258" t="s">
        <v>5230</v>
      </c>
      <c r="D82" s="261" t="s">
        <v>5231</v>
      </c>
      <c r="E82" s="262" t="s">
        <v>5213</v>
      </c>
      <c r="F82" s="265" t="s">
        <v>5217</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5065</v>
      </c>
      <c r="B83" s="257" t="s">
        <v>5214</v>
      </c>
      <c r="C83" s="258" t="s">
        <v>5232</v>
      </c>
      <c r="D83" s="261" t="s">
        <v>5233</v>
      </c>
      <c r="E83" s="262" t="s">
        <v>5213</v>
      </c>
      <c r="F83" s="265" t="s">
        <v>5217</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5065</v>
      </c>
      <c r="B84" s="257" t="s">
        <v>5214</v>
      </c>
      <c r="C84" s="258" t="s">
        <v>5234</v>
      </c>
      <c r="D84" s="261" t="s">
        <v>5235</v>
      </c>
      <c r="E84" s="262" t="s">
        <v>5213</v>
      </c>
      <c r="F84" s="265" t="s">
        <v>5217</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5065</v>
      </c>
      <c r="B85" s="257" t="s">
        <v>5214</v>
      </c>
      <c r="C85" s="258" t="s">
        <v>5236</v>
      </c>
      <c r="D85" s="261" t="s">
        <v>5237</v>
      </c>
      <c r="E85" s="262" t="s">
        <v>5213</v>
      </c>
      <c r="F85" s="265" t="s">
        <v>5217</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5065</v>
      </c>
      <c r="B86" s="257" t="s">
        <v>5214</v>
      </c>
      <c r="C86" s="258" t="s">
        <v>5238</v>
      </c>
      <c r="D86" s="261" t="s">
        <v>5239</v>
      </c>
      <c r="E86" s="262" t="s">
        <v>5213</v>
      </c>
      <c r="F86" s="265" t="s">
        <v>5217</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5065</v>
      </c>
      <c r="B87" s="257" t="s">
        <v>5214</v>
      </c>
      <c r="C87" s="258" t="s">
        <v>5240</v>
      </c>
      <c r="D87" s="261" t="s">
        <v>5241</v>
      </c>
      <c r="E87" s="262" t="s">
        <v>5213</v>
      </c>
      <c r="F87" s="265" t="s">
        <v>5217</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5065</v>
      </c>
      <c r="B88" s="257" t="s">
        <v>5214</v>
      </c>
      <c r="C88" s="258" t="s">
        <v>5242</v>
      </c>
      <c r="D88" s="261" t="s">
        <v>5243</v>
      </c>
      <c r="E88" s="262" t="s">
        <v>5213</v>
      </c>
      <c r="F88" s="265" t="s">
        <v>5201</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5065</v>
      </c>
      <c r="B89" s="257" t="s">
        <v>5214</v>
      </c>
      <c r="C89" s="258" t="s">
        <v>5244</v>
      </c>
      <c r="D89" s="261" t="s">
        <v>5245</v>
      </c>
      <c r="E89" s="262" t="s">
        <v>5213</v>
      </c>
      <c r="F89" s="265" t="s">
        <v>5201</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5065</v>
      </c>
      <c r="B90" s="257" t="s">
        <v>5214</v>
      </c>
      <c r="C90" s="258" t="s">
        <v>5246</v>
      </c>
      <c r="D90" s="261" t="s">
        <v>5247</v>
      </c>
      <c r="E90" s="262" t="s">
        <v>5213</v>
      </c>
      <c r="F90" s="265" t="s">
        <v>5201</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5065</v>
      </c>
      <c r="B91" s="256" t="s">
        <v>5248</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5065</v>
      </c>
      <c r="B92" s="257" t="s">
        <v>5248</v>
      </c>
      <c r="C92" s="258" t="s">
        <v>5249</v>
      </c>
      <c r="D92" s="261" t="s">
        <v>5250</v>
      </c>
      <c r="E92" s="262" t="s">
        <v>5069</v>
      </c>
      <c r="F92" s="265" t="s">
        <v>5201</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5065</v>
      </c>
      <c r="B93" s="257" t="s">
        <v>5248</v>
      </c>
      <c r="C93" s="258" t="s">
        <v>5251</v>
      </c>
      <c r="D93" s="261" t="s">
        <v>5252</v>
      </c>
      <c r="E93" s="262" t="s">
        <v>5069</v>
      </c>
      <c r="F93" s="265" t="s">
        <v>5201</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5065</v>
      </c>
      <c r="B94" s="257" t="s">
        <v>5248</v>
      </c>
      <c r="C94" s="258" t="s">
        <v>5253</v>
      </c>
      <c r="D94" s="261" t="s">
        <v>5254</v>
      </c>
      <c r="E94" s="262" t="s">
        <v>5069</v>
      </c>
      <c r="F94" s="265" t="s">
        <v>5201</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5065</v>
      </c>
      <c r="B95" s="257" t="s">
        <v>5248</v>
      </c>
      <c r="C95" s="258" t="s">
        <v>5255</v>
      </c>
      <c r="D95" s="261" t="s">
        <v>5256</v>
      </c>
      <c r="E95" s="262" t="s">
        <v>5069</v>
      </c>
      <c r="F95" s="265" t="s">
        <v>5201</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5065</v>
      </c>
      <c r="B96" s="257" t="s">
        <v>5248</v>
      </c>
      <c r="C96" s="258" t="s">
        <v>5257</v>
      </c>
      <c r="D96" s="261" t="s">
        <v>5258</v>
      </c>
      <c r="E96" s="262" t="s">
        <v>5069</v>
      </c>
      <c r="F96" s="265" t="s">
        <v>5201</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5065</v>
      </c>
      <c r="B97" s="257" t="s">
        <v>5248</v>
      </c>
      <c r="C97" s="258" t="s">
        <v>5259</v>
      </c>
      <c r="D97" s="261" t="s">
        <v>5260</v>
      </c>
      <c r="E97" s="262" t="s">
        <v>5069</v>
      </c>
      <c r="F97" s="265" t="s">
        <v>5261</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5065</v>
      </c>
      <c r="B98" s="257" t="s">
        <v>5248</v>
      </c>
      <c r="C98" s="258" t="s">
        <v>5262</v>
      </c>
      <c r="D98" s="261" t="s">
        <v>5263</v>
      </c>
      <c r="E98" s="262" t="s">
        <v>5069</v>
      </c>
      <c r="F98" s="265" t="s">
        <v>5261</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5065</v>
      </c>
      <c r="B99" s="257" t="s">
        <v>5248</v>
      </c>
      <c r="C99" s="258" t="s">
        <v>5264</v>
      </c>
      <c r="D99" s="261" t="s">
        <v>5265</v>
      </c>
      <c r="E99" s="262" t="s">
        <v>5069</v>
      </c>
      <c r="F99" s="265" t="s">
        <v>5261</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5065</v>
      </c>
      <c r="B100" s="257" t="s">
        <v>5248</v>
      </c>
      <c r="C100" s="258" t="s">
        <v>5266</v>
      </c>
      <c r="D100" s="261" t="s">
        <v>5267</v>
      </c>
      <c r="E100" s="262" t="s">
        <v>5069</v>
      </c>
      <c r="F100" s="265" t="s">
        <v>5261</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5065</v>
      </c>
      <c r="B101" s="257" t="s">
        <v>5248</v>
      </c>
      <c r="C101" s="258" t="s">
        <v>5268</v>
      </c>
      <c r="D101" s="261" t="s">
        <v>5269</v>
      </c>
      <c r="E101" s="262" t="s">
        <v>5069</v>
      </c>
      <c r="F101" s="265" t="s">
        <v>5201</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5065</v>
      </c>
      <c r="B102" s="257" t="s">
        <v>5248</v>
      </c>
      <c r="C102" s="258" t="s">
        <v>5270</v>
      </c>
      <c r="D102" s="261" t="s">
        <v>5271</v>
      </c>
      <c r="E102" s="262" t="s">
        <v>5213</v>
      </c>
      <c r="F102" s="265" t="s">
        <v>5201</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5065</v>
      </c>
      <c r="B103" s="257" t="s">
        <v>5248</v>
      </c>
      <c r="C103" s="258" t="s">
        <v>5272</v>
      </c>
      <c r="D103" s="261" t="s">
        <v>5273</v>
      </c>
      <c r="E103" s="262" t="s">
        <v>5213</v>
      </c>
      <c r="F103" s="265" t="s">
        <v>5201</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5065</v>
      </c>
      <c r="B104" s="257" t="s">
        <v>5248</v>
      </c>
      <c r="C104" s="258" t="s">
        <v>5274</v>
      </c>
      <c r="D104" s="261" t="s">
        <v>5275</v>
      </c>
      <c r="E104" s="262" t="s">
        <v>5213</v>
      </c>
      <c r="F104" s="265" t="s">
        <v>5201</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5065</v>
      </c>
      <c r="B105" s="257" t="s">
        <v>5248</v>
      </c>
      <c r="C105" s="258" t="s">
        <v>5276</v>
      </c>
      <c r="D105" s="261" t="s">
        <v>5277</v>
      </c>
      <c r="E105" s="262" t="s">
        <v>5098</v>
      </c>
      <c r="F105" s="265" t="s">
        <v>5201</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5065</v>
      </c>
      <c r="B106" s="256" t="s">
        <v>5278</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5065</v>
      </c>
      <c r="B107" s="257" t="s">
        <v>5278</v>
      </c>
      <c r="C107" s="258" t="s">
        <v>5279</v>
      </c>
      <c r="D107" s="261" t="s">
        <v>5280</v>
      </c>
      <c r="E107" s="262" t="s">
        <v>5213</v>
      </c>
      <c r="F107" s="265" t="s">
        <v>5201</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5065</v>
      </c>
      <c r="B108" s="257" t="s">
        <v>5278</v>
      </c>
      <c r="C108" s="258" t="s">
        <v>5281</v>
      </c>
      <c r="D108" s="261" t="s">
        <v>5282</v>
      </c>
      <c r="E108" s="262" t="s">
        <v>5213</v>
      </c>
      <c r="F108" s="265" t="s">
        <v>5201</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5065</v>
      </c>
      <c r="B109" s="257" t="s">
        <v>5278</v>
      </c>
      <c r="C109" s="258" t="s">
        <v>5283</v>
      </c>
      <c r="D109" s="261" t="s">
        <v>5284</v>
      </c>
      <c r="E109" s="262" t="s">
        <v>5213</v>
      </c>
      <c r="F109" s="265" t="s">
        <v>5201</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5065</v>
      </c>
      <c r="B110" s="257" t="s">
        <v>5278</v>
      </c>
      <c r="C110" s="258" t="s">
        <v>5285</v>
      </c>
      <c r="D110" s="261" t="s">
        <v>5286</v>
      </c>
      <c r="E110" s="262" t="s">
        <v>5213</v>
      </c>
      <c r="F110" s="265" t="s">
        <v>5201</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5065</v>
      </c>
      <c r="B111" s="257" t="s">
        <v>5278</v>
      </c>
      <c r="C111" s="258" t="s">
        <v>5287</v>
      </c>
      <c r="D111" s="261" t="s">
        <v>5288</v>
      </c>
      <c r="E111" s="262" t="s">
        <v>5213</v>
      </c>
      <c r="F111" s="265" t="s">
        <v>5201</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5065</v>
      </c>
      <c r="B112" s="257" t="s">
        <v>5278</v>
      </c>
      <c r="C112" s="258" t="s">
        <v>5289</v>
      </c>
      <c r="D112" s="261" t="s">
        <v>5290</v>
      </c>
      <c r="E112" s="262" t="s">
        <v>5213</v>
      </c>
      <c r="F112" s="265" t="s">
        <v>5201</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5065</v>
      </c>
      <c r="B113" s="257" t="s">
        <v>5278</v>
      </c>
      <c r="C113" s="258" t="s">
        <v>5291</v>
      </c>
      <c r="D113" s="261" t="s">
        <v>5292</v>
      </c>
      <c r="E113" s="262" t="s">
        <v>5213</v>
      </c>
      <c r="F113" s="265" t="s">
        <v>5201</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5065</v>
      </c>
      <c r="B114" s="257" t="s">
        <v>5278</v>
      </c>
      <c r="C114" s="258" t="s">
        <v>5293</v>
      </c>
      <c r="D114" s="261" t="s">
        <v>5294</v>
      </c>
      <c r="E114" s="262" t="s">
        <v>5213</v>
      </c>
      <c r="F114" s="265" t="s">
        <v>5201</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5065</v>
      </c>
      <c r="B115" s="257" t="s">
        <v>5278</v>
      </c>
      <c r="C115" s="258" t="s">
        <v>5295</v>
      </c>
      <c r="D115" s="261" t="s">
        <v>5296</v>
      </c>
      <c r="E115" s="262" t="s">
        <v>5213</v>
      </c>
      <c r="F115" s="265" t="s">
        <v>5201</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5065</v>
      </c>
      <c r="B116" s="257" t="s">
        <v>5278</v>
      </c>
      <c r="C116" s="258" t="s">
        <v>5297</v>
      </c>
      <c r="D116" s="261" t="s">
        <v>5298</v>
      </c>
      <c r="E116" s="262" t="s">
        <v>5213</v>
      </c>
      <c r="F116" s="265" t="s">
        <v>5201</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5065</v>
      </c>
      <c r="B117" s="257" t="s">
        <v>5278</v>
      </c>
      <c r="C117" s="258" t="s">
        <v>5299</v>
      </c>
      <c r="D117" s="261" t="s">
        <v>5300</v>
      </c>
      <c r="E117" s="262" t="s">
        <v>5213</v>
      </c>
      <c r="F117" s="265" t="s">
        <v>5201</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5301</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5301</v>
      </c>
      <c r="B119" s="256" t="s">
        <v>5302</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5301</v>
      </c>
      <c r="B120" s="257" t="s">
        <v>5302</v>
      </c>
      <c r="C120" s="258" t="s">
        <v>5303</v>
      </c>
      <c r="D120" s="261" t="s">
        <v>5304</v>
      </c>
      <c r="E120" s="262" t="s">
        <v>5069</v>
      </c>
      <c r="F120" s="265" t="s">
        <v>5305</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5301</v>
      </c>
      <c r="B121" s="257" t="s">
        <v>5302</v>
      </c>
      <c r="C121" s="258" t="s">
        <v>5306</v>
      </c>
      <c r="D121" s="261" t="s">
        <v>5307</v>
      </c>
      <c r="E121" s="262" t="s">
        <v>5069</v>
      </c>
      <c r="F121" s="265" t="s">
        <v>5305</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5301</v>
      </c>
      <c r="B122" s="257" t="s">
        <v>5302</v>
      </c>
      <c r="C122" s="258" t="s">
        <v>5308</v>
      </c>
      <c r="D122" s="261" t="s">
        <v>5309</v>
      </c>
      <c r="E122" s="262" t="s">
        <v>5069</v>
      </c>
      <c r="F122" s="265" t="s">
        <v>5305</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5301</v>
      </c>
      <c r="B123" s="257" t="s">
        <v>5302</v>
      </c>
      <c r="C123" s="258" t="s">
        <v>5310</v>
      </c>
      <c r="D123" s="261" t="s">
        <v>5311</v>
      </c>
      <c r="E123" s="262" t="s">
        <v>5069</v>
      </c>
      <c r="F123" s="265" t="s">
        <v>5305</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5301</v>
      </c>
      <c r="B124" s="257" t="s">
        <v>5302</v>
      </c>
      <c r="C124" s="258" t="s">
        <v>5312</v>
      </c>
      <c r="D124" s="261" t="s">
        <v>5313</v>
      </c>
      <c r="E124" s="262" t="s">
        <v>5069</v>
      </c>
      <c r="F124" s="265" t="s">
        <v>5305</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5301</v>
      </c>
      <c r="B125" s="257" t="s">
        <v>5302</v>
      </c>
      <c r="C125" s="258" t="s">
        <v>5314</v>
      </c>
      <c r="D125" s="261" t="s">
        <v>5315</v>
      </c>
      <c r="E125" s="262" t="s">
        <v>5069</v>
      </c>
      <c r="F125" s="265" t="s">
        <v>5305</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5301</v>
      </c>
      <c r="B126" s="257" t="s">
        <v>5302</v>
      </c>
      <c r="C126" s="258" t="s">
        <v>5316</v>
      </c>
      <c r="D126" s="261" t="s">
        <v>5317</v>
      </c>
      <c r="E126" s="262" t="s">
        <v>5069</v>
      </c>
      <c r="F126" s="265" t="s">
        <v>5305</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5301</v>
      </c>
      <c r="B127" s="257" t="s">
        <v>5302</v>
      </c>
      <c r="C127" s="258" t="s">
        <v>5318</v>
      </c>
      <c r="D127" s="261" t="s">
        <v>5319</v>
      </c>
      <c r="E127" s="262" t="s">
        <v>5069</v>
      </c>
      <c r="F127" s="265" t="s">
        <v>5305</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5301</v>
      </c>
      <c r="B128" s="257" t="s">
        <v>5302</v>
      </c>
      <c r="C128" s="258" t="s">
        <v>5320</v>
      </c>
      <c r="D128" s="261" t="s">
        <v>5321</v>
      </c>
      <c r="E128" s="262" t="s">
        <v>5069</v>
      </c>
      <c r="F128" s="265" t="s">
        <v>5305</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5301</v>
      </c>
      <c r="B129" s="257" t="s">
        <v>5302</v>
      </c>
      <c r="C129" s="258" t="s">
        <v>5322</v>
      </c>
      <c r="D129" s="261" t="s">
        <v>5323</v>
      </c>
      <c r="E129" s="262" t="s">
        <v>5069</v>
      </c>
      <c r="F129" s="265" t="s">
        <v>5305</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5301</v>
      </c>
      <c r="B130" s="257" t="s">
        <v>5302</v>
      </c>
      <c r="C130" s="258" t="s">
        <v>5324</v>
      </c>
      <c r="D130" s="261" t="s">
        <v>5325</v>
      </c>
      <c r="E130" s="262" t="s">
        <v>5069</v>
      </c>
      <c r="F130" s="265" t="s">
        <v>5305</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5301</v>
      </c>
      <c r="B131" s="257" t="s">
        <v>5302</v>
      </c>
      <c r="C131" s="258" t="s">
        <v>5326</v>
      </c>
      <c r="D131" s="261" t="s">
        <v>5327</v>
      </c>
      <c r="E131" s="262" t="s">
        <v>5069</v>
      </c>
      <c r="F131" s="265" t="s">
        <v>5305</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5301</v>
      </c>
      <c r="B132" s="257" t="s">
        <v>5302</v>
      </c>
      <c r="C132" s="258" t="s">
        <v>5328</v>
      </c>
      <c r="D132" s="261" t="s">
        <v>5329</v>
      </c>
      <c r="E132" s="262" t="s">
        <v>5069</v>
      </c>
      <c r="F132" s="265" t="s">
        <v>5305</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5301</v>
      </c>
      <c r="B133" s="257" t="s">
        <v>5302</v>
      </c>
      <c r="C133" s="258" t="s">
        <v>5330</v>
      </c>
      <c r="D133" s="261" t="s">
        <v>5331</v>
      </c>
      <c r="E133" s="262" t="s">
        <v>5098</v>
      </c>
      <c r="F133" s="265" t="s">
        <v>5305</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5301</v>
      </c>
      <c r="B134" s="257" t="s">
        <v>5302</v>
      </c>
      <c r="C134" s="258" t="s">
        <v>5332</v>
      </c>
      <c r="D134" s="261" t="s">
        <v>5333</v>
      </c>
      <c r="E134" s="262" t="s">
        <v>5098</v>
      </c>
      <c r="F134" s="265" t="s">
        <v>5305</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5301</v>
      </c>
      <c r="B135" s="257" t="s">
        <v>5302</v>
      </c>
      <c r="C135" s="258" t="s">
        <v>5334</v>
      </c>
      <c r="D135" s="261" t="s">
        <v>5335</v>
      </c>
      <c r="E135" s="262" t="s">
        <v>5213</v>
      </c>
      <c r="F135" s="265" t="s">
        <v>5305</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5301</v>
      </c>
      <c r="B136" s="257" t="s">
        <v>5302</v>
      </c>
      <c r="C136" s="258" t="s">
        <v>5336</v>
      </c>
      <c r="D136" s="261" t="s">
        <v>5337</v>
      </c>
      <c r="E136" s="262" t="s">
        <v>5098</v>
      </c>
      <c r="F136" s="265" t="s">
        <v>5305</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5301</v>
      </c>
      <c r="B137" s="257" t="s">
        <v>5302</v>
      </c>
      <c r="C137" s="258" t="s">
        <v>5338</v>
      </c>
      <c r="D137" s="261" t="s">
        <v>5339</v>
      </c>
      <c r="E137" s="262" t="s">
        <v>5098</v>
      </c>
      <c r="F137" s="265" t="s">
        <v>5305</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5301</v>
      </c>
      <c r="B138" s="257" t="s">
        <v>5302</v>
      </c>
      <c r="C138" s="258" t="s">
        <v>5340</v>
      </c>
      <c r="D138" s="261" t="s">
        <v>5341</v>
      </c>
      <c r="E138" s="262" t="s">
        <v>5213</v>
      </c>
      <c r="F138" s="265" t="s">
        <v>5305</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5301</v>
      </c>
      <c r="B139" s="257" t="s">
        <v>5302</v>
      </c>
      <c r="C139" s="258" t="s">
        <v>5342</v>
      </c>
      <c r="D139" s="261" t="s">
        <v>5343</v>
      </c>
      <c r="E139" s="262" t="s">
        <v>5213</v>
      </c>
      <c r="F139" s="265" t="s">
        <v>5305</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5301</v>
      </c>
      <c r="B140" s="257" t="s">
        <v>5302</v>
      </c>
      <c r="C140" s="258" t="s">
        <v>5344</v>
      </c>
      <c r="D140" s="261" t="s">
        <v>5345</v>
      </c>
      <c r="E140" s="262" t="s">
        <v>5069</v>
      </c>
      <c r="F140" s="265" t="s">
        <v>5305</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5301</v>
      </c>
      <c r="B141" s="257" t="s">
        <v>5302</v>
      </c>
      <c r="C141" s="258" t="s">
        <v>5346</v>
      </c>
      <c r="D141" s="261" t="s">
        <v>5347</v>
      </c>
      <c r="E141" s="262" t="s">
        <v>5348</v>
      </c>
      <c r="F141" s="265" t="s">
        <v>5349</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5301</v>
      </c>
      <c r="B142" s="257" t="s">
        <v>5302</v>
      </c>
      <c r="C142" s="258" t="s">
        <v>5350</v>
      </c>
      <c r="D142" s="261" t="s">
        <v>5351</v>
      </c>
      <c r="E142" s="262" t="s">
        <v>5348</v>
      </c>
      <c r="F142" s="265" t="s">
        <v>5349</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5301</v>
      </c>
      <c r="B143" s="257" t="s">
        <v>5302</v>
      </c>
      <c r="C143" s="258" t="s">
        <v>5352</v>
      </c>
      <c r="D143" s="261" t="s">
        <v>5353</v>
      </c>
      <c r="E143" s="262" t="s">
        <v>5348</v>
      </c>
      <c r="F143" s="265" t="s">
        <v>5349</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5301</v>
      </c>
      <c r="B144" s="257" t="s">
        <v>5302</v>
      </c>
      <c r="C144" s="258" t="s">
        <v>5354</v>
      </c>
      <c r="D144" s="261" t="s">
        <v>5355</v>
      </c>
      <c r="E144" s="262" t="s">
        <v>5165</v>
      </c>
      <c r="F144" s="265" t="s">
        <v>5349</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5301</v>
      </c>
      <c r="B145" s="257" t="s">
        <v>5302</v>
      </c>
      <c r="C145" s="258" t="s">
        <v>5356</v>
      </c>
      <c r="D145" s="261" t="s">
        <v>5357</v>
      </c>
      <c r="E145" s="262" t="s">
        <v>5165</v>
      </c>
      <c r="F145" s="265" t="s">
        <v>5349</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5301</v>
      </c>
      <c r="B146" s="257" t="s">
        <v>5302</v>
      </c>
      <c r="C146" s="258" t="s">
        <v>5358</v>
      </c>
      <c r="D146" s="261" t="s">
        <v>5359</v>
      </c>
      <c r="E146" s="262" t="s">
        <v>5165</v>
      </c>
      <c r="F146" s="265" t="s">
        <v>5349</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5301</v>
      </c>
      <c r="B147" s="256" t="s">
        <v>5360</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5301</v>
      </c>
      <c r="B148" s="257" t="s">
        <v>5360</v>
      </c>
      <c r="C148" s="258" t="s">
        <v>5361</v>
      </c>
      <c r="D148" s="261" t="s">
        <v>5362</v>
      </c>
      <c r="E148" s="262" t="s">
        <v>5098</v>
      </c>
      <c r="F148" s="265" t="s">
        <v>5363</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5301</v>
      </c>
      <c r="B149" s="257" t="s">
        <v>5360</v>
      </c>
      <c r="C149" s="258" t="s">
        <v>5364</v>
      </c>
      <c r="D149" s="261" t="s">
        <v>5365</v>
      </c>
      <c r="E149" s="262" t="s">
        <v>5098</v>
      </c>
      <c r="F149" s="265" t="s">
        <v>5363</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5301</v>
      </c>
      <c r="B150" s="257" t="s">
        <v>5360</v>
      </c>
      <c r="C150" s="258" t="s">
        <v>5366</v>
      </c>
      <c r="D150" s="261" t="s">
        <v>5367</v>
      </c>
      <c r="E150" s="262" t="s">
        <v>5098</v>
      </c>
      <c r="F150" s="265" t="s">
        <v>5363</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5301</v>
      </c>
      <c r="B151" s="257" t="s">
        <v>5360</v>
      </c>
      <c r="C151" s="258" t="s">
        <v>5368</v>
      </c>
      <c r="D151" s="261" t="s">
        <v>5369</v>
      </c>
      <c r="E151" s="262" t="s">
        <v>5098</v>
      </c>
      <c r="F151" s="265" t="s">
        <v>5363</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5301</v>
      </c>
      <c r="B152" s="257" t="s">
        <v>5360</v>
      </c>
      <c r="C152" s="258" t="s">
        <v>5370</v>
      </c>
      <c r="D152" s="261" t="s">
        <v>5371</v>
      </c>
      <c r="E152" s="262" t="s">
        <v>5098</v>
      </c>
      <c r="F152" s="265" t="s">
        <v>5363</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5301</v>
      </c>
      <c r="B153" s="257" t="s">
        <v>5360</v>
      </c>
      <c r="C153" s="258" t="s">
        <v>5372</v>
      </c>
      <c r="D153" s="261" t="s">
        <v>5373</v>
      </c>
      <c r="E153" s="262" t="s">
        <v>5098</v>
      </c>
      <c r="F153" s="265" t="s">
        <v>5363</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5301</v>
      </c>
      <c r="B154" s="257" t="s">
        <v>5360</v>
      </c>
      <c r="C154" s="258" t="s">
        <v>5374</v>
      </c>
      <c r="D154" s="261" t="s">
        <v>5375</v>
      </c>
      <c r="E154" s="262" t="s">
        <v>5098</v>
      </c>
      <c r="F154" s="265" t="s">
        <v>5363</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5301</v>
      </c>
      <c r="B155" s="257" t="s">
        <v>5360</v>
      </c>
      <c r="C155" s="258" t="s">
        <v>5376</v>
      </c>
      <c r="D155" s="261" t="s">
        <v>5377</v>
      </c>
      <c r="E155" s="262" t="s">
        <v>5098</v>
      </c>
      <c r="F155" s="265" t="s">
        <v>5363</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5301</v>
      </c>
      <c r="B156" s="257" t="s">
        <v>5360</v>
      </c>
      <c r="C156" s="258" t="s">
        <v>5378</v>
      </c>
      <c r="D156" s="261" t="s">
        <v>5379</v>
      </c>
      <c r="E156" s="262" t="s">
        <v>5098</v>
      </c>
      <c r="F156" s="265" t="s">
        <v>5363</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5301</v>
      </c>
      <c r="B157" s="257" t="s">
        <v>5360</v>
      </c>
      <c r="C157" s="258" t="s">
        <v>5380</v>
      </c>
      <c r="D157" s="261" t="s">
        <v>5381</v>
      </c>
      <c r="E157" s="262" t="s">
        <v>5098</v>
      </c>
      <c r="F157" s="265" t="s">
        <v>5363</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5301</v>
      </c>
      <c r="B158" s="257" t="s">
        <v>5360</v>
      </c>
      <c r="C158" s="258" t="s">
        <v>5382</v>
      </c>
      <c r="D158" s="261" t="s">
        <v>5383</v>
      </c>
      <c r="E158" s="262" t="s">
        <v>5098</v>
      </c>
      <c r="F158" s="265" t="s">
        <v>5363</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5301</v>
      </c>
      <c r="B159" s="257" t="s">
        <v>5360</v>
      </c>
      <c r="C159" s="258" t="s">
        <v>5384</v>
      </c>
      <c r="D159" s="261" t="s">
        <v>5385</v>
      </c>
      <c r="E159" s="262" t="s">
        <v>5098</v>
      </c>
      <c r="F159" s="265" t="s">
        <v>5363</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5301</v>
      </c>
      <c r="B160" s="257" t="s">
        <v>5360</v>
      </c>
      <c r="C160" s="258" t="s">
        <v>5386</v>
      </c>
      <c r="D160" s="261" t="s">
        <v>5387</v>
      </c>
      <c r="E160" s="262" t="s">
        <v>5098</v>
      </c>
      <c r="F160" s="265" t="s">
        <v>5388</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5301</v>
      </c>
      <c r="B161" s="257" t="s">
        <v>5360</v>
      </c>
      <c r="C161" s="258" t="s">
        <v>5389</v>
      </c>
      <c r="D161" s="261" t="s">
        <v>5390</v>
      </c>
      <c r="E161" s="262" t="s">
        <v>5098</v>
      </c>
      <c r="F161" s="265" t="s">
        <v>5388</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5301</v>
      </c>
      <c r="B162" s="257" t="s">
        <v>5360</v>
      </c>
      <c r="C162" s="258" t="s">
        <v>5391</v>
      </c>
      <c r="D162" s="261" t="s">
        <v>5392</v>
      </c>
      <c r="E162" s="262" t="s">
        <v>5098</v>
      </c>
      <c r="F162" s="265" t="s">
        <v>5388</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5301</v>
      </c>
      <c r="B163" s="257" t="s">
        <v>5360</v>
      </c>
      <c r="C163" s="258" t="s">
        <v>5393</v>
      </c>
      <c r="D163" s="261" t="s">
        <v>5394</v>
      </c>
      <c r="E163" s="262" t="s">
        <v>5098</v>
      </c>
      <c r="F163" s="265" t="s">
        <v>5388</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5301</v>
      </c>
      <c r="B164" s="257" t="s">
        <v>5360</v>
      </c>
      <c r="C164" s="258" t="s">
        <v>5395</v>
      </c>
      <c r="D164" s="261" t="s">
        <v>5396</v>
      </c>
      <c r="E164" s="262" t="s">
        <v>5098</v>
      </c>
      <c r="F164" s="265" t="s">
        <v>5388</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5301</v>
      </c>
      <c r="B165" s="256" t="s">
        <v>5397</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5301</v>
      </c>
      <c r="B166" s="257" t="s">
        <v>5397</v>
      </c>
      <c r="C166" s="258" t="s">
        <v>5398</v>
      </c>
      <c r="D166" s="261" t="s">
        <v>5399</v>
      </c>
      <c r="E166" s="262" t="s">
        <v>5069</v>
      </c>
      <c r="F166" s="265" t="s">
        <v>5400</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5301</v>
      </c>
      <c r="B167" s="257" t="s">
        <v>5397</v>
      </c>
      <c r="C167" s="258" t="s">
        <v>5401</v>
      </c>
      <c r="D167" s="261" t="s">
        <v>5402</v>
      </c>
      <c r="E167" s="262" t="s">
        <v>5213</v>
      </c>
      <c r="F167" s="265" t="s">
        <v>5400</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5301</v>
      </c>
      <c r="B168" s="257" t="s">
        <v>5397</v>
      </c>
      <c r="C168" s="258" t="s">
        <v>5403</v>
      </c>
      <c r="D168" s="261" t="s">
        <v>5404</v>
      </c>
      <c r="E168" s="262" t="s">
        <v>5165</v>
      </c>
      <c r="F168" s="265" t="s">
        <v>5400</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5301</v>
      </c>
      <c r="B169" s="257" t="s">
        <v>5397</v>
      </c>
      <c r="C169" s="258" t="s">
        <v>5405</v>
      </c>
      <c r="D169" s="261" t="s">
        <v>5406</v>
      </c>
      <c r="E169" s="262" t="s">
        <v>5165</v>
      </c>
      <c r="F169" s="265" t="s">
        <v>5400</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5301</v>
      </c>
      <c r="B170" s="257" t="s">
        <v>5397</v>
      </c>
      <c r="C170" s="258" t="s">
        <v>5407</v>
      </c>
      <c r="D170" s="261" t="s">
        <v>5408</v>
      </c>
      <c r="E170" s="262" t="s">
        <v>5213</v>
      </c>
      <c r="F170" s="265" t="s">
        <v>5400</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5301</v>
      </c>
      <c r="B171" s="257" t="s">
        <v>5397</v>
      </c>
      <c r="C171" s="258" t="s">
        <v>5409</v>
      </c>
      <c r="D171" s="261" t="s">
        <v>5410</v>
      </c>
      <c r="E171" s="262" t="s">
        <v>5098</v>
      </c>
      <c r="F171" s="265" t="s">
        <v>5400</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5301</v>
      </c>
      <c r="B172" s="257" t="s">
        <v>5397</v>
      </c>
      <c r="C172" s="258" t="s">
        <v>5411</v>
      </c>
      <c r="D172" s="261" t="s">
        <v>5412</v>
      </c>
      <c r="E172" s="262" t="s">
        <v>5165</v>
      </c>
      <c r="F172" s="265" t="s">
        <v>5400</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5301</v>
      </c>
      <c r="B173" s="257" t="s">
        <v>5397</v>
      </c>
      <c r="C173" s="258" t="s">
        <v>5413</v>
      </c>
      <c r="D173" s="261" t="s">
        <v>5414</v>
      </c>
      <c r="E173" s="262" t="s">
        <v>5098</v>
      </c>
      <c r="F173" s="265" t="s">
        <v>5400</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5301</v>
      </c>
      <c r="B174" s="257" t="s">
        <v>5397</v>
      </c>
      <c r="C174" s="258" t="s">
        <v>5415</v>
      </c>
      <c r="D174" s="261" t="s">
        <v>5416</v>
      </c>
      <c r="E174" s="262" t="s">
        <v>5165</v>
      </c>
      <c r="F174" s="265" t="s">
        <v>5400</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5301</v>
      </c>
      <c r="B175" s="257" t="s">
        <v>5397</v>
      </c>
      <c r="C175" s="258" t="s">
        <v>5417</v>
      </c>
      <c r="D175" s="261" t="s">
        <v>5418</v>
      </c>
      <c r="E175" s="262" t="s">
        <v>5098</v>
      </c>
      <c r="F175" s="265" t="s">
        <v>5400</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5301</v>
      </c>
      <c r="B176" s="257" t="s">
        <v>5397</v>
      </c>
      <c r="C176" s="258" t="s">
        <v>5419</v>
      </c>
      <c r="D176" s="261" t="s">
        <v>5420</v>
      </c>
      <c r="E176" s="262" t="s">
        <v>5069</v>
      </c>
      <c r="F176" s="265" t="s">
        <v>5400</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5301</v>
      </c>
      <c r="B177" s="257" t="s">
        <v>5397</v>
      </c>
      <c r="C177" s="258" t="s">
        <v>5421</v>
      </c>
      <c r="D177" s="261" t="s">
        <v>5422</v>
      </c>
      <c r="E177" s="262" t="s">
        <v>5069</v>
      </c>
      <c r="F177" s="265" t="s">
        <v>5400</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5301</v>
      </c>
      <c r="B178" s="257" t="s">
        <v>5397</v>
      </c>
      <c r="C178" s="258" t="s">
        <v>5423</v>
      </c>
      <c r="D178" s="261" t="s">
        <v>5424</v>
      </c>
      <c r="E178" s="262" t="s">
        <v>5098</v>
      </c>
      <c r="F178" s="265" t="s">
        <v>5400</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5301</v>
      </c>
      <c r="B179" s="257" t="s">
        <v>5397</v>
      </c>
      <c r="C179" s="258" t="s">
        <v>5425</v>
      </c>
      <c r="D179" s="261" t="s">
        <v>5426</v>
      </c>
      <c r="E179" s="262" t="s">
        <v>5213</v>
      </c>
      <c r="F179" s="265" t="s">
        <v>5400</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5301</v>
      </c>
      <c r="B180" s="257" t="s">
        <v>5397</v>
      </c>
      <c r="C180" s="258" t="s">
        <v>5427</v>
      </c>
      <c r="D180" s="261" t="s">
        <v>5428</v>
      </c>
      <c r="E180" s="262" t="s">
        <v>5213</v>
      </c>
      <c r="F180" s="265" t="s">
        <v>5400</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5301</v>
      </c>
      <c r="B181" s="256" t="s">
        <v>5429</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5301</v>
      </c>
      <c r="B182" s="257" t="s">
        <v>5429</v>
      </c>
      <c r="C182" s="258" t="s">
        <v>5430</v>
      </c>
      <c r="D182" s="261" t="s">
        <v>5431</v>
      </c>
      <c r="E182" s="262" t="s">
        <v>5069</v>
      </c>
      <c r="F182" s="265" t="s">
        <v>5432</v>
      </c>
      <c r="G182" s="268">
        <f>IF(COUNTIF(H182:AU182,"&lt;&gt;")=0,"",SUMPRODUCT(((Recommendations[ImplStatus]="Implemented")+(Recommendations[ImplStatus]="Compensated"))*ISNUMBER(MATCH(Recommendations[Id],H182:AU182,0)))/COUNTIF(H182:AU182,"&lt;&gt;"))</f>
        <v>0</v>
      </c>
      <c r="H182" s="269" t="s">
        <v>98</v>
      </c>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5301</v>
      </c>
      <c r="B183" s="257" t="s">
        <v>5429</v>
      </c>
      <c r="C183" s="258" t="s">
        <v>5433</v>
      </c>
      <c r="D183" s="261" t="s">
        <v>5434</v>
      </c>
      <c r="E183" s="262" t="s">
        <v>5069</v>
      </c>
      <c r="F183" s="265" t="s">
        <v>5432</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5301</v>
      </c>
      <c r="B184" s="257" t="s">
        <v>5429</v>
      </c>
      <c r="C184" s="258" t="s">
        <v>5435</v>
      </c>
      <c r="D184" s="261" t="s">
        <v>5436</v>
      </c>
      <c r="E184" s="262" t="s">
        <v>5069</v>
      </c>
      <c r="F184" s="265" t="s">
        <v>5432</v>
      </c>
      <c r="G184" s="268">
        <f>IF(COUNTIF(H184:AU184,"&lt;&gt;")=0,"",SUMPRODUCT(((Recommendations[ImplStatus]="Implemented")+(Recommendations[ImplStatus]="Compensated"))*ISNUMBER(MATCH(Recommendations[Id],H184:AU184,0)))/COUNTIF(H184:AU184,"&lt;&gt;"))</f>
        <v>0</v>
      </c>
      <c r="H184" s="269" t="s">
        <v>93</v>
      </c>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5301</v>
      </c>
      <c r="B185" s="257" t="s">
        <v>5429</v>
      </c>
      <c r="C185" s="258" t="s">
        <v>5437</v>
      </c>
      <c r="D185" s="261" t="s">
        <v>5438</v>
      </c>
      <c r="E185" s="262" t="s">
        <v>5069</v>
      </c>
      <c r="F185" s="265" t="s">
        <v>5432</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5301</v>
      </c>
      <c r="B186" s="257" t="s">
        <v>5429</v>
      </c>
      <c r="C186" s="258" t="s">
        <v>5439</v>
      </c>
      <c r="D186" s="261" t="s">
        <v>5440</v>
      </c>
      <c r="E186" s="262" t="s">
        <v>5069</v>
      </c>
      <c r="F186" s="265" t="s">
        <v>5432</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5301</v>
      </c>
      <c r="B187" s="257" t="s">
        <v>5429</v>
      </c>
      <c r="C187" s="258" t="s">
        <v>5441</v>
      </c>
      <c r="D187" s="261" t="s">
        <v>5442</v>
      </c>
      <c r="E187" s="262" t="s">
        <v>5098</v>
      </c>
      <c r="F187" s="265" t="s">
        <v>5432</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5301</v>
      </c>
      <c r="B188" s="257" t="s">
        <v>5429</v>
      </c>
      <c r="C188" s="258" t="s">
        <v>5443</v>
      </c>
      <c r="D188" s="261" t="s">
        <v>5444</v>
      </c>
      <c r="E188" s="262" t="s">
        <v>5098</v>
      </c>
      <c r="F188" s="265" t="s">
        <v>5432</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5301</v>
      </c>
      <c r="B189" s="257" t="s">
        <v>5429</v>
      </c>
      <c r="C189" s="258" t="s">
        <v>5445</v>
      </c>
      <c r="D189" s="261" t="s">
        <v>5446</v>
      </c>
      <c r="E189" s="262" t="s">
        <v>5098</v>
      </c>
      <c r="F189" s="265" t="s">
        <v>5432</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5301</v>
      </c>
      <c r="B190" s="257" t="s">
        <v>5429</v>
      </c>
      <c r="C190" s="258" t="s">
        <v>5447</v>
      </c>
      <c r="D190" s="261" t="s">
        <v>5448</v>
      </c>
      <c r="E190" s="262" t="s">
        <v>5098</v>
      </c>
      <c r="F190" s="265" t="s">
        <v>5432</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5301</v>
      </c>
      <c r="B191" s="257" t="s">
        <v>5429</v>
      </c>
      <c r="C191" s="258" t="s">
        <v>5449</v>
      </c>
      <c r="D191" s="261" t="s">
        <v>5450</v>
      </c>
      <c r="E191" s="262" t="s">
        <v>5069</v>
      </c>
      <c r="F191" s="265" t="s">
        <v>5432</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5301</v>
      </c>
      <c r="B192" s="257" t="s">
        <v>5429</v>
      </c>
      <c r="C192" s="258" t="s">
        <v>5451</v>
      </c>
      <c r="D192" s="261" t="s">
        <v>5452</v>
      </c>
      <c r="E192" s="262" t="s">
        <v>5069</v>
      </c>
      <c r="F192" s="265" t="s">
        <v>5432</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5301</v>
      </c>
      <c r="B193" s="257" t="s">
        <v>5429</v>
      </c>
      <c r="C193" s="258" t="s">
        <v>5453</v>
      </c>
      <c r="D193" s="261" t="s">
        <v>5454</v>
      </c>
      <c r="E193" s="262" t="s">
        <v>5069</v>
      </c>
      <c r="F193" s="265" t="s">
        <v>5432</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5301</v>
      </c>
      <c r="B194" s="257" t="s">
        <v>5429</v>
      </c>
      <c r="C194" s="258" t="s">
        <v>5455</v>
      </c>
      <c r="D194" s="261" t="s">
        <v>5456</v>
      </c>
      <c r="E194" s="262" t="s">
        <v>5069</v>
      </c>
      <c r="F194" s="265" t="s">
        <v>5432</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5301</v>
      </c>
      <c r="B195" s="257" t="s">
        <v>5429</v>
      </c>
      <c r="C195" s="258" t="s">
        <v>5457</v>
      </c>
      <c r="D195" s="261" t="s">
        <v>5458</v>
      </c>
      <c r="E195" s="262" t="s">
        <v>5069</v>
      </c>
      <c r="F195" s="265" t="s">
        <v>5432</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5301</v>
      </c>
      <c r="B196" s="257" t="s">
        <v>5429</v>
      </c>
      <c r="C196" s="258" t="s">
        <v>5459</v>
      </c>
      <c r="D196" s="261" t="s">
        <v>5460</v>
      </c>
      <c r="E196" s="262" t="s">
        <v>5069</v>
      </c>
      <c r="F196" s="265" t="s">
        <v>5461</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5301</v>
      </c>
      <c r="B197" s="257" t="s">
        <v>5429</v>
      </c>
      <c r="C197" s="258" t="s">
        <v>5462</v>
      </c>
      <c r="D197" s="261" t="s">
        <v>5463</v>
      </c>
      <c r="E197" s="262" t="s">
        <v>5069</v>
      </c>
      <c r="F197" s="265" t="s">
        <v>5461</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5301</v>
      </c>
      <c r="B198" s="257" t="s">
        <v>5429</v>
      </c>
      <c r="C198" s="258" t="s">
        <v>5464</v>
      </c>
      <c r="D198" s="261" t="s">
        <v>5465</v>
      </c>
      <c r="E198" s="262" t="s">
        <v>5069</v>
      </c>
      <c r="F198" s="265" t="s">
        <v>5461</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5301</v>
      </c>
      <c r="B199" s="257" t="s">
        <v>5429</v>
      </c>
      <c r="C199" s="258" t="s">
        <v>5466</v>
      </c>
      <c r="D199" s="261" t="s">
        <v>5467</v>
      </c>
      <c r="E199" s="262" t="s">
        <v>5069</v>
      </c>
      <c r="F199" s="265" t="s">
        <v>5461</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5468</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5468</v>
      </c>
      <c r="B201" s="256" t="s">
        <v>5469</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5468</v>
      </c>
      <c r="B202" s="257" t="s">
        <v>5469</v>
      </c>
      <c r="C202" s="258" t="s">
        <v>5470</v>
      </c>
      <c r="D202" s="261" t="s">
        <v>5471</v>
      </c>
      <c r="E202" s="262" t="s">
        <v>5348</v>
      </c>
      <c r="F202" s="265" t="s">
        <v>5472</v>
      </c>
      <c r="G202" s="268">
        <f>IF(COUNTIF(H202:AU202,"&lt;&gt;")=0,"",SUMPRODUCT(((Recommendations[ImplStatus]="Implemented")+(Recommendations[ImplStatus]="Compensated"))*ISNUMBER(MATCH(Recommendations[Id],H202:AU202,0)))/COUNTIF(H202:AU202,"&lt;&gt;"))</f>
        <v>0</v>
      </c>
      <c r="H202" s="269" t="s">
        <v>226</v>
      </c>
      <c r="I202" s="269" t="s">
        <v>232</v>
      </c>
      <c r="J202" s="269" t="s">
        <v>338</v>
      </c>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5468</v>
      </c>
      <c r="B203" s="257" t="s">
        <v>5469</v>
      </c>
      <c r="C203" s="258" t="s">
        <v>5473</v>
      </c>
      <c r="D203" s="261" t="s">
        <v>5474</v>
      </c>
      <c r="E203" s="262" t="s">
        <v>5348</v>
      </c>
      <c r="F203" s="265" t="s">
        <v>5472</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5468</v>
      </c>
      <c r="B204" s="257" t="s">
        <v>5469</v>
      </c>
      <c r="C204" s="258" t="s">
        <v>5475</v>
      </c>
      <c r="D204" s="261" t="s">
        <v>5476</v>
      </c>
      <c r="E204" s="262" t="s">
        <v>5348</v>
      </c>
      <c r="F204" s="265" t="s">
        <v>5472</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5468</v>
      </c>
      <c r="B205" s="257" t="s">
        <v>5469</v>
      </c>
      <c r="C205" s="258" t="s">
        <v>5477</v>
      </c>
      <c r="D205" s="261" t="s">
        <v>5478</v>
      </c>
      <c r="E205" s="262" t="s">
        <v>5348</v>
      </c>
      <c r="F205" s="265" t="s">
        <v>5472</v>
      </c>
      <c r="G205" s="268">
        <f>IF(COUNTIF(H205:AU205,"&lt;&gt;")=0,"",SUMPRODUCT(((Recommendations[ImplStatus]="Implemented")+(Recommendations[ImplStatus]="Compensated"))*ISNUMBER(MATCH(Recommendations[Id],H205:AU205,0)))/COUNTIF(H205:AU205,"&lt;&gt;"))</f>
        <v>0</v>
      </c>
      <c r="H205" s="269" t="s">
        <v>338</v>
      </c>
      <c r="I205" s="269" t="s">
        <v>350</v>
      </c>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5468</v>
      </c>
      <c r="B206" s="257" t="s">
        <v>5469</v>
      </c>
      <c r="C206" s="258" t="s">
        <v>5479</v>
      </c>
      <c r="D206" s="261" t="s">
        <v>5480</v>
      </c>
      <c r="E206" s="262" t="s">
        <v>5348</v>
      </c>
      <c r="F206" s="265" t="s">
        <v>5472</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5468</v>
      </c>
      <c r="B207" s="257" t="s">
        <v>5469</v>
      </c>
      <c r="C207" s="258" t="s">
        <v>5481</v>
      </c>
      <c r="D207" s="261" t="s">
        <v>5482</v>
      </c>
      <c r="E207" s="262" t="s">
        <v>5213</v>
      </c>
      <c r="F207" s="265" t="s">
        <v>5472</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5468</v>
      </c>
      <c r="B208" s="257" t="s">
        <v>5469</v>
      </c>
      <c r="C208" s="258" t="s">
        <v>5483</v>
      </c>
      <c r="D208" s="261" t="s">
        <v>5484</v>
      </c>
      <c r="E208" s="262" t="s">
        <v>5213</v>
      </c>
      <c r="F208" s="265" t="s">
        <v>5472</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5468</v>
      </c>
      <c r="B209" s="257" t="s">
        <v>5469</v>
      </c>
      <c r="C209" s="258" t="s">
        <v>5485</v>
      </c>
      <c r="D209" s="261" t="s">
        <v>5486</v>
      </c>
      <c r="E209" s="262" t="s">
        <v>5348</v>
      </c>
      <c r="F209" s="265" t="s">
        <v>5472</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5468</v>
      </c>
      <c r="B210" s="257" t="s">
        <v>5469</v>
      </c>
      <c r="C210" s="258" t="s">
        <v>5487</v>
      </c>
      <c r="D210" s="261" t="s">
        <v>5488</v>
      </c>
      <c r="E210" s="262" t="s">
        <v>5098</v>
      </c>
      <c r="F210" s="265" t="s">
        <v>5489</v>
      </c>
      <c r="G210" s="268">
        <f>IF(COUNTIF(H210:AU210,"&lt;&gt;")=0,"",SUMPRODUCT(((Recommendations[ImplStatus]="Implemented")+(Recommendations[ImplStatus]="Compensated"))*ISNUMBER(MATCH(Recommendations[Id],H210:AU210,0)))/COUNTIF(H210:AU210,"&lt;&gt;"))</f>
        <v>0</v>
      </c>
      <c r="H210" s="269" t="s">
        <v>59</v>
      </c>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5468</v>
      </c>
      <c r="B211" s="257" t="s">
        <v>5469</v>
      </c>
      <c r="C211" s="258" t="s">
        <v>5490</v>
      </c>
      <c r="D211" s="261" t="s">
        <v>5491</v>
      </c>
      <c r="E211" s="262" t="s">
        <v>5098</v>
      </c>
      <c r="F211" s="265" t="s">
        <v>5489</v>
      </c>
      <c r="G211" s="268">
        <f>IF(COUNTIF(H211:AU211,"&lt;&gt;")=0,"",SUMPRODUCT(((Recommendations[ImplStatus]="Implemented")+(Recommendations[ImplStatus]="Compensated"))*ISNUMBER(MATCH(Recommendations[Id],H211:AU211,0)))/COUNTIF(H211:AU211,"&lt;&gt;"))</f>
        <v>0</v>
      </c>
      <c r="H211" s="269" t="s">
        <v>59</v>
      </c>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5468</v>
      </c>
      <c r="B212" s="257" t="s">
        <v>5469</v>
      </c>
      <c r="C212" s="258" t="s">
        <v>5492</v>
      </c>
      <c r="D212" s="261" t="s">
        <v>5493</v>
      </c>
      <c r="E212" s="262" t="s">
        <v>5165</v>
      </c>
      <c r="F212" s="265" t="s">
        <v>5494</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5468</v>
      </c>
      <c r="B213" s="257" t="s">
        <v>5469</v>
      </c>
      <c r="C213" s="258" t="s">
        <v>5495</v>
      </c>
      <c r="D213" s="261" t="s">
        <v>5496</v>
      </c>
      <c r="E213" s="262" t="s">
        <v>5098</v>
      </c>
      <c r="F213" s="265" t="s">
        <v>5497</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5468</v>
      </c>
      <c r="B214" s="257" t="s">
        <v>5469</v>
      </c>
      <c r="C214" s="258" t="s">
        <v>5498</v>
      </c>
      <c r="D214" s="261" t="s">
        <v>5499</v>
      </c>
      <c r="E214" s="262" t="s">
        <v>5165</v>
      </c>
      <c r="F214" s="265" t="s">
        <v>5500</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5468</v>
      </c>
      <c r="B215" s="257" t="s">
        <v>5469</v>
      </c>
      <c r="C215" s="258" t="s">
        <v>5501</v>
      </c>
      <c r="D215" s="261" t="s">
        <v>5502</v>
      </c>
      <c r="E215" s="262" t="s">
        <v>5069</v>
      </c>
      <c r="F215" s="265" t="s">
        <v>5500</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5468</v>
      </c>
      <c r="B216" s="257" t="s">
        <v>5469</v>
      </c>
      <c r="C216" s="258" t="s">
        <v>5503</v>
      </c>
      <c r="D216" s="261" t="s">
        <v>5504</v>
      </c>
      <c r="E216" s="262" t="s">
        <v>5069</v>
      </c>
      <c r="F216" s="265" t="s">
        <v>5500</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5468</v>
      </c>
      <c r="B217" s="257" t="s">
        <v>5469</v>
      </c>
      <c r="C217" s="258" t="s">
        <v>5505</v>
      </c>
      <c r="D217" s="261" t="s">
        <v>5506</v>
      </c>
      <c r="E217" s="262" t="s">
        <v>5098</v>
      </c>
      <c r="F217" s="265" t="s">
        <v>5500</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5468</v>
      </c>
      <c r="B218" s="257" t="s">
        <v>5469</v>
      </c>
      <c r="C218" s="258" t="s">
        <v>5507</v>
      </c>
      <c r="D218" s="261" t="s">
        <v>5508</v>
      </c>
      <c r="E218" s="262" t="s">
        <v>5098</v>
      </c>
      <c r="F218" s="265" t="s">
        <v>5500</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5468</v>
      </c>
      <c r="B219" s="257" t="s">
        <v>5469</v>
      </c>
      <c r="C219" s="258" t="s">
        <v>5509</v>
      </c>
      <c r="D219" s="261" t="s">
        <v>5510</v>
      </c>
      <c r="E219" s="262" t="s">
        <v>5098</v>
      </c>
      <c r="F219" s="265" t="s">
        <v>5500</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5468</v>
      </c>
      <c r="B220" s="257" t="s">
        <v>5469</v>
      </c>
      <c r="C220" s="258" t="s">
        <v>5511</v>
      </c>
      <c r="D220" s="261" t="s">
        <v>5512</v>
      </c>
      <c r="E220" s="262" t="s">
        <v>5098</v>
      </c>
      <c r="F220" s="265" t="s">
        <v>5500</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5468</v>
      </c>
      <c r="B221" s="256" t="s">
        <v>5513</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5468</v>
      </c>
      <c r="B222" s="257" t="s">
        <v>5513</v>
      </c>
      <c r="C222" s="258" t="s">
        <v>5514</v>
      </c>
      <c r="D222" s="261" t="s">
        <v>5515</v>
      </c>
      <c r="E222" s="262" t="s">
        <v>5165</v>
      </c>
      <c r="F222" s="265" t="s">
        <v>5516</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5468</v>
      </c>
      <c r="B223" s="257" t="s">
        <v>5513</v>
      </c>
      <c r="C223" s="258" t="s">
        <v>5517</v>
      </c>
      <c r="D223" s="261" t="s">
        <v>5518</v>
      </c>
      <c r="E223" s="262" t="s">
        <v>5165</v>
      </c>
      <c r="F223" s="265" t="s">
        <v>5516</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5468</v>
      </c>
      <c r="B224" s="257" t="s">
        <v>5513</v>
      </c>
      <c r="C224" s="258" t="s">
        <v>5519</v>
      </c>
      <c r="D224" s="261" t="s">
        <v>5520</v>
      </c>
      <c r="E224" s="262" t="s">
        <v>5165</v>
      </c>
      <c r="F224" s="265" t="s">
        <v>5516</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5468</v>
      </c>
      <c r="B225" s="257" t="s">
        <v>5513</v>
      </c>
      <c r="C225" s="258" t="s">
        <v>5521</v>
      </c>
      <c r="D225" s="261" t="s">
        <v>5522</v>
      </c>
      <c r="E225" s="262" t="s">
        <v>5165</v>
      </c>
      <c r="F225" s="265" t="s">
        <v>5516</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5468</v>
      </c>
      <c r="B226" s="257" t="s">
        <v>5513</v>
      </c>
      <c r="C226" s="258" t="s">
        <v>5523</v>
      </c>
      <c r="D226" s="261" t="s">
        <v>5524</v>
      </c>
      <c r="E226" s="262" t="s">
        <v>5165</v>
      </c>
      <c r="F226" s="265" t="s">
        <v>5516</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5468</v>
      </c>
      <c r="B227" s="257" t="s">
        <v>5513</v>
      </c>
      <c r="C227" s="258" t="s">
        <v>5525</v>
      </c>
      <c r="D227" s="261" t="s">
        <v>5526</v>
      </c>
      <c r="E227" s="262" t="s">
        <v>5165</v>
      </c>
      <c r="F227" s="265" t="s">
        <v>5516</v>
      </c>
      <c r="G227" s="268">
        <f>IF(COUNTIF(H227:AU227,"&lt;&gt;")=0,"",SUMPRODUCT(((Recommendations[ImplStatus]="Implemented")+(Recommendations[ImplStatus]="Compensated"))*ISNUMBER(MATCH(Recommendations[Id],H227:AU227,0)))/COUNTIF(H227:AU227,"&lt;&gt;"))</f>
        <v>0</v>
      </c>
      <c r="H227" s="269" t="s">
        <v>18</v>
      </c>
      <c r="I227" s="269" t="s">
        <v>30</v>
      </c>
      <c r="J227" s="269" t="s">
        <v>42</v>
      </c>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5468</v>
      </c>
      <c r="B228" s="257" t="s">
        <v>5513</v>
      </c>
      <c r="C228" s="258" t="s">
        <v>5527</v>
      </c>
      <c r="D228" s="261" t="s">
        <v>5528</v>
      </c>
      <c r="E228" s="262" t="s">
        <v>5165</v>
      </c>
      <c r="F228" s="265" t="s">
        <v>5516</v>
      </c>
      <c r="G228" s="268">
        <f>IF(COUNTIF(H228:AU228,"&lt;&gt;")=0,"",SUMPRODUCT(((Recommendations[ImplStatus]="Implemented")+(Recommendations[ImplStatus]="Compensated"))*ISNUMBER(MATCH(Recommendations[Id],H228:AU228,0)))/COUNTIF(H228:AU228,"&lt;&gt;"))</f>
        <v>0</v>
      </c>
      <c r="H228" s="269" t="s">
        <v>48</v>
      </c>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5468</v>
      </c>
      <c r="B229" s="257" t="s">
        <v>5513</v>
      </c>
      <c r="C229" s="258" t="s">
        <v>5529</v>
      </c>
      <c r="D229" s="261" t="s">
        <v>5530</v>
      </c>
      <c r="E229" s="262" t="s">
        <v>5069</v>
      </c>
      <c r="F229" s="265" t="s">
        <v>5516</v>
      </c>
      <c r="G229" s="268">
        <f>IF(COUNTIF(H229:AU229,"&lt;&gt;")=0,"",SUMPRODUCT(((Recommendations[ImplStatus]="Implemented")+(Recommendations[ImplStatus]="Compensated"))*ISNUMBER(MATCH(Recommendations[Id],H229:AU229,0)))/COUNTIF(H229:AU229,"&lt;&gt;"))</f>
        <v>0</v>
      </c>
      <c r="H229" s="269" t="s">
        <v>53</v>
      </c>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5468</v>
      </c>
      <c r="B230" s="257" t="s">
        <v>5513</v>
      </c>
      <c r="C230" s="258" t="s">
        <v>5531</v>
      </c>
      <c r="D230" s="261" t="s">
        <v>5532</v>
      </c>
      <c r="E230" s="262" t="s">
        <v>5069</v>
      </c>
      <c r="F230" s="265" t="s">
        <v>5516</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5468</v>
      </c>
      <c r="B231" s="257" t="s">
        <v>5513</v>
      </c>
      <c r="C231" s="258" t="s">
        <v>5533</v>
      </c>
      <c r="D231" s="261" t="s">
        <v>5534</v>
      </c>
      <c r="E231" s="262" t="s">
        <v>5165</v>
      </c>
      <c r="F231" s="265" t="s">
        <v>5535</v>
      </c>
      <c r="G231" s="268">
        <f>IF(COUNTIF(H231:AU231,"&lt;&gt;")=0,"",SUMPRODUCT(((Recommendations[ImplStatus]="Implemented")+(Recommendations[ImplStatus]="Compensated"))*ISNUMBER(MATCH(Recommendations[Id],H231:AU231,0)))/COUNTIF(H231:AU231,"&lt;&gt;"))</f>
        <v>0</v>
      </c>
      <c r="H231" s="269" t="s">
        <v>104</v>
      </c>
      <c r="I231" s="269" t="s">
        <v>226</v>
      </c>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5468</v>
      </c>
      <c r="B232" s="257" t="s">
        <v>5513</v>
      </c>
      <c r="C232" s="258" t="s">
        <v>5536</v>
      </c>
      <c r="D232" s="261" t="s">
        <v>5537</v>
      </c>
      <c r="E232" s="262" t="s">
        <v>5165</v>
      </c>
      <c r="F232" s="265" t="s">
        <v>5535</v>
      </c>
      <c r="G232" s="268">
        <f>IF(COUNTIF(H232:AU232,"&lt;&gt;")=0,"",SUMPRODUCT(((Recommendations[ImplStatus]="Implemented")+(Recommendations[ImplStatus]="Compensated"))*ISNUMBER(MATCH(Recommendations[Id],H232:AU232,0)))/COUNTIF(H232:AU232,"&lt;&gt;"))</f>
        <v>0</v>
      </c>
      <c r="H232" s="269" t="s">
        <v>104</v>
      </c>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5468</v>
      </c>
      <c r="B233" s="257" t="s">
        <v>5513</v>
      </c>
      <c r="C233" s="258" t="s">
        <v>5538</v>
      </c>
      <c r="D233" s="261" t="s">
        <v>5539</v>
      </c>
      <c r="E233" s="262" t="s">
        <v>5098</v>
      </c>
      <c r="F233" s="265" t="s">
        <v>5535</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5468</v>
      </c>
      <c r="B234" s="257" t="s">
        <v>5513</v>
      </c>
      <c r="C234" s="258" t="s">
        <v>5540</v>
      </c>
      <c r="D234" s="261" t="s">
        <v>5541</v>
      </c>
      <c r="E234" s="262" t="s">
        <v>5098</v>
      </c>
      <c r="F234" s="265" t="s">
        <v>5535</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5468</v>
      </c>
      <c r="B235" s="257" t="s">
        <v>5513</v>
      </c>
      <c r="C235" s="258" t="s">
        <v>5542</v>
      </c>
      <c r="D235" s="261" t="s">
        <v>5543</v>
      </c>
      <c r="E235" s="262" t="s">
        <v>5165</v>
      </c>
      <c r="F235" s="265" t="s">
        <v>5535</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5468</v>
      </c>
      <c r="B236" s="257" t="s">
        <v>5513</v>
      </c>
      <c r="C236" s="258" t="s">
        <v>5544</v>
      </c>
      <c r="D236" s="261" t="s">
        <v>5545</v>
      </c>
      <c r="E236" s="262" t="s">
        <v>5098</v>
      </c>
      <c r="F236" s="265" t="s">
        <v>5535</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5468</v>
      </c>
      <c r="B237" s="256" t="s">
        <v>1711</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5468</v>
      </c>
      <c r="B238" s="257" t="s">
        <v>1711</v>
      </c>
      <c r="C238" s="258" t="s">
        <v>5546</v>
      </c>
      <c r="D238" s="261" t="s">
        <v>5547</v>
      </c>
      <c r="E238" s="262" t="s">
        <v>5069</v>
      </c>
      <c r="F238" s="265" t="s">
        <v>5548</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5468</v>
      </c>
      <c r="B239" s="257" t="s">
        <v>1711</v>
      </c>
      <c r="C239" s="258" t="s">
        <v>5549</v>
      </c>
      <c r="D239" s="261" t="s">
        <v>5550</v>
      </c>
      <c r="E239" s="262" t="s">
        <v>5069</v>
      </c>
      <c r="F239" s="265" t="s">
        <v>5548</v>
      </c>
      <c r="G239" s="268">
        <f>IF(COUNTIF(H239:AU239,"&lt;&gt;")=0,"",SUMPRODUCT(((Recommendations[ImplStatus]="Implemented")+(Recommendations[ImplStatus]="Compensated"))*ISNUMBER(MATCH(Recommendations[Id],H239:AU239,0)))/COUNTIF(H239:AU239,"&lt;&gt;"))</f>
        <v>0</v>
      </c>
      <c r="H239" s="269" t="s">
        <v>122</v>
      </c>
      <c r="I239" s="269" t="s">
        <v>238</v>
      </c>
      <c r="J239" s="269" t="s">
        <v>244</v>
      </c>
      <c r="K239" s="269" t="s">
        <v>250</v>
      </c>
      <c r="L239" s="269" t="s">
        <v>326</v>
      </c>
      <c r="M239" s="269" t="s">
        <v>344</v>
      </c>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5468</v>
      </c>
      <c r="B240" s="257" t="s">
        <v>1711</v>
      </c>
      <c r="C240" s="258" t="s">
        <v>5551</v>
      </c>
      <c r="D240" s="261" t="s">
        <v>5552</v>
      </c>
      <c r="E240" s="262" t="s">
        <v>5069</v>
      </c>
      <c r="F240" s="265" t="s">
        <v>5548</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5468</v>
      </c>
      <c r="B241" s="257" t="s">
        <v>1711</v>
      </c>
      <c r="C241" s="258" t="s">
        <v>5553</v>
      </c>
      <c r="D241" s="261" t="s">
        <v>5554</v>
      </c>
      <c r="E241" s="262" t="s">
        <v>5069</v>
      </c>
      <c r="F241" s="265" t="s">
        <v>5548</v>
      </c>
      <c r="G241" s="268">
        <f>IF(COUNTIF(H241:AU241,"&lt;&gt;")=0,"",SUMPRODUCT(((Recommendations[ImplStatus]="Implemented")+(Recommendations[ImplStatus]="Compensated"))*ISNUMBER(MATCH(Recommendations[Id],H241:AU241,0)))/COUNTIF(H241:AU241,"&lt;&gt;"))</f>
        <v>0</v>
      </c>
      <c r="H241" s="269" t="s">
        <v>110</v>
      </c>
      <c r="I241" s="269" t="s">
        <v>116</v>
      </c>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5468</v>
      </c>
      <c r="B242" s="257" t="s">
        <v>1711</v>
      </c>
      <c r="C242" s="258" t="s">
        <v>5555</v>
      </c>
      <c r="D242" s="261" t="s">
        <v>5556</v>
      </c>
      <c r="E242" s="262" t="s">
        <v>5069</v>
      </c>
      <c r="F242" s="265" t="s">
        <v>5548</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5468</v>
      </c>
      <c r="B243" s="257" t="s">
        <v>1711</v>
      </c>
      <c r="C243" s="258" t="s">
        <v>5557</v>
      </c>
      <c r="D243" s="261" t="s">
        <v>5558</v>
      </c>
      <c r="E243" s="262" t="s">
        <v>5069</v>
      </c>
      <c r="F243" s="265" t="s">
        <v>5548</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5468</v>
      </c>
      <c r="B244" s="257" t="s">
        <v>1711</v>
      </c>
      <c r="C244" s="258" t="s">
        <v>5559</v>
      </c>
      <c r="D244" s="261" t="s">
        <v>5560</v>
      </c>
      <c r="E244" s="262" t="s">
        <v>5069</v>
      </c>
      <c r="F244" s="265" t="s">
        <v>5548</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5468</v>
      </c>
      <c r="B245" s="257" t="s">
        <v>1711</v>
      </c>
      <c r="C245" s="258" t="s">
        <v>5561</v>
      </c>
      <c r="D245" s="261" t="s">
        <v>5562</v>
      </c>
      <c r="E245" s="262" t="s">
        <v>5069</v>
      </c>
      <c r="F245" s="265" t="s">
        <v>5548</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5468</v>
      </c>
      <c r="B246" s="257" t="s">
        <v>1711</v>
      </c>
      <c r="C246" s="258" t="s">
        <v>5563</v>
      </c>
      <c r="D246" s="261" t="s">
        <v>5564</v>
      </c>
      <c r="E246" s="262" t="s">
        <v>5069</v>
      </c>
      <c r="F246" s="265" t="s">
        <v>5548</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5468</v>
      </c>
      <c r="B247" s="257" t="s">
        <v>1711</v>
      </c>
      <c r="C247" s="258" t="s">
        <v>5565</v>
      </c>
      <c r="D247" s="261" t="s">
        <v>5566</v>
      </c>
      <c r="E247" s="262" t="s">
        <v>5069</v>
      </c>
      <c r="F247" s="265" t="s">
        <v>5548</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5468</v>
      </c>
      <c r="B248" s="257" t="s">
        <v>1711</v>
      </c>
      <c r="C248" s="258" t="s">
        <v>5567</v>
      </c>
      <c r="D248" s="261" t="s">
        <v>5568</v>
      </c>
      <c r="E248" s="262" t="s">
        <v>5098</v>
      </c>
      <c r="F248" s="265" t="s">
        <v>5548</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5468</v>
      </c>
      <c r="B249" s="257" t="s">
        <v>1711</v>
      </c>
      <c r="C249" s="258" t="s">
        <v>5569</v>
      </c>
      <c r="D249" s="261" t="s">
        <v>5570</v>
      </c>
      <c r="E249" s="262" t="s">
        <v>5098</v>
      </c>
      <c r="F249" s="265" t="s">
        <v>5571</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5468</v>
      </c>
      <c r="B250" s="257" t="s">
        <v>1711</v>
      </c>
      <c r="C250" s="258" t="s">
        <v>5572</v>
      </c>
      <c r="D250" s="261" t="s">
        <v>5573</v>
      </c>
      <c r="E250" s="262" t="s">
        <v>5098</v>
      </c>
      <c r="F250" s="265" t="s">
        <v>5571</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5468</v>
      </c>
      <c r="B251" s="256" t="s">
        <v>5574</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5468</v>
      </c>
      <c r="B252" s="257" t="s">
        <v>5574</v>
      </c>
      <c r="C252" s="258" t="s">
        <v>5575</v>
      </c>
      <c r="D252" s="261" t="s">
        <v>5576</v>
      </c>
      <c r="E252" s="262" t="s">
        <v>5165</v>
      </c>
      <c r="F252" s="265" t="s">
        <v>5577</v>
      </c>
      <c r="G252" s="268">
        <f>IF(COUNTIF(H252:AU252,"&lt;&gt;")=0,"",SUMPRODUCT(((Recommendations[ImplStatus]="Implemented")+(Recommendations[ImplStatus]="Compensated"))*ISNUMBER(MATCH(Recommendations[Id],H252:AU252,0)))/COUNTIF(H252:AU252,"&lt;&gt;"))</f>
        <v>0</v>
      </c>
      <c r="H252" s="269" t="s">
        <v>18</v>
      </c>
      <c r="I252" s="269" t="s">
        <v>30</v>
      </c>
      <c r="J252" s="269" t="s">
        <v>36</v>
      </c>
      <c r="K252" s="269" t="s">
        <v>42</v>
      </c>
      <c r="L252" s="269" t="s">
        <v>48</v>
      </c>
      <c r="M252" s="269" t="s">
        <v>53</v>
      </c>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5468</v>
      </c>
      <c r="B253" s="257" t="s">
        <v>5574</v>
      </c>
      <c r="C253" s="258" t="s">
        <v>5578</v>
      </c>
      <c r="D253" s="261" t="s">
        <v>5579</v>
      </c>
      <c r="E253" s="262" t="s">
        <v>5165</v>
      </c>
      <c r="F253" s="265" t="s">
        <v>5577</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5468</v>
      </c>
      <c r="B254" s="257" t="s">
        <v>5574</v>
      </c>
      <c r="C254" s="258" t="s">
        <v>5580</v>
      </c>
      <c r="D254" s="261" t="s">
        <v>5581</v>
      </c>
      <c r="E254" s="262" t="s">
        <v>5165</v>
      </c>
      <c r="F254" s="265" t="s">
        <v>5577</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5468</v>
      </c>
      <c r="B255" s="257" t="s">
        <v>5574</v>
      </c>
      <c r="C255" s="258" t="s">
        <v>5582</v>
      </c>
      <c r="D255" s="261" t="s">
        <v>5583</v>
      </c>
      <c r="E255" s="262" t="s">
        <v>5165</v>
      </c>
      <c r="F255" s="265" t="s">
        <v>5577</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5468</v>
      </c>
      <c r="B256" s="257" t="s">
        <v>5574</v>
      </c>
      <c r="C256" s="258" t="s">
        <v>5584</v>
      </c>
      <c r="D256" s="261" t="s">
        <v>5585</v>
      </c>
      <c r="E256" s="262" t="s">
        <v>5165</v>
      </c>
      <c r="F256" s="265" t="s">
        <v>5577</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5468</v>
      </c>
      <c r="B257" s="257" t="s">
        <v>5574</v>
      </c>
      <c r="C257" s="258" t="s">
        <v>5586</v>
      </c>
      <c r="D257" s="261" t="s">
        <v>5587</v>
      </c>
      <c r="E257" s="262" t="s">
        <v>5069</v>
      </c>
      <c r="F257" s="265" t="s">
        <v>5577</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5468</v>
      </c>
      <c r="B258" s="257" t="s">
        <v>5574</v>
      </c>
      <c r="C258" s="258" t="s">
        <v>5588</v>
      </c>
      <c r="D258" s="261" t="s">
        <v>5589</v>
      </c>
      <c r="E258" s="262" t="s">
        <v>5069</v>
      </c>
      <c r="F258" s="265" t="s">
        <v>5577</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5468</v>
      </c>
      <c r="B259" s="257" t="s">
        <v>5574</v>
      </c>
      <c r="C259" s="258" t="s">
        <v>5590</v>
      </c>
      <c r="D259" s="261" t="s">
        <v>5591</v>
      </c>
      <c r="E259" s="262" t="s">
        <v>5069</v>
      </c>
      <c r="F259" s="265" t="s">
        <v>5577</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5468</v>
      </c>
      <c r="B260" s="257" t="s">
        <v>5574</v>
      </c>
      <c r="C260" s="258" t="s">
        <v>5592</v>
      </c>
      <c r="D260" s="261" t="s">
        <v>5593</v>
      </c>
      <c r="E260" s="262" t="s">
        <v>5069</v>
      </c>
      <c r="F260" s="265" t="s">
        <v>5577</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5468</v>
      </c>
      <c r="B261" s="257" t="s">
        <v>5574</v>
      </c>
      <c r="C261" s="258" t="s">
        <v>5594</v>
      </c>
      <c r="D261" s="261" t="s">
        <v>5595</v>
      </c>
      <c r="E261" s="262" t="s">
        <v>5213</v>
      </c>
      <c r="F261" s="265" t="s">
        <v>5577</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5468</v>
      </c>
      <c r="B262" s="257" t="s">
        <v>5574</v>
      </c>
      <c r="C262" s="258" t="s">
        <v>5596</v>
      </c>
      <c r="D262" s="261" t="s">
        <v>5597</v>
      </c>
      <c r="E262" s="262" t="s">
        <v>5213</v>
      </c>
      <c r="F262" s="265" t="s">
        <v>5577</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5468</v>
      </c>
      <c r="B263" s="257" t="s">
        <v>5574</v>
      </c>
      <c r="C263" s="258" t="s">
        <v>5598</v>
      </c>
      <c r="D263" s="261" t="s">
        <v>5599</v>
      </c>
      <c r="E263" s="262" t="s">
        <v>5213</v>
      </c>
      <c r="F263" s="265" t="s">
        <v>5577</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5468</v>
      </c>
      <c r="B264" s="256" t="s">
        <v>5600</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5468</v>
      </c>
      <c r="B265" s="257" t="s">
        <v>5600</v>
      </c>
      <c r="C265" s="258" t="s">
        <v>5601</v>
      </c>
      <c r="D265" s="261" t="s">
        <v>5602</v>
      </c>
      <c r="E265" s="262" t="s">
        <v>5098</v>
      </c>
      <c r="F265" s="265" t="s">
        <v>5603</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5468</v>
      </c>
      <c r="B266" s="257" t="s">
        <v>5600</v>
      </c>
      <c r="C266" s="258" t="s">
        <v>5604</v>
      </c>
      <c r="D266" s="261" t="s">
        <v>5605</v>
      </c>
      <c r="E266" s="262" t="s">
        <v>5098</v>
      </c>
      <c r="F266" s="265" t="s">
        <v>5603</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5468</v>
      </c>
      <c r="B267" s="257" t="s">
        <v>5600</v>
      </c>
      <c r="C267" s="258" t="s">
        <v>5606</v>
      </c>
      <c r="D267" s="261" t="s">
        <v>5607</v>
      </c>
      <c r="E267" s="262" t="s">
        <v>5098</v>
      </c>
      <c r="F267" s="265" t="s">
        <v>5603</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5468</v>
      </c>
      <c r="B268" s="257" t="s">
        <v>5600</v>
      </c>
      <c r="C268" s="258" t="s">
        <v>5608</v>
      </c>
      <c r="D268" s="261" t="s">
        <v>5609</v>
      </c>
      <c r="E268" s="262" t="s">
        <v>5098</v>
      </c>
      <c r="F268" s="265" t="s">
        <v>5603</v>
      </c>
      <c r="G268" s="268">
        <f>IF(COUNTIF(H268:AU268,"&lt;&gt;")=0,"",SUMPRODUCT(((Recommendations[ImplStatus]="Implemented")+(Recommendations[ImplStatus]="Compensated"))*ISNUMBER(MATCH(Recommendations[Id],H268:AU268,0)))/COUNTIF(H268:AU268,"&lt;&gt;"))</f>
        <v>0</v>
      </c>
      <c r="H268" s="269" t="s">
        <v>79</v>
      </c>
      <c r="I268" s="269" t="s">
        <v>85</v>
      </c>
      <c r="J268" s="269" t="s">
        <v>201</v>
      </c>
      <c r="K268" s="269" t="s">
        <v>207</v>
      </c>
      <c r="L268" s="269" t="s">
        <v>213</v>
      </c>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5468</v>
      </c>
      <c r="B269" s="257" t="s">
        <v>5600</v>
      </c>
      <c r="C269" s="258" t="s">
        <v>5610</v>
      </c>
      <c r="D269" s="261" t="s">
        <v>5611</v>
      </c>
      <c r="E269" s="262" t="s">
        <v>5098</v>
      </c>
      <c r="F269" s="265" t="s">
        <v>5603</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5468</v>
      </c>
      <c r="B270" s="257" t="s">
        <v>5600</v>
      </c>
      <c r="C270" s="258" t="s">
        <v>5612</v>
      </c>
      <c r="D270" s="261" t="s">
        <v>5613</v>
      </c>
      <c r="E270" s="262" t="s">
        <v>5098</v>
      </c>
      <c r="F270" s="265" t="s">
        <v>5603</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5468</v>
      </c>
      <c r="B271" s="257" t="s">
        <v>5600</v>
      </c>
      <c r="C271" s="258" t="s">
        <v>5614</v>
      </c>
      <c r="D271" s="261" t="s">
        <v>5615</v>
      </c>
      <c r="E271" s="262" t="s">
        <v>5098</v>
      </c>
      <c r="F271" s="265" t="s">
        <v>5603</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5468</v>
      </c>
      <c r="B272" s="257" t="s">
        <v>5600</v>
      </c>
      <c r="C272" s="258" t="s">
        <v>5616</v>
      </c>
      <c r="D272" s="261" t="s">
        <v>5617</v>
      </c>
      <c r="E272" s="262" t="s">
        <v>5098</v>
      </c>
      <c r="F272" s="265" t="s">
        <v>5603</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5468</v>
      </c>
      <c r="B273" s="257" t="s">
        <v>5600</v>
      </c>
      <c r="C273" s="258" t="s">
        <v>5618</v>
      </c>
      <c r="D273" s="261" t="s">
        <v>5619</v>
      </c>
      <c r="E273" s="262" t="s">
        <v>5098</v>
      </c>
      <c r="F273" s="265" t="s">
        <v>5603</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5620</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5620</v>
      </c>
      <c r="B275" s="256" t="s">
        <v>5621</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5620</v>
      </c>
      <c r="B276" s="257" t="s">
        <v>5621</v>
      </c>
      <c r="C276" s="258" t="s">
        <v>5622</v>
      </c>
      <c r="D276" s="261" t="s">
        <v>5623</v>
      </c>
      <c r="E276" s="262" t="s">
        <v>5069</v>
      </c>
      <c r="F276" s="265" t="s">
        <v>5624</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5620</v>
      </c>
      <c r="B277" s="257" t="s">
        <v>5621</v>
      </c>
      <c r="C277" s="258" t="s">
        <v>5625</v>
      </c>
      <c r="D277" s="261" t="s">
        <v>5626</v>
      </c>
      <c r="E277" s="262" t="s">
        <v>5069</v>
      </c>
      <c r="F277" s="265" t="s">
        <v>5624</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5620</v>
      </c>
      <c r="B278" s="257" t="s">
        <v>5621</v>
      </c>
      <c r="C278" s="258" t="s">
        <v>5627</v>
      </c>
      <c r="D278" s="261" t="s">
        <v>5628</v>
      </c>
      <c r="E278" s="262" t="s">
        <v>5069</v>
      </c>
      <c r="F278" s="265" t="s">
        <v>5624</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5620</v>
      </c>
      <c r="B279" s="257" t="s">
        <v>5621</v>
      </c>
      <c r="C279" s="258" t="s">
        <v>5629</v>
      </c>
      <c r="D279" s="261" t="s">
        <v>5630</v>
      </c>
      <c r="E279" s="262" t="s">
        <v>5069</v>
      </c>
      <c r="F279" s="265" t="s">
        <v>5624</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5620</v>
      </c>
      <c r="B280" s="257" t="s">
        <v>5621</v>
      </c>
      <c r="C280" s="258" t="s">
        <v>5631</v>
      </c>
      <c r="D280" s="261" t="s">
        <v>5632</v>
      </c>
      <c r="E280" s="262" t="s">
        <v>5069</v>
      </c>
      <c r="F280" s="265" t="s">
        <v>5624</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5620</v>
      </c>
      <c r="B281" s="257" t="s">
        <v>5621</v>
      </c>
      <c r="C281" s="258" t="s">
        <v>5633</v>
      </c>
      <c r="D281" s="261" t="s">
        <v>5634</v>
      </c>
      <c r="E281" s="262" t="s">
        <v>5069</v>
      </c>
      <c r="F281" s="265" t="s">
        <v>5624</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5620</v>
      </c>
      <c r="B282" s="257" t="s">
        <v>5621</v>
      </c>
      <c r="C282" s="258" t="s">
        <v>5635</v>
      </c>
      <c r="D282" s="261" t="s">
        <v>5636</v>
      </c>
      <c r="E282" s="262" t="s">
        <v>5069</v>
      </c>
      <c r="F282" s="265" t="s">
        <v>5624</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5620</v>
      </c>
      <c r="B283" s="257" t="s">
        <v>5621</v>
      </c>
      <c r="C283" s="258" t="s">
        <v>5637</v>
      </c>
      <c r="D283" s="261" t="s">
        <v>5638</v>
      </c>
      <c r="E283" s="262" t="s">
        <v>5165</v>
      </c>
      <c r="F283" s="265" t="s">
        <v>5639</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5620</v>
      </c>
      <c r="B284" s="257" t="s">
        <v>5621</v>
      </c>
      <c r="C284" s="258" t="s">
        <v>5640</v>
      </c>
      <c r="D284" s="261" t="s">
        <v>5641</v>
      </c>
      <c r="E284" s="262" t="s">
        <v>5165</v>
      </c>
      <c r="F284" s="265" t="s">
        <v>5639</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5620</v>
      </c>
      <c r="B285" s="257" t="s">
        <v>5621</v>
      </c>
      <c r="C285" s="258" t="s">
        <v>5642</v>
      </c>
      <c r="D285" s="261" t="s">
        <v>5643</v>
      </c>
      <c r="E285" s="262" t="s">
        <v>5069</v>
      </c>
      <c r="F285" s="265" t="s">
        <v>5639</v>
      </c>
      <c r="G285" s="268">
        <f>IF(COUNTIF(H285:AU285,"&lt;&gt;")=0,"",SUMPRODUCT(((Recommendations[ImplStatus]="Implemented")+(Recommendations[ImplStatus]="Compensated"))*ISNUMBER(MATCH(Recommendations[Id],H285:AU285,0)))/COUNTIF(H285:AU285,"&lt;&gt;"))</f>
        <v>0</v>
      </c>
      <c r="H285" s="269" t="s">
        <v>146</v>
      </c>
      <c r="I285" s="269" t="s">
        <v>152</v>
      </c>
      <c r="J285" s="269" t="s">
        <v>158</v>
      </c>
      <c r="K285" s="269" t="s">
        <v>314</v>
      </c>
      <c r="L285" s="269" t="s">
        <v>332</v>
      </c>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5620</v>
      </c>
      <c r="B286" s="257" t="s">
        <v>5621</v>
      </c>
      <c r="C286" s="258" t="s">
        <v>5644</v>
      </c>
      <c r="D286" s="261" t="s">
        <v>5645</v>
      </c>
      <c r="E286" s="262" t="s">
        <v>5098</v>
      </c>
      <c r="F286" s="265" t="s">
        <v>5639</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5620</v>
      </c>
      <c r="B287" s="257" t="s">
        <v>5621</v>
      </c>
      <c r="C287" s="258" t="s">
        <v>5646</v>
      </c>
      <c r="D287" s="261" t="s">
        <v>5647</v>
      </c>
      <c r="E287" s="262" t="s">
        <v>5098</v>
      </c>
      <c r="F287" s="265" t="s">
        <v>5639</v>
      </c>
      <c r="G287" s="268">
        <f>IF(COUNTIF(H287:AU287,"&lt;&gt;")=0,"",SUMPRODUCT(((Recommendations[ImplStatus]="Implemented")+(Recommendations[ImplStatus]="Compensated"))*ISNUMBER(MATCH(Recommendations[Id],H287:AU287,0)))/COUNTIF(H287:AU287,"&lt;&gt;"))</f>
        <v>0</v>
      </c>
      <c r="H287" s="269" t="s">
        <v>128</v>
      </c>
      <c r="I287" s="269" t="s">
        <v>158</v>
      </c>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5620</v>
      </c>
      <c r="B288" s="257" t="s">
        <v>5621</v>
      </c>
      <c r="C288" s="258" t="s">
        <v>5648</v>
      </c>
      <c r="D288" s="261" t="s">
        <v>5649</v>
      </c>
      <c r="E288" s="262" t="s">
        <v>5098</v>
      </c>
      <c r="F288" s="265" t="s">
        <v>5639</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5620</v>
      </c>
      <c r="B289" s="257" t="s">
        <v>5621</v>
      </c>
      <c r="C289" s="258" t="s">
        <v>5650</v>
      </c>
      <c r="D289" s="261" t="s">
        <v>5651</v>
      </c>
      <c r="E289" s="262" t="s">
        <v>5098</v>
      </c>
      <c r="F289" s="265" t="s">
        <v>5639</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5620</v>
      </c>
      <c r="B290" s="257" t="s">
        <v>5621</v>
      </c>
      <c r="C290" s="258" t="s">
        <v>5652</v>
      </c>
      <c r="D290" s="261" t="s">
        <v>5653</v>
      </c>
      <c r="E290" s="262" t="s">
        <v>5069</v>
      </c>
      <c r="F290" s="265" t="s">
        <v>5639</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5620</v>
      </c>
      <c r="B291" s="257" t="s">
        <v>5621</v>
      </c>
      <c r="C291" s="258" t="s">
        <v>5654</v>
      </c>
      <c r="D291" s="261" t="s">
        <v>5655</v>
      </c>
      <c r="E291" s="262" t="s">
        <v>5098</v>
      </c>
      <c r="F291" s="265" t="s">
        <v>5656</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5620</v>
      </c>
      <c r="B292" s="257" t="s">
        <v>5621</v>
      </c>
      <c r="C292" s="258" t="s">
        <v>5657</v>
      </c>
      <c r="D292" s="261" t="s">
        <v>5658</v>
      </c>
      <c r="E292" s="262" t="s">
        <v>5098</v>
      </c>
      <c r="F292" s="265" t="s">
        <v>5656</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5620</v>
      </c>
      <c r="B293" s="257" t="s">
        <v>5621</v>
      </c>
      <c r="C293" s="258" t="s">
        <v>5659</v>
      </c>
      <c r="D293" s="261" t="s">
        <v>5660</v>
      </c>
      <c r="E293" s="262" t="s">
        <v>5348</v>
      </c>
      <c r="F293" s="265" t="s">
        <v>5639</v>
      </c>
      <c r="G293" s="268">
        <f>IF(COUNTIF(H293:AU293,"&lt;&gt;")=0,"",SUMPRODUCT(((Recommendations[ImplStatus]="Implemented")+(Recommendations[ImplStatus]="Compensated"))*ISNUMBER(MATCH(Recommendations[Id],H293:AU293,0)))/COUNTIF(H293:AU293,"&lt;&gt;"))</f>
        <v>0</v>
      </c>
      <c r="H293" s="269" t="s">
        <v>133</v>
      </c>
      <c r="I293" s="269" t="s">
        <v>140</v>
      </c>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5620</v>
      </c>
      <c r="B294" s="257" t="s">
        <v>5621</v>
      </c>
      <c r="C294" s="258" t="s">
        <v>5661</v>
      </c>
      <c r="D294" s="261" t="s">
        <v>5662</v>
      </c>
      <c r="E294" s="262" t="s">
        <v>5348</v>
      </c>
      <c r="F294" s="265" t="s">
        <v>5639</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5620</v>
      </c>
      <c r="B295" s="257" t="s">
        <v>5621</v>
      </c>
      <c r="C295" s="258" t="s">
        <v>5663</v>
      </c>
      <c r="D295" s="261" t="s">
        <v>5664</v>
      </c>
      <c r="E295" s="262" t="s">
        <v>5165</v>
      </c>
      <c r="F295" s="265" t="s">
        <v>5639</v>
      </c>
      <c r="G295" s="268">
        <f>IF(COUNTIF(H295:AU295,"&lt;&gt;")=0,"",SUMPRODUCT(((Recommendations[ImplStatus]="Implemented")+(Recommendations[ImplStatus]="Compensated"))*ISNUMBER(MATCH(Recommendations[Id],H295:AU295,0)))/COUNTIF(H295:AU295,"&lt;&gt;"))</f>
        <v>0</v>
      </c>
      <c r="H295" s="269" t="s">
        <v>256</v>
      </c>
      <c r="I295" s="269" t="s">
        <v>262</v>
      </c>
      <c r="J295" s="269" t="s">
        <v>268</v>
      </c>
      <c r="K295" s="269" t="s">
        <v>274</v>
      </c>
      <c r="L295" s="269" t="s">
        <v>279</v>
      </c>
      <c r="M295" s="269" t="s">
        <v>284</v>
      </c>
      <c r="N295" s="269" t="s">
        <v>289</v>
      </c>
      <c r="O295" s="269" t="s">
        <v>295</v>
      </c>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5620</v>
      </c>
      <c r="B296" s="257" t="s">
        <v>5621</v>
      </c>
      <c r="C296" s="258" t="s">
        <v>5665</v>
      </c>
      <c r="D296" s="261" t="s">
        <v>5666</v>
      </c>
      <c r="E296" s="262" t="s">
        <v>5165</v>
      </c>
      <c r="F296" s="265" t="s">
        <v>5639</v>
      </c>
      <c r="G296" s="268">
        <f>IF(COUNTIF(H296:AU296,"&lt;&gt;")=0,"",SUMPRODUCT(((Recommendations[ImplStatus]="Implemented")+(Recommendations[ImplStatus]="Compensated"))*ISNUMBER(MATCH(Recommendations[Id],H296:AU296,0)))/COUNTIF(H296:AU296,"&lt;&gt;"))</f>
        <v>0</v>
      </c>
      <c r="H296" s="269" t="s">
        <v>262</v>
      </c>
      <c r="I296" s="269" t="s">
        <v>268</v>
      </c>
      <c r="J296" s="269" t="s">
        <v>274</v>
      </c>
      <c r="K296" s="269" t="s">
        <v>279</v>
      </c>
      <c r="L296" s="269" t="s">
        <v>284</v>
      </c>
      <c r="M296" s="269" t="s">
        <v>289</v>
      </c>
      <c r="N296" s="269" t="s">
        <v>295</v>
      </c>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5620</v>
      </c>
      <c r="B297" s="257" t="s">
        <v>5621</v>
      </c>
      <c r="C297" s="258" t="s">
        <v>5667</v>
      </c>
      <c r="D297" s="261" t="s">
        <v>5668</v>
      </c>
      <c r="E297" s="262" t="s">
        <v>5069</v>
      </c>
      <c r="F297" s="265" t="s">
        <v>5639</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5620</v>
      </c>
      <c r="B298" s="257" t="s">
        <v>5621</v>
      </c>
      <c r="C298" s="258" t="s">
        <v>5669</v>
      </c>
      <c r="D298" s="261" t="s">
        <v>5670</v>
      </c>
      <c r="E298" s="262" t="s">
        <v>5165</v>
      </c>
      <c r="F298" s="265" t="s">
        <v>5639</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5620</v>
      </c>
      <c r="B299" s="257" t="s">
        <v>5621</v>
      </c>
      <c r="C299" s="258" t="s">
        <v>5671</v>
      </c>
      <c r="D299" s="261" t="s">
        <v>5672</v>
      </c>
      <c r="E299" s="262" t="s">
        <v>5098</v>
      </c>
      <c r="F299" s="265" t="s">
        <v>5639</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5620</v>
      </c>
      <c r="B300" s="257" t="s">
        <v>5621</v>
      </c>
      <c r="C300" s="258" t="s">
        <v>5673</v>
      </c>
      <c r="D300" s="261" t="s">
        <v>5674</v>
      </c>
      <c r="E300" s="262" t="s">
        <v>5165</v>
      </c>
      <c r="F300" s="265" t="s">
        <v>5639</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5620</v>
      </c>
      <c r="B301" s="257" t="s">
        <v>5621</v>
      </c>
      <c r="C301" s="258" t="s">
        <v>5675</v>
      </c>
      <c r="D301" s="261" t="s">
        <v>5676</v>
      </c>
      <c r="E301" s="262" t="s">
        <v>5213</v>
      </c>
      <c r="F301" s="265" t="s">
        <v>5639</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5620</v>
      </c>
      <c r="B302" s="257" t="s">
        <v>5621</v>
      </c>
      <c r="C302" s="258" t="s">
        <v>5677</v>
      </c>
      <c r="D302" s="261" t="s">
        <v>5678</v>
      </c>
      <c r="E302" s="262" t="s">
        <v>5213</v>
      </c>
      <c r="F302" s="265" t="s">
        <v>5639</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5620</v>
      </c>
      <c r="B303" s="256" t="s">
        <v>1444</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5620</v>
      </c>
      <c r="B304" s="257" t="s">
        <v>1444</v>
      </c>
      <c r="C304" s="258" t="s">
        <v>5679</v>
      </c>
      <c r="D304" s="261" t="s">
        <v>5680</v>
      </c>
      <c r="E304" s="262" t="s">
        <v>5069</v>
      </c>
      <c r="F304" s="265" t="s">
        <v>5681</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5620</v>
      </c>
      <c r="B305" s="257" t="s">
        <v>1444</v>
      </c>
      <c r="C305" s="258" t="s">
        <v>5682</v>
      </c>
      <c r="D305" s="261" t="s">
        <v>5683</v>
      </c>
      <c r="E305" s="262" t="s">
        <v>5069</v>
      </c>
      <c r="F305" s="265" t="s">
        <v>5681</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5620</v>
      </c>
      <c r="B306" s="257" t="s">
        <v>1444</v>
      </c>
      <c r="C306" s="258" t="s">
        <v>5684</v>
      </c>
      <c r="D306" s="261" t="s">
        <v>5685</v>
      </c>
      <c r="E306" s="262" t="s">
        <v>5069</v>
      </c>
      <c r="F306" s="265" t="s">
        <v>5681</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5620</v>
      </c>
      <c r="B307" s="257" t="s">
        <v>1444</v>
      </c>
      <c r="C307" s="258" t="s">
        <v>5686</v>
      </c>
      <c r="D307" s="261" t="s">
        <v>5687</v>
      </c>
      <c r="E307" s="262" t="s">
        <v>5069</v>
      </c>
      <c r="F307" s="265" t="s">
        <v>5681</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5620</v>
      </c>
      <c r="B308" s="257" t="s">
        <v>1444</v>
      </c>
      <c r="C308" s="258" t="s">
        <v>5688</v>
      </c>
      <c r="D308" s="261" t="s">
        <v>5689</v>
      </c>
      <c r="E308" s="262" t="s">
        <v>5165</v>
      </c>
      <c r="F308" s="265" t="s">
        <v>5681</v>
      </c>
      <c r="G308" s="268">
        <f>IF(COUNTIF(H308:AU308,"&lt;&gt;")=0,"",SUMPRODUCT(((Recommendations[ImplStatus]="Implemented")+(Recommendations[ImplStatus]="Compensated"))*ISNUMBER(MATCH(Recommendations[Id],H308:AU308,0)))/COUNTIF(H308:AU308,"&lt;&gt;"))</f>
        <v>0</v>
      </c>
      <c r="H308" s="269" t="s">
        <v>301</v>
      </c>
      <c r="I308" s="269" t="s">
        <v>307</v>
      </c>
      <c r="J308" s="269" t="s">
        <v>314</v>
      </c>
      <c r="K308" s="269" t="s">
        <v>320</v>
      </c>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5620</v>
      </c>
      <c r="B309" s="257" t="s">
        <v>1444</v>
      </c>
      <c r="C309" s="258" t="s">
        <v>5690</v>
      </c>
      <c r="D309" s="261" t="s">
        <v>5691</v>
      </c>
      <c r="E309" s="262" t="s">
        <v>5165</v>
      </c>
      <c r="F309" s="265" t="s">
        <v>5681</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5620</v>
      </c>
      <c r="B310" s="257" t="s">
        <v>1444</v>
      </c>
      <c r="C310" s="258" t="s">
        <v>5692</v>
      </c>
      <c r="D310" s="261" t="s">
        <v>5693</v>
      </c>
      <c r="E310" s="262" t="s">
        <v>5165</v>
      </c>
      <c r="F310" s="265" t="s">
        <v>5681</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5620</v>
      </c>
      <c r="B311" s="257" t="s">
        <v>1444</v>
      </c>
      <c r="C311" s="258" t="s">
        <v>5694</v>
      </c>
      <c r="D311" s="261" t="s">
        <v>5695</v>
      </c>
      <c r="E311" s="262" t="s">
        <v>5165</v>
      </c>
      <c r="F311" s="265" t="s">
        <v>5681</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5620</v>
      </c>
      <c r="B312" s="257" t="s">
        <v>1444</v>
      </c>
      <c r="C312" s="258" t="s">
        <v>5696</v>
      </c>
      <c r="D312" s="261" t="s">
        <v>5697</v>
      </c>
      <c r="E312" s="262" t="s">
        <v>5165</v>
      </c>
      <c r="F312" s="265" t="s">
        <v>5681</v>
      </c>
      <c r="G312" s="268">
        <f>IF(COUNTIF(H312:AU312,"&lt;&gt;")=0,"",SUMPRODUCT(((Recommendations[ImplStatus]="Implemented")+(Recommendations[ImplStatus]="Compensated"))*ISNUMBER(MATCH(Recommendations[Id],H312:AU312,0)))/COUNTIF(H312:AU312,"&lt;&gt;"))</f>
        <v>0</v>
      </c>
      <c r="H312" s="269" t="s">
        <v>301</v>
      </c>
      <c r="I312" s="269" t="s">
        <v>307</v>
      </c>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5620</v>
      </c>
      <c r="B313" s="257" t="s">
        <v>1444</v>
      </c>
      <c r="C313" s="258" t="s">
        <v>5698</v>
      </c>
      <c r="D313" s="261" t="s">
        <v>5699</v>
      </c>
      <c r="E313" s="262" t="s">
        <v>5098</v>
      </c>
      <c r="F313" s="265" t="s">
        <v>5681</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5620</v>
      </c>
      <c r="B314" s="257" t="s">
        <v>1444</v>
      </c>
      <c r="C314" s="258" t="s">
        <v>5700</v>
      </c>
      <c r="D314" s="261" t="s">
        <v>5701</v>
      </c>
      <c r="E314" s="262" t="s">
        <v>5098</v>
      </c>
      <c r="F314" s="265" t="s">
        <v>5681</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5620</v>
      </c>
      <c r="B315" s="257" t="s">
        <v>1444</v>
      </c>
      <c r="C315" s="258" t="s">
        <v>5702</v>
      </c>
      <c r="D315" s="261" t="s">
        <v>5703</v>
      </c>
      <c r="E315" s="262" t="s">
        <v>5098</v>
      </c>
      <c r="F315" s="265" t="s">
        <v>5681</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5620</v>
      </c>
      <c r="B316" s="257" t="s">
        <v>1444</v>
      </c>
      <c r="C316" s="258" t="s">
        <v>5704</v>
      </c>
      <c r="D316" s="261" t="s">
        <v>5705</v>
      </c>
      <c r="E316" s="262" t="s">
        <v>5098</v>
      </c>
      <c r="F316" s="265" t="s">
        <v>5681</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5620</v>
      </c>
      <c r="B317" s="257" t="s">
        <v>1444</v>
      </c>
      <c r="C317" s="258" t="s">
        <v>5706</v>
      </c>
      <c r="D317" s="261" t="s">
        <v>5707</v>
      </c>
      <c r="E317" s="262" t="s">
        <v>5165</v>
      </c>
      <c r="F317" s="265" t="s">
        <v>5639</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5620</v>
      </c>
      <c r="B318" s="257" t="s">
        <v>1444</v>
      </c>
      <c r="C318" s="258" t="s">
        <v>5708</v>
      </c>
      <c r="D318" s="261" t="s">
        <v>5709</v>
      </c>
      <c r="E318" s="262" t="s">
        <v>5213</v>
      </c>
      <c r="F318" s="265" t="s">
        <v>5639</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5620</v>
      </c>
      <c r="B319" s="257" t="s">
        <v>1444</v>
      </c>
      <c r="C319" s="258" t="s">
        <v>5710</v>
      </c>
      <c r="D319" s="261" t="s">
        <v>5711</v>
      </c>
      <c r="E319" s="262" t="s">
        <v>5213</v>
      </c>
      <c r="F319" s="265" t="s">
        <v>5639</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5620</v>
      </c>
      <c r="B320" s="256" t="s">
        <v>5712</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5620</v>
      </c>
      <c r="B321" s="257" t="s">
        <v>5712</v>
      </c>
      <c r="C321" s="258" t="s">
        <v>5713</v>
      </c>
      <c r="D321" s="261" t="s">
        <v>5714</v>
      </c>
      <c r="E321" s="262" t="s">
        <v>5098</v>
      </c>
      <c r="F321" s="265" t="s">
        <v>5715</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5620</v>
      </c>
      <c r="B322" s="257" t="s">
        <v>5712</v>
      </c>
      <c r="C322" s="258" t="s">
        <v>5716</v>
      </c>
      <c r="D322" s="261" t="s">
        <v>5717</v>
      </c>
      <c r="E322" s="262" t="s">
        <v>5098</v>
      </c>
      <c r="F322" s="265" t="s">
        <v>5715</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5620</v>
      </c>
      <c r="B323" s="257" t="s">
        <v>5712</v>
      </c>
      <c r="C323" s="258" t="s">
        <v>5718</v>
      </c>
      <c r="D323" s="261" t="s">
        <v>5719</v>
      </c>
      <c r="E323" s="262" t="s">
        <v>5098</v>
      </c>
      <c r="F323" s="265" t="s">
        <v>5715</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5620</v>
      </c>
      <c r="B324" s="257" t="s">
        <v>5712</v>
      </c>
      <c r="C324" s="258" t="s">
        <v>5720</v>
      </c>
      <c r="D324" s="261" t="s">
        <v>5721</v>
      </c>
      <c r="E324" s="262" t="s">
        <v>5098</v>
      </c>
      <c r="F324" s="265" t="s">
        <v>5715</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5620</v>
      </c>
      <c r="B325" s="257" t="s">
        <v>5712</v>
      </c>
      <c r="C325" s="258" t="s">
        <v>5722</v>
      </c>
      <c r="D325" s="261" t="s">
        <v>5723</v>
      </c>
      <c r="E325" s="262" t="s">
        <v>5098</v>
      </c>
      <c r="F325" s="265" t="s">
        <v>5715</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5620</v>
      </c>
      <c r="B326" s="257" t="s">
        <v>5712</v>
      </c>
      <c r="C326" s="258" t="s">
        <v>5724</v>
      </c>
      <c r="D326" s="261" t="s">
        <v>5725</v>
      </c>
      <c r="E326" s="262" t="s">
        <v>5098</v>
      </c>
      <c r="F326" s="265" t="s">
        <v>5715</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5620</v>
      </c>
      <c r="B327" s="257" t="s">
        <v>5712</v>
      </c>
      <c r="C327" s="258" t="s">
        <v>5726</v>
      </c>
      <c r="D327" s="261" t="s">
        <v>5727</v>
      </c>
      <c r="E327" s="262" t="s">
        <v>5098</v>
      </c>
      <c r="F327" s="265" t="s">
        <v>5715</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5620</v>
      </c>
      <c r="B328" s="257" t="s">
        <v>5712</v>
      </c>
      <c r="C328" s="258" t="s">
        <v>5728</v>
      </c>
      <c r="D328" s="261" t="s">
        <v>5729</v>
      </c>
      <c r="E328" s="262" t="s">
        <v>5098</v>
      </c>
      <c r="F328" s="265" t="s">
        <v>5715</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5620</v>
      </c>
      <c r="B329" s="257" t="s">
        <v>5712</v>
      </c>
      <c r="C329" s="258" t="s">
        <v>5730</v>
      </c>
      <c r="D329" s="261" t="s">
        <v>5731</v>
      </c>
      <c r="E329" s="262" t="s">
        <v>5098</v>
      </c>
      <c r="F329" s="265" t="s">
        <v>5715</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5620</v>
      </c>
      <c r="B330" s="257" t="s">
        <v>5712</v>
      </c>
      <c r="C330" s="258" t="s">
        <v>5732</v>
      </c>
      <c r="D330" s="261" t="s">
        <v>5733</v>
      </c>
      <c r="E330" s="262" t="s">
        <v>5098</v>
      </c>
      <c r="F330" s="265" t="s">
        <v>5715</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5620</v>
      </c>
      <c r="B331" s="257" t="s">
        <v>5712</v>
      </c>
      <c r="C331" s="258" t="s">
        <v>5734</v>
      </c>
      <c r="D331" s="261" t="s">
        <v>5735</v>
      </c>
      <c r="E331" s="262" t="s">
        <v>5098</v>
      </c>
      <c r="F331" s="265" t="s">
        <v>5715</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5620</v>
      </c>
      <c r="B332" s="257" t="s">
        <v>5712</v>
      </c>
      <c r="C332" s="258" t="s">
        <v>5736</v>
      </c>
      <c r="D332" s="261" t="s">
        <v>5737</v>
      </c>
      <c r="E332" s="262" t="s">
        <v>5098</v>
      </c>
      <c r="F332" s="265" t="s">
        <v>5715</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5620</v>
      </c>
      <c r="B333" s="257" t="s">
        <v>5712</v>
      </c>
      <c r="C333" s="258" t="s">
        <v>5738</v>
      </c>
      <c r="D333" s="261" t="s">
        <v>5739</v>
      </c>
      <c r="E333" s="262" t="s">
        <v>5098</v>
      </c>
      <c r="F333" s="265" t="s">
        <v>5715</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5620</v>
      </c>
      <c r="B334" s="257" t="s">
        <v>5712</v>
      </c>
      <c r="C334" s="258" t="s">
        <v>5740</v>
      </c>
      <c r="D334" s="261" t="s">
        <v>5741</v>
      </c>
      <c r="E334" s="262" t="s">
        <v>5098</v>
      </c>
      <c r="F334" s="265" t="s">
        <v>5715</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5620</v>
      </c>
      <c r="B335" s="257" t="s">
        <v>5712</v>
      </c>
      <c r="C335" s="258" t="s">
        <v>5742</v>
      </c>
      <c r="D335" s="261" t="s">
        <v>5743</v>
      </c>
      <c r="E335" s="262" t="s">
        <v>5098</v>
      </c>
      <c r="F335" s="265" t="s">
        <v>5715</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5620</v>
      </c>
      <c r="B336" s="257" t="s">
        <v>5712</v>
      </c>
      <c r="C336" s="258" t="s">
        <v>5744</v>
      </c>
      <c r="D336" s="261" t="s">
        <v>5745</v>
      </c>
      <c r="E336" s="262" t="s">
        <v>5213</v>
      </c>
      <c r="F336" s="265" t="s">
        <v>5715</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5620</v>
      </c>
      <c r="B337" s="257" t="s">
        <v>5712</v>
      </c>
      <c r="C337" s="258" t="s">
        <v>5746</v>
      </c>
      <c r="D337" s="261" t="s">
        <v>5747</v>
      </c>
      <c r="E337" s="262" t="s">
        <v>5213</v>
      </c>
      <c r="F337" s="265" t="s">
        <v>5715</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5620</v>
      </c>
      <c r="B338" s="257" t="s">
        <v>5712</v>
      </c>
      <c r="C338" s="258" t="s">
        <v>5748</v>
      </c>
      <c r="D338" s="261" t="s">
        <v>5749</v>
      </c>
      <c r="E338" s="262" t="s">
        <v>5098</v>
      </c>
      <c r="F338" s="265" t="s">
        <v>5715</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5620</v>
      </c>
      <c r="B339" s="257" t="s">
        <v>5712</v>
      </c>
      <c r="C339" s="258" t="s">
        <v>5750</v>
      </c>
      <c r="D339" s="261" t="s">
        <v>5751</v>
      </c>
      <c r="E339" s="262" t="s">
        <v>5098</v>
      </c>
      <c r="F339" s="265" t="s">
        <v>5715</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5620</v>
      </c>
      <c r="B340" s="256" t="s">
        <v>5752</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5620</v>
      </c>
      <c r="B341" s="257" t="s">
        <v>5752</v>
      </c>
      <c r="C341" s="258" t="s">
        <v>5753</v>
      </c>
      <c r="D341" s="261" t="s">
        <v>5754</v>
      </c>
      <c r="E341" s="262" t="s">
        <v>5069</v>
      </c>
      <c r="F341" s="265" t="s">
        <v>5639</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5620</v>
      </c>
      <c r="B342" s="257" t="s">
        <v>5752</v>
      </c>
      <c r="C342" s="258" t="s">
        <v>5755</v>
      </c>
      <c r="D342" s="261" t="s">
        <v>5756</v>
      </c>
      <c r="E342" s="262" t="s">
        <v>5069</v>
      </c>
      <c r="F342" s="265" t="s">
        <v>5639</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5620</v>
      </c>
      <c r="B343" s="257" t="s">
        <v>5752</v>
      </c>
      <c r="C343" s="258" t="s">
        <v>5757</v>
      </c>
      <c r="D343" s="261" t="s">
        <v>5758</v>
      </c>
      <c r="E343" s="262" t="s">
        <v>5165</v>
      </c>
      <c r="F343" s="265" t="s">
        <v>5759</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5620</v>
      </c>
      <c r="B344" s="257" t="s">
        <v>5752</v>
      </c>
      <c r="C344" s="258" t="s">
        <v>5760</v>
      </c>
      <c r="D344" s="261" t="s">
        <v>5761</v>
      </c>
      <c r="E344" s="262" t="s">
        <v>5098</v>
      </c>
      <c r="F344" s="265" t="s">
        <v>5759</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5620</v>
      </c>
      <c r="B345" s="257" t="s">
        <v>5752</v>
      </c>
      <c r="C345" s="258" t="s">
        <v>5762</v>
      </c>
      <c r="D345" s="261" t="s">
        <v>5763</v>
      </c>
      <c r="E345" s="262" t="s">
        <v>5098</v>
      </c>
      <c r="F345" s="265" t="s">
        <v>5759</v>
      </c>
      <c r="G345" s="268">
        <f>IF(COUNTIF(H345:AU345,"&lt;&gt;")=0,"",SUMPRODUCT(((Recommendations[ImplStatus]="Implemented")+(Recommendations[ImplStatus]="Compensated"))*ISNUMBER(MATCH(Recommendations[Id],H345:AU345,0)))/COUNTIF(H345:AU345,"&lt;&gt;"))</f>
        <v>0</v>
      </c>
      <c r="H345" s="269" t="s">
        <v>152</v>
      </c>
      <c r="I345" s="269" t="s">
        <v>188</v>
      </c>
      <c r="J345" s="269" t="s">
        <v>220</v>
      </c>
      <c r="K345" s="269" t="s">
        <v>238</v>
      </c>
      <c r="L345" s="269" t="s">
        <v>244</v>
      </c>
      <c r="M345" s="269" t="s">
        <v>250</v>
      </c>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5620</v>
      </c>
      <c r="B346" s="257" t="s">
        <v>5752</v>
      </c>
      <c r="C346" s="258" t="s">
        <v>5764</v>
      </c>
      <c r="D346" s="261" t="s">
        <v>5765</v>
      </c>
      <c r="E346" s="262" t="s">
        <v>5098</v>
      </c>
      <c r="F346" s="265" t="s">
        <v>5759</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5620</v>
      </c>
      <c r="B347" s="257" t="s">
        <v>5752</v>
      </c>
      <c r="C347" s="258" t="s">
        <v>5766</v>
      </c>
      <c r="D347" s="261" t="s">
        <v>5767</v>
      </c>
      <c r="E347" s="262" t="s">
        <v>5098</v>
      </c>
      <c r="F347" s="265" t="s">
        <v>5759</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5620</v>
      </c>
      <c r="B348" s="257" t="s">
        <v>5752</v>
      </c>
      <c r="C348" s="258" t="s">
        <v>5768</v>
      </c>
      <c r="D348" s="261" t="s">
        <v>5769</v>
      </c>
      <c r="E348" s="262" t="s">
        <v>5098</v>
      </c>
      <c r="F348" s="265" t="s">
        <v>5759</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5620</v>
      </c>
      <c r="B349" s="257" t="s">
        <v>5752</v>
      </c>
      <c r="C349" s="258" t="s">
        <v>5770</v>
      </c>
      <c r="D349" s="261" t="s">
        <v>5771</v>
      </c>
      <c r="E349" s="262" t="s">
        <v>5098</v>
      </c>
      <c r="F349" s="265" t="s">
        <v>5759</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5620</v>
      </c>
      <c r="B350" s="257" t="s">
        <v>5752</v>
      </c>
      <c r="C350" s="258" t="s">
        <v>5772</v>
      </c>
      <c r="D350" s="261" t="s">
        <v>5773</v>
      </c>
      <c r="E350" s="262" t="s">
        <v>5069</v>
      </c>
      <c r="F350" s="265" t="s">
        <v>5759</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5620</v>
      </c>
      <c r="B351" s="257" t="s">
        <v>5752</v>
      </c>
      <c r="C351" s="258" t="s">
        <v>5774</v>
      </c>
      <c r="D351" s="261" t="s">
        <v>5775</v>
      </c>
      <c r="E351" s="262" t="s">
        <v>5069</v>
      </c>
      <c r="F351" s="265" t="s">
        <v>5759</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5620</v>
      </c>
      <c r="B352" s="257" t="s">
        <v>5752</v>
      </c>
      <c r="C352" s="258" t="s">
        <v>5776</v>
      </c>
      <c r="D352" s="261" t="s">
        <v>5777</v>
      </c>
      <c r="E352" s="262" t="s">
        <v>5069</v>
      </c>
      <c r="F352" s="265" t="s">
        <v>5759</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5620</v>
      </c>
      <c r="B353" s="257" t="s">
        <v>5752</v>
      </c>
      <c r="C353" s="258" t="s">
        <v>5778</v>
      </c>
      <c r="D353" s="261" t="s">
        <v>5779</v>
      </c>
      <c r="E353" s="262" t="s">
        <v>5165</v>
      </c>
      <c r="F353" s="265" t="s">
        <v>5639</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5620</v>
      </c>
      <c r="B354" s="256" t="s">
        <v>5780</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5620</v>
      </c>
      <c r="B355" s="257" t="s">
        <v>5780</v>
      </c>
      <c r="C355" s="258" t="s">
        <v>5781</v>
      </c>
      <c r="D355" s="261" t="s">
        <v>5782</v>
      </c>
      <c r="E355" s="262" t="s">
        <v>5165</v>
      </c>
      <c r="F355" s="265" t="s">
        <v>5783</v>
      </c>
      <c r="G355" s="268">
        <f>IF(COUNTIF(H355:AU355,"&lt;&gt;")=0,"",SUMPRODUCT(((Recommendations[ImplStatus]="Implemented")+(Recommendations[ImplStatus]="Compensated"))*ISNUMBER(MATCH(Recommendations[Id],H355:AU355,0)))/COUNTIF(H355:AU355,"&lt;&gt;"))</f>
        <v>0</v>
      </c>
      <c r="H355" s="269" t="s">
        <v>66</v>
      </c>
      <c r="I355" s="269" t="s">
        <v>72</v>
      </c>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5620</v>
      </c>
      <c r="B356" s="257" t="s">
        <v>5780</v>
      </c>
      <c r="C356" s="258" t="s">
        <v>5784</v>
      </c>
      <c r="D356" s="261" t="s">
        <v>5785</v>
      </c>
      <c r="E356" s="262" t="s">
        <v>5165</v>
      </c>
      <c r="F356" s="265" t="s">
        <v>5783</v>
      </c>
      <c r="G356" s="268">
        <f>IF(COUNTIF(H356:AU356,"&lt;&gt;")=0,"",SUMPRODUCT(((Recommendations[ImplStatus]="Implemented")+(Recommendations[ImplStatus]="Compensated"))*ISNUMBER(MATCH(Recommendations[Id],H356:AU356,0)))/COUNTIF(H356:AU356,"&lt;&gt;"))</f>
        <v>0</v>
      </c>
      <c r="H356" s="269" t="s">
        <v>165</v>
      </c>
      <c r="I356" s="269" t="s">
        <v>170</v>
      </c>
      <c r="J356" s="269" t="s">
        <v>188</v>
      </c>
      <c r="K356" s="269" t="s">
        <v>194</v>
      </c>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5620</v>
      </c>
      <c r="B357" s="257" t="s">
        <v>5780</v>
      </c>
      <c r="C357" s="258" t="s">
        <v>5786</v>
      </c>
      <c r="D357" s="261" t="s">
        <v>5787</v>
      </c>
      <c r="E357" s="262" t="s">
        <v>5213</v>
      </c>
      <c r="F357" s="265" t="s">
        <v>5783</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5620</v>
      </c>
      <c r="B358" s="257" t="s">
        <v>5780</v>
      </c>
      <c r="C358" s="258" t="s">
        <v>5788</v>
      </c>
      <c r="D358" s="261" t="s">
        <v>5789</v>
      </c>
      <c r="E358" s="262" t="s">
        <v>5213</v>
      </c>
      <c r="F358" s="265" t="s">
        <v>5783</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5620</v>
      </c>
      <c r="B359" s="257" t="s">
        <v>5780</v>
      </c>
      <c r="C359" s="258" t="s">
        <v>5790</v>
      </c>
      <c r="D359" s="261" t="s">
        <v>5791</v>
      </c>
      <c r="E359" s="262" t="s">
        <v>5213</v>
      </c>
      <c r="F359" s="265" t="s">
        <v>5783</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5620</v>
      </c>
      <c r="B360" s="257" t="s">
        <v>5780</v>
      </c>
      <c r="C360" s="258" t="s">
        <v>5792</v>
      </c>
      <c r="D360" s="261" t="s">
        <v>5793</v>
      </c>
      <c r="E360" s="262" t="s">
        <v>5165</v>
      </c>
      <c r="F360" s="265" t="s">
        <v>5783</v>
      </c>
      <c r="G360" s="268">
        <f>IF(COUNTIF(H360:AU360,"&lt;&gt;")=0,"",SUMPRODUCT(((Recommendations[ImplStatus]="Implemented")+(Recommendations[ImplStatus]="Compensated"))*ISNUMBER(MATCH(Recommendations[Id],H360:AU360,0)))/COUNTIF(H360:AU360,"&lt;&gt;"))</f>
        <v>0</v>
      </c>
      <c r="H360" s="269" t="s">
        <v>165</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5620</v>
      </c>
      <c r="B361" s="257" t="s">
        <v>5780</v>
      </c>
      <c r="C361" s="258" t="s">
        <v>5794</v>
      </c>
      <c r="D361" s="261" t="s">
        <v>5795</v>
      </c>
      <c r="E361" s="262" t="s">
        <v>5098</v>
      </c>
      <c r="F361" s="265" t="s">
        <v>5783</v>
      </c>
      <c r="G361" s="268">
        <f>IF(COUNTIF(H361:AU361,"&lt;&gt;")=0,"",SUMPRODUCT(((Recommendations[ImplStatus]="Implemented")+(Recommendations[ImplStatus]="Compensated"))*ISNUMBER(MATCH(Recommendations[Id],H361:AU361,0)))/COUNTIF(H361:AU361,"&lt;&gt;"))</f>
        <v>0</v>
      </c>
      <c r="H361" s="269" t="s">
        <v>170</v>
      </c>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5620</v>
      </c>
      <c r="B362" s="257" t="s">
        <v>5780</v>
      </c>
      <c r="C362" s="258" t="s">
        <v>5796</v>
      </c>
      <c r="D362" s="261" t="s">
        <v>5797</v>
      </c>
      <c r="E362" s="262" t="s">
        <v>5213</v>
      </c>
      <c r="F362" s="265" t="s">
        <v>5783</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5620</v>
      </c>
      <c r="B363" s="257" t="s">
        <v>5780</v>
      </c>
      <c r="C363" s="258" t="s">
        <v>5798</v>
      </c>
      <c r="D363" s="261" t="s">
        <v>5799</v>
      </c>
      <c r="E363" s="262" t="s">
        <v>5213</v>
      </c>
      <c r="F363" s="265" t="s">
        <v>5783</v>
      </c>
      <c r="G363" s="268">
        <f>IF(COUNTIF(H363:AU363,"&lt;&gt;")=0,"",SUMPRODUCT(((Recommendations[ImplStatus]="Implemented")+(Recommendations[ImplStatus]="Compensated"))*ISNUMBER(MATCH(Recommendations[Id],H363:AU363,0)))/COUNTIF(H363:AU363,"&lt;&gt;"))</f>
        <v>0</v>
      </c>
      <c r="H363" s="269" t="s">
        <v>175</v>
      </c>
      <c r="I363" s="269" t="s">
        <v>181</v>
      </c>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5620</v>
      </c>
      <c r="B364" s="257" t="s">
        <v>5780</v>
      </c>
      <c r="C364" s="258" t="s">
        <v>5800</v>
      </c>
      <c r="D364" s="261" t="s">
        <v>5801</v>
      </c>
      <c r="E364" s="262" t="s">
        <v>5213</v>
      </c>
      <c r="F364" s="265" t="s">
        <v>5783</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5620</v>
      </c>
      <c r="B365" s="257" t="s">
        <v>5780</v>
      </c>
      <c r="C365" s="258" t="s">
        <v>5802</v>
      </c>
      <c r="D365" s="261" t="s">
        <v>5803</v>
      </c>
      <c r="E365" s="262" t="s">
        <v>5213</v>
      </c>
      <c r="F365" s="265" t="s">
        <v>5783</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5620</v>
      </c>
      <c r="B366" s="257" t="s">
        <v>5780</v>
      </c>
      <c r="C366" s="258" t="s">
        <v>5804</v>
      </c>
      <c r="D366" s="261" t="s">
        <v>5805</v>
      </c>
      <c r="E366" s="262" t="s">
        <v>5213</v>
      </c>
      <c r="F366" s="265" t="s">
        <v>5783</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5620</v>
      </c>
      <c r="B367" s="257" t="s">
        <v>5780</v>
      </c>
      <c r="C367" s="258" t="s">
        <v>5806</v>
      </c>
      <c r="D367" s="261" t="s">
        <v>5807</v>
      </c>
      <c r="E367" s="262" t="s">
        <v>5213</v>
      </c>
      <c r="F367" s="265" t="s">
        <v>5783</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5620</v>
      </c>
      <c r="B368" s="257" t="s">
        <v>5780</v>
      </c>
      <c r="C368" s="258" t="s">
        <v>5808</v>
      </c>
      <c r="D368" s="261" t="s">
        <v>5809</v>
      </c>
      <c r="E368" s="262" t="s">
        <v>5213</v>
      </c>
      <c r="F368" s="265" t="s">
        <v>5783</v>
      </c>
      <c r="G368" s="268">
        <f>IF(COUNTIF(H368:AU368,"&lt;&gt;")=0,"",SUMPRODUCT(((Recommendations[ImplStatus]="Implemented")+(Recommendations[ImplStatus]="Compensated"))*ISNUMBER(MATCH(Recommendations[Id],H368:AU368,0)))/COUNTIF(H368:AU368,"&lt;&gt;"))</f>
        <v>0</v>
      </c>
      <c r="H368" s="269" t="s">
        <v>175</v>
      </c>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5620</v>
      </c>
      <c r="B369" s="257" t="s">
        <v>5780</v>
      </c>
      <c r="C369" s="258" t="s">
        <v>5810</v>
      </c>
      <c r="D369" s="261" t="s">
        <v>5811</v>
      </c>
      <c r="E369" s="262" t="s">
        <v>5213</v>
      </c>
      <c r="F369" s="265" t="s">
        <v>5783</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5812</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5812</v>
      </c>
      <c r="B371" s="256" t="s">
        <v>5813</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5812</v>
      </c>
      <c r="B372" s="257" t="s">
        <v>5813</v>
      </c>
      <c r="C372" s="258" t="s">
        <v>5814</v>
      </c>
      <c r="D372" s="261" t="s">
        <v>5815</v>
      </c>
      <c r="E372" s="262" t="s">
        <v>5069</v>
      </c>
      <c r="F372" s="265" t="s">
        <v>5816</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5812</v>
      </c>
      <c r="B373" s="257" t="s">
        <v>5813</v>
      </c>
      <c r="C373" s="258" t="s">
        <v>5817</v>
      </c>
      <c r="D373" s="261" t="s">
        <v>5818</v>
      </c>
      <c r="E373" s="262" t="s">
        <v>5069</v>
      </c>
      <c r="F373" s="265" t="s">
        <v>5819</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5812</v>
      </c>
      <c r="B374" s="257" t="s">
        <v>5813</v>
      </c>
      <c r="C374" s="258" t="s">
        <v>5820</v>
      </c>
      <c r="D374" s="261" t="s">
        <v>5821</v>
      </c>
      <c r="E374" s="262" t="s">
        <v>5098</v>
      </c>
      <c r="F374" s="265" t="s">
        <v>5819</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5812</v>
      </c>
      <c r="B375" s="257" t="s">
        <v>5813</v>
      </c>
      <c r="C375" s="258" t="s">
        <v>5822</v>
      </c>
      <c r="D375" s="261" t="s">
        <v>5823</v>
      </c>
      <c r="E375" s="262" t="s">
        <v>5098</v>
      </c>
      <c r="F375" s="265" t="s">
        <v>5819</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5812</v>
      </c>
      <c r="B376" s="257" t="s">
        <v>5813</v>
      </c>
      <c r="C376" s="258" t="s">
        <v>5824</v>
      </c>
      <c r="D376" s="261" t="s">
        <v>5825</v>
      </c>
      <c r="E376" s="262" t="s">
        <v>5098</v>
      </c>
      <c r="F376" s="265" t="s">
        <v>5681</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5812</v>
      </c>
      <c r="B377" s="257" t="s">
        <v>5813</v>
      </c>
      <c r="C377" s="258" t="s">
        <v>5826</v>
      </c>
      <c r="D377" s="261" t="s">
        <v>5827</v>
      </c>
      <c r="E377" s="262" t="s">
        <v>5165</v>
      </c>
      <c r="F377" s="265" t="s">
        <v>5639</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5812</v>
      </c>
      <c r="B378" s="257" t="s">
        <v>5813</v>
      </c>
      <c r="C378" s="258" t="s">
        <v>5828</v>
      </c>
      <c r="D378" s="261" t="s">
        <v>5829</v>
      </c>
      <c r="E378" s="262" t="s">
        <v>5165</v>
      </c>
      <c r="F378" s="265" t="s">
        <v>5819</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5812</v>
      </c>
      <c r="B379" s="257" t="s">
        <v>5813</v>
      </c>
      <c r="C379" s="258" t="s">
        <v>5830</v>
      </c>
      <c r="D379" s="261" t="s">
        <v>5831</v>
      </c>
      <c r="E379" s="262" t="s">
        <v>5165</v>
      </c>
      <c r="F379" s="265" t="s">
        <v>5816</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5812</v>
      </c>
      <c r="B380" s="257" t="s">
        <v>5813</v>
      </c>
      <c r="C380" s="258" t="s">
        <v>5832</v>
      </c>
      <c r="D380" s="261" t="s">
        <v>5833</v>
      </c>
      <c r="E380" s="262" t="s">
        <v>5165</v>
      </c>
      <c r="F380" s="265" t="s">
        <v>5816</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5812</v>
      </c>
      <c r="B381" s="257" t="s">
        <v>5813</v>
      </c>
      <c r="C381" s="258" t="s">
        <v>5834</v>
      </c>
      <c r="D381" s="261" t="s">
        <v>5835</v>
      </c>
      <c r="E381" s="262" t="s">
        <v>5165</v>
      </c>
      <c r="F381" s="265" t="s">
        <v>5816</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5812</v>
      </c>
      <c r="B382" s="257" t="s">
        <v>5813</v>
      </c>
      <c r="C382" s="258" t="s">
        <v>5836</v>
      </c>
      <c r="D382" s="261" t="s">
        <v>5837</v>
      </c>
      <c r="E382" s="262" t="s">
        <v>5213</v>
      </c>
      <c r="F382" s="265" t="s">
        <v>5816</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5812</v>
      </c>
      <c r="B383" s="257" t="s">
        <v>5813</v>
      </c>
      <c r="C383" s="258" t="s">
        <v>5838</v>
      </c>
      <c r="D383" s="261" t="s">
        <v>5839</v>
      </c>
      <c r="E383" s="262" t="s">
        <v>5213</v>
      </c>
      <c r="F383" s="265" t="s">
        <v>5816</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5812</v>
      </c>
      <c r="B384" s="257" t="s">
        <v>5813</v>
      </c>
      <c r="C384" s="258" t="s">
        <v>5840</v>
      </c>
      <c r="D384" s="261" t="s">
        <v>5841</v>
      </c>
      <c r="E384" s="262" t="s">
        <v>5213</v>
      </c>
      <c r="F384" s="265" t="s">
        <v>5816</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5812</v>
      </c>
      <c r="B385" s="257" t="s">
        <v>5813</v>
      </c>
      <c r="C385" s="258" t="s">
        <v>5842</v>
      </c>
      <c r="D385" s="261" t="s">
        <v>5843</v>
      </c>
      <c r="E385" s="262" t="s">
        <v>5165</v>
      </c>
      <c r="F385" s="265" t="s">
        <v>5816</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5812</v>
      </c>
      <c r="B386" s="256" t="s">
        <v>5844</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5812</v>
      </c>
      <c r="B387" s="257" t="s">
        <v>5844</v>
      </c>
      <c r="C387" s="258" t="s">
        <v>5845</v>
      </c>
      <c r="D387" s="261" t="s">
        <v>5846</v>
      </c>
      <c r="E387" s="262" t="s">
        <v>5069</v>
      </c>
      <c r="F387" s="265" t="s">
        <v>5847</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5812</v>
      </c>
      <c r="B388" s="257" t="s">
        <v>5844</v>
      </c>
      <c r="C388" s="258" t="s">
        <v>5848</v>
      </c>
      <c r="D388" s="261" t="s">
        <v>5849</v>
      </c>
      <c r="E388" s="262" t="s">
        <v>5069</v>
      </c>
      <c r="F388" s="265" t="s">
        <v>5847</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5812</v>
      </c>
      <c r="B389" s="257" t="s">
        <v>5844</v>
      </c>
      <c r="C389" s="258" t="s">
        <v>5850</v>
      </c>
      <c r="D389" s="261" t="s">
        <v>5851</v>
      </c>
      <c r="E389" s="262" t="s">
        <v>5348</v>
      </c>
      <c r="F389" s="265" t="s">
        <v>5847</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5812</v>
      </c>
      <c r="B390" s="257" t="s">
        <v>5844</v>
      </c>
      <c r="C390" s="258" t="s">
        <v>5852</v>
      </c>
      <c r="D390" s="261" t="s">
        <v>5853</v>
      </c>
      <c r="E390" s="262" t="s">
        <v>5165</v>
      </c>
      <c r="F390" s="265" t="s">
        <v>5847</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5812</v>
      </c>
      <c r="B391" s="257" t="s">
        <v>5844</v>
      </c>
      <c r="C391" s="258" t="s">
        <v>5854</v>
      </c>
      <c r="D391" s="261" t="s">
        <v>5855</v>
      </c>
      <c r="E391" s="262" t="s">
        <v>5348</v>
      </c>
      <c r="F391" s="265" t="s">
        <v>5847</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5812</v>
      </c>
      <c r="B392" s="257" t="s">
        <v>5844</v>
      </c>
      <c r="C392" s="258" t="s">
        <v>5856</v>
      </c>
      <c r="D392" s="261" t="s">
        <v>5857</v>
      </c>
      <c r="E392" s="262" t="s">
        <v>5098</v>
      </c>
      <c r="F392" s="265" t="s">
        <v>5847</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5812</v>
      </c>
      <c r="B393" s="257" t="s">
        <v>5844</v>
      </c>
      <c r="C393" s="258" t="s">
        <v>5858</v>
      </c>
      <c r="D393" s="261" t="s">
        <v>5859</v>
      </c>
      <c r="E393" s="262" t="s">
        <v>5098</v>
      </c>
      <c r="F393" s="265" t="s">
        <v>5847</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5812</v>
      </c>
      <c r="B394" s="257" t="s">
        <v>5844</v>
      </c>
      <c r="C394" s="258" t="s">
        <v>5860</v>
      </c>
      <c r="D394" s="261" t="s">
        <v>5861</v>
      </c>
      <c r="E394" s="262" t="s">
        <v>5348</v>
      </c>
      <c r="F394" s="265" t="s">
        <v>5847</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5812</v>
      </c>
      <c r="B395" s="257" t="s">
        <v>5844</v>
      </c>
      <c r="C395" s="258" t="s">
        <v>5862</v>
      </c>
      <c r="D395" s="261" t="s">
        <v>5863</v>
      </c>
      <c r="E395" s="262" t="s">
        <v>5165</v>
      </c>
      <c r="F395" s="265" t="s">
        <v>5847</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5812</v>
      </c>
      <c r="B396" s="257" t="s">
        <v>5844</v>
      </c>
      <c r="C396" s="258" t="s">
        <v>5864</v>
      </c>
      <c r="D396" s="261" t="s">
        <v>5865</v>
      </c>
      <c r="E396" s="262" t="s">
        <v>5348</v>
      </c>
      <c r="F396" s="265" t="s">
        <v>5847</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5812</v>
      </c>
      <c r="B397" s="257" t="s">
        <v>5844</v>
      </c>
      <c r="C397" s="258" t="s">
        <v>5866</v>
      </c>
      <c r="D397" s="261" t="s">
        <v>5867</v>
      </c>
      <c r="E397" s="262" t="s">
        <v>5098</v>
      </c>
      <c r="F397" s="265" t="s">
        <v>5847</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5812</v>
      </c>
      <c r="B398" s="257" t="s">
        <v>5844</v>
      </c>
      <c r="C398" s="258" t="s">
        <v>5868</v>
      </c>
      <c r="D398" s="261" t="s">
        <v>5869</v>
      </c>
      <c r="E398" s="262" t="s">
        <v>5213</v>
      </c>
      <c r="F398" s="265" t="s">
        <v>5847</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5812</v>
      </c>
      <c r="B399" s="257" t="s">
        <v>5844</v>
      </c>
      <c r="C399" s="258" t="s">
        <v>5870</v>
      </c>
      <c r="D399" s="261" t="s">
        <v>5871</v>
      </c>
      <c r="E399" s="262" t="s">
        <v>5348</v>
      </c>
      <c r="F399" s="265" t="s">
        <v>5847</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5812</v>
      </c>
      <c r="B400" s="257" t="s">
        <v>5844</v>
      </c>
      <c r="C400" s="258" t="s">
        <v>5872</v>
      </c>
      <c r="D400" s="261" t="s">
        <v>5873</v>
      </c>
      <c r="E400" s="262" t="s">
        <v>5348</v>
      </c>
      <c r="F400" s="265" t="s">
        <v>5847</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5812</v>
      </c>
      <c r="B401" s="257" t="s">
        <v>5844</v>
      </c>
      <c r="C401" s="258" t="s">
        <v>5874</v>
      </c>
      <c r="D401" s="261" t="s">
        <v>5875</v>
      </c>
      <c r="E401" s="262" t="s">
        <v>5098</v>
      </c>
      <c r="F401" s="265" t="s">
        <v>5847</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5812</v>
      </c>
      <c r="B402" s="257" t="s">
        <v>5844</v>
      </c>
      <c r="C402" s="258" t="s">
        <v>5876</v>
      </c>
      <c r="D402" s="261" t="s">
        <v>5877</v>
      </c>
      <c r="E402" s="262" t="s">
        <v>5098</v>
      </c>
      <c r="F402" s="265" t="s">
        <v>5847</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5812</v>
      </c>
      <c r="B403" s="257" t="s">
        <v>5844</v>
      </c>
      <c r="C403" s="258" t="s">
        <v>5878</v>
      </c>
      <c r="D403" s="261" t="s">
        <v>5879</v>
      </c>
      <c r="E403" s="262" t="s">
        <v>5098</v>
      </c>
      <c r="F403" s="265" t="s">
        <v>5847</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5812</v>
      </c>
      <c r="B404" s="257" t="s">
        <v>5844</v>
      </c>
      <c r="C404" s="258" t="s">
        <v>5880</v>
      </c>
      <c r="D404" s="261" t="s">
        <v>5881</v>
      </c>
      <c r="E404" s="262" t="s">
        <v>5213</v>
      </c>
      <c r="F404" s="265" t="s">
        <v>5847</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5812</v>
      </c>
      <c r="B405" s="257" t="s">
        <v>5844</v>
      </c>
      <c r="C405" s="258" t="s">
        <v>5882</v>
      </c>
      <c r="D405" s="261" t="s">
        <v>5883</v>
      </c>
      <c r="E405" s="262" t="s">
        <v>5213</v>
      </c>
      <c r="F405" s="265" t="s">
        <v>5847</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5812</v>
      </c>
      <c r="B406" s="257" t="s">
        <v>5844</v>
      </c>
      <c r="C406" s="258" t="s">
        <v>5884</v>
      </c>
      <c r="D406" s="261" t="s">
        <v>5885</v>
      </c>
      <c r="E406" s="262" t="s">
        <v>5213</v>
      </c>
      <c r="F406" s="265" t="s">
        <v>5886</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5812</v>
      </c>
      <c r="B407" s="257" t="s">
        <v>5844</v>
      </c>
      <c r="C407" s="258" t="s">
        <v>5887</v>
      </c>
      <c r="D407" s="261" t="s">
        <v>5888</v>
      </c>
      <c r="E407" s="262" t="s">
        <v>5213</v>
      </c>
      <c r="F407" s="265" t="s">
        <v>5847</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5812</v>
      </c>
      <c r="B408" s="257" t="s">
        <v>5844</v>
      </c>
      <c r="C408" s="258" t="s">
        <v>5889</v>
      </c>
      <c r="D408" s="261" t="s">
        <v>5890</v>
      </c>
      <c r="E408" s="262" t="s">
        <v>5213</v>
      </c>
      <c r="F408" s="265" t="s">
        <v>5847</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5812</v>
      </c>
      <c r="B409" s="257" t="s">
        <v>5844</v>
      </c>
      <c r="C409" s="258" t="s">
        <v>5891</v>
      </c>
      <c r="D409" s="261" t="s">
        <v>5892</v>
      </c>
      <c r="E409" s="262" t="s">
        <v>5213</v>
      </c>
      <c r="F409" s="265" t="s">
        <v>5893</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5812</v>
      </c>
      <c r="B410" s="256" t="s">
        <v>5894</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5812</v>
      </c>
      <c r="B411" s="257" t="s">
        <v>5894</v>
      </c>
      <c r="C411" s="258" t="s">
        <v>5895</v>
      </c>
      <c r="D411" s="261" t="s">
        <v>5896</v>
      </c>
      <c r="E411" s="262" t="s">
        <v>5069</v>
      </c>
      <c r="F411" s="265" t="s">
        <v>5819</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5812</v>
      </c>
      <c r="B412" s="257" t="s">
        <v>5894</v>
      </c>
      <c r="C412" s="258" t="s">
        <v>5897</v>
      </c>
      <c r="D412" s="261" t="s">
        <v>5898</v>
      </c>
      <c r="E412" s="262" t="s">
        <v>5069</v>
      </c>
      <c r="F412" s="265" t="s">
        <v>5819</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5812</v>
      </c>
      <c r="B413" s="257" t="s">
        <v>5894</v>
      </c>
      <c r="C413" s="258" t="s">
        <v>5899</v>
      </c>
      <c r="D413" s="261" t="s">
        <v>5900</v>
      </c>
      <c r="E413" s="262" t="s">
        <v>5069</v>
      </c>
      <c r="F413" s="265" t="s">
        <v>5819</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5812</v>
      </c>
      <c r="B414" s="257" t="s">
        <v>5894</v>
      </c>
      <c r="C414" s="258" t="s">
        <v>5901</v>
      </c>
      <c r="D414" s="261" t="s">
        <v>5902</v>
      </c>
      <c r="E414" s="262" t="s">
        <v>5069</v>
      </c>
      <c r="F414" s="265" t="s">
        <v>5819</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5812</v>
      </c>
      <c r="B415" s="257" t="s">
        <v>5894</v>
      </c>
      <c r="C415" s="258" t="s">
        <v>5903</v>
      </c>
      <c r="D415" s="261" t="s">
        <v>5904</v>
      </c>
      <c r="E415" s="262" t="s">
        <v>5098</v>
      </c>
      <c r="F415" s="265" t="s">
        <v>5819</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5812</v>
      </c>
      <c r="B416" s="257" t="s">
        <v>5894</v>
      </c>
      <c r="C416" s="258" t="s">
        <v>5905</v>
      </c>
      <c r="D416" s="261" t="s">
        <v>5906</v>
      </c>
      <c r="E416" s="262" t="s">
        <v>5098</v>
      </c>
      <c r="F416" s="265" t="s">
        <v>5907</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5812</v>
      </c>
      <c r="B417" s="257" t="s">
        <v>5894</v>
      </c>
      <c r="C417" s="258" t="s">
        <v>5908</v>
      </c>
      <c r="D417" s="261" t="s">
        <v>5909</v>
      </c>
      <c r="E417" s="262" t="s">
        <v>5098</v>
      </c>
      <c r="F417" s="265" t="s">
        <v>5907</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5812</v>
      </c>
      <c r="B418" s="257" t="s">
        <v>5894</v>
      </c>
      <c r="C418" s="258" t="s">
        <v>5910</v>
      </c>
      <c r="D418" s="261" t="s">
        <v>5911</v>
      </c>
      <c r="E418" s="262" t="s">
        <v>5348</v>
      </c>
      <c r="F418" s="265" t="s">
        <v>5907</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5812</v>
      </c>
      <c r="B419" s="257" t="s">
        <v>5894</v>
      </c>
      <c r="C419" s="258" t="s">
        <v>5912</v>
      </c>
      <c r="D419" s="261" t="s">
        <v>5913</v>
      </c>
      <c r="E419" s="262" t="s">
        <v>5098</v>
      </c>
      <c r="F419" s="265" t="s">
        <v>5907</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5812</v>
      </c>
      <c r="B420" s="257" t="s">
        <v>5894</v>
      </c>
      <c r="C420" s="258" t="s">
        <v>5914</v>
      </c>
      <c r="D420" s="261" t="s">
        <v>5915</v>
      </c>
      <c r="E420" s="262" t="s">
        <v>5348</v>
      </c>
      <c r="F420" s="265" t="s">
        <v>5907</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5812</v>
      </c>
      <c r="B421" s="257" t="s">
        <v>5894</v>
      </c>
      <c r="C421" s="258" t="s">
        <v>5916</v>
      </c>
      <c r="D421" s="261" t="s">
        <v>5917</v>
      </c>
      <c r="E421" s="262" t="s">
        <v>5348</v>
      </c>
      <c r="F421" s="265" t="s">
        <v>5907</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5812</v>
      </c>
      <c r="B422" s="257" t="s">
        <v>5894</v>
      </c>
      <c r="C422" s="258" t="s">
        <v>5918</v>
      </c>
      <c r="D422" s="261" t="s">
        <v>5919</v>
      </c>
      <c r="E422" s="262" t="s">
        <v>5098</v>
      </c>
      <c r="F422" s="265" t="s">
        <v>5907</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5812</v>
      </c>
      <c r="B423" s="257" t="s">
        <v>5894</v>
      </c>
      <c r="C423" s="258" t="s">
        <v>5920</v>
      </c>
      <c r="D423" s="261" t="s">
        <v>5921</v>
      </c>
      <c r="E423" s="262" t="s">
        <v>5098</v>
      </c>
      <c r="F423" s="265" t="s">
        <v>5907</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5922</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5922</v>
      </c>
      <c r="B425" s="256" t="s">
        <v>5923</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5922</v>
      </c>
      <c r="B426" s="257" t="s">
        <v>5923</v>
      </c>
      <c r="C426" s="258" t="s">
        <v>5924</v>
      </c>
      <c r="D426" s="261" t="s">
        <v>5925</v>
      </c>
      <c r="E426" s="262" t="s">
        <v>5069</v>
      </c>
      <c r="F426" s="265" t="s">
        <v>5886</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5922</v>
      </c>
      <c r="B427" s="257" t="s">
        <v>5923</v>
      </c>
      <c r="C427" s="258" t="s">
        <v>5926</v>
      </c>
      <c r="D427" s="261" t="s">
        <v>5927</v>
      </c>
      <c r="E427" s="262" t="s">
        <v>5069</v>
      </c>
      <c r="F427" s="265" t="s">
        <v>5886</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5922</v>
      </c>
      <c r="B428" s="257" t="s">
        <v>5923</v>
      </c>
      <c r="C428" s="258" t="s">
        <v>5928</v>
      </c>
      <c r="D428" s="261" t="s">
        <v>5929</v>
      </c>
      <c r="E428" s="262" t="s">
        <v>5348</v>
      </c>
      <c r="F428" s="265" t="s">
        <v>5886</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5922</v>
      </c>
      <c r="B429" s="257" t="s">
        <v>5923</v>
      </c>
      <c r="C429" s="258" t="s">
        <v>5930</v>
      </c>
      <c r="D429" s="261" t="s">
        <v>5931</v>
      </c>
      <c r="E429" s="262" t="s">
        <v>5098</v>
      </c>
      <c r="F429" s="265" t="s">
        <v>5886</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5922</v>
      </c>
      <c r="B430" s="257" t="s">
        <v>5923</v>
      </c>
      <c r="C430" s="258" t="s">
        <v>5932</v>
      </c>
      <c r="D430" s="261" t="s">
        <v>5933</v>
      </c>
      <c r="E430" s="262" t="s">
        <v>5098</v>
      </c>
      <c r="F430" s="265" t="s">
        <v>5886</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5922</v>
      </c>
      <c r="B431" s="257" t="s">
        <v>5923</v>
      </c>
      <c r="C431" s="258" t="s">
        <v>5934</v>
      </c>
      <c r="D431" s="261" t="s">
        <v>5935</v>
      </c>
      <c r="E431" s="262" t="s">
        <v>5348</v>
      </c>
      <c r="F431" s="265" t="s">
        <v>5886</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5922</v>
      </c>
      <c r="B432" s="257" t="s">
        <v>5923</v>
      </c>
      <c r="C432" s="258" t="s">
        <v>5936</v>
      </c>
      <c r="D432" s="261" t="s">
        <v>5937</v>
      </c>
      <c r="E432" s="262" t="s">
        <v>5348</v>
      </c>
      <c r="F432" s="265" t="s">
        <v>5886</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5922</v>
      </c>
      <c r="B433" s="257" t="s">
        <v>5923</v>
      </c>
      <c r="C433" s="258" t="s">
        <v>5938</v>
      </c>
      <c r="D433" s="261" t="s">
        <v>5939</v>
      </c>
      <c r="E433" s="262" t="s">
        <v>5165</v>
      </c>
      <c r="F433" s="265" t="s">
        <v>5886</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5922</v>
      </c>
      <c r="B434" s="257" t="s">
        <v>5923</v>
      </c>
      <c r="C434" s="258" t="s">
        <v>5940</v>
      </c>
      <c r="D434" s="261" t="s">
        <v>5941</v>
      </c>
      <c r="E434" s="262" t="s">
        <v>5165</v>
      </c>
      <c r="F434" s="265" t="s">
        <v>5886</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5922</v>
      </c>
      <c r="B435" s="257" t="s">
        <v>5923</v>
      </c>
      <c r="C435" s="258" t="s">
        <v>5942</v>
      </c>
      <c r="D435" s="261" t="s">
        <v>5943</v>
      </c>
      <c r="E435" s="262" t="s">
        <v>5098</v>
      </c>
      <c r="F435" s="265" t="s">
        <v>5886</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5922</v>
      </c>
      <c r="B436" s="257" t="s">
        <v>5923</v>
      </c>
      <c r="C436" s="258" t="s">
        <v>5944</v>
      </c>
      <c r="D436" s="261" t="s">
        <v>5945</v>
      </c>
      <c r="E436" s="262" t="s">
        <v>5165</v>
      </c>
      <c r="F436" s="265" t="s">
        <v>5886</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5922</v>
      </c>
      <c r="B437" s="257" t="s">
        <v>5923</v>
      </c>
      <c r="C437" s="258" t="s">
        <v>5946</v>
      </c>
      <c r="D437" s="261" t="s">
        <v>5947</v>
      </c>
      <c r="E437" s="262" t="s">
        <v>5098</v>
      </c>
      <c r="F437" s="265" t="s">
        <v>5886</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5922</v>
      </c>
      <c r="B438" s="256" t="s">
        <v>5948</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5922</v>
      </c>
      <c r="B439" s="257" t="s">
        <v>5948</v>
      </c>
      <c r="C439" s="258" t="s">
        <v>5949</v>
      </c>
      <c r="D439" s="261" t="s">
        <v>5950</v>
      </c>
      <c r="E439" s="262" t="s">
        <v>5069</v>
      </c>
      <c r="F439" s="265" t="s">
        <v>5951</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5922</v>
      </c>
      <c r="B440" s="257" t="s">
        <v>5948</v>
      </c>
      <c r="C440" s="258" t="s">
        <v>5952</v>
      </c>
      <c r="D440" s="261" t="s">
        <v>5953</v>
      </c>
      <c r="E440" s="262" t="s">
        <v>5069</v>
      </c>
      <c r="F440" s="265" t="s">
        <v>5951</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5922</v>
      </c>
      <c r="B441" s="257" t="s">
        <v>5948</v>
      </c>
      <c r="C441" s="258" t="s">
        <v>5954</v>
      </c>
      <c r="D441" s="261" t="s">
        <v>5955</v>
      </c>
      <c r="E441" s="262" t="s">
        <v>5069</v>
      </c>
      <c r="F441" s="265" t="s">
        <v>5951</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5922</v>
      </c>
      <c r="B442" s="257" t="s">
        <v>5948</v>
      </c>
      <c r="C442" s="258" t="s">
        <v>5956</v>
      </c>
      <c r="D442" s="261" t="s">
        <v>5957</v>
      </c>
      <c r="E442" s="262" t="s">
        <v>5069</v>
      </c>
      <c r="F442" s="265" t="s">
        <v>5951</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5922</v>
      </c>
      <c r="B443" s="257" t="s">
        <v>5948</v>
      </c>
      <c r="C443" s="258" t="s">
        <v>5958</v>
      </c>
      <c r="D443" s="261" t="s">
        <v>5959</v>
      </c>
      <c r="E443" s="262" t="s">
        <v>5098</v>
      </c>
      <c r="F443" s="265" t="s">
        <v>5951</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5922</v>
      </c>
      <c r="B444" s="257" t="s">
        <v>5948</v>
      </c>
      <c r="C444" s="258" t="s">
        <v>5960</v>
      </c>
      <c r="D444" s="261" t="s">
        <v>5961</v>
      </c>
      <c r="E444" s="262" t="s">
        <v>5098</v>
      </c>
      <c r="F444" s="265" t="s">
        <v>5951</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5922</v>
      </c>
      <c r="B445" s="257" t="s">
        <v>5948</v>
      </c>
      <c r="C445" s="258" t="s">
        <v>5962</v>
      </c>
      <c r="D445" s="261" t="s">
        <v>5963</v>
      </c>
      <c r="E445" s="262" t="s">
        <v>5098</v>
      </c>
      <c r="F445" s="265" t="s">
        <v>5951</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5922</v>
      </c>
      <c r="B446" s="257" t="s">
        <v>5948</v>
      </c>
      <c r="C446" s="258" t="s">
        <v>5964</v>
      </c>
      <c r="D446" s="261" t="s">
        <v>5965</v>
      </c>
      <c r="E446" s="262" t="s">
        <v>5213</v>
      </c>
      <c r="F446" s="265" t="s">
        <v>5951</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5922</v>
      </c>
      <c r="B447" s="257" t="s">
        <v>5948</v>
      </c>
      <c r="C447" s="258" t="s">
        <v>5966</v>
      </c>
      <c r="D447" s="261" t="s">
        <v>5967</v>
      </c>
      <c r="E447" s="262" t="s">
        <v>5098</v>
      </c>
      <c r="F447" s="265" t="s">
        <v>5951</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5922</v>
      </c>
      <c r="B448" s="257" t="s">
        <v>5948</v>
      </c>
      <c r="C448" s="258" t="s">
        <v>5968</v>
      </c>
      <c r="D448" s="261" t="s">
        <v>5969</v>
      </c>
      <c r="E448" s="262" t="s">
        <v>5213</v>
      </c>
      <c r="F448" s="265" t="s">
        <v>5951</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5922</v>
      </c>
      <c r="B449" s="257" t="s">
        <v>5948</v>
      </c>
      <c r="C449" s="258" t="s">
        <v>5970</v>
      </c>
      <c r="D449" s="261" t="s">
        <v>5971</v>
      </c>
      <c r="E449" s="262" t="s">
        <v>5213</v>
      </c>
      <c r="F449" s="265" t="s">
        <v>5951</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5972</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5972</v>
      </c>
      <c r="B451" s="256" t="s">
        <v>5973</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5972</v>
      </c>
      <c r="B452" s="257" t="s">
        <v>5973</v>
      </c>
      <c r="C452" s="258" t="s">
        <v>5974</v>
      </c>
      <c r="D452" s="261" t="s">
        <v>5975</v>
      </c>
      <c r="E452" s="262" t="s">
        <v>5069</v>
      </c>
      <c r="F452" s="265" t="s">
        <v>5976</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5972</v>
      </c>
      <c r="B453" s="257" t="s">
        <v>5973</v>
      </c>
      <c r="C453" s="258" t="s">
        <v>5977</v>
      </c>
      <c r="D453" s="261" t="s">
        <v>5978</v>
      </c>
      <c r="E453" s="262" t="s">
        <v>5069</v>
      </c>
      <c r="F453" s="265" t="s">
        <v>5976</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5972</v>
      </c>
      <c r="B454" s="257" t="s">
        <v>5973</v>
      </c>
      <c r="C454" s="258" t="s">
        <v>5979</v>
      </c>
      <c r="D454" s="261" t="s">
        <v>5980</v>
      </c>
      <c r="E454" s="262" t="s">
        <v>5069</v>
      </c>
      <c r="F454" s="265" t="s">
        <v>5976</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5972</v>
      </c>
      <c r="B455" s="257" t="s">
        <v>5973</v>
      </c>
      <c r="C455" s="258" t="s">
        <v>5981</v>
      </c>
      <c r="D455" s="261" t="s">
        <v>5982</v>
      </c>
      <c r="E455" s="262" t="s">
        <v>5069</v>
      </c>
      <c r="F455" s="265" t="s">
        <v>5976</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5972</v>
      </c>
      <c r="B456" s="257" t="s">
        <v>5973</v>
      </c>
      <c r="C456" s="258" t="s">
        <v>5983</v>
      </c>
      <c r="D456" s="261" t="s">
        <v>5984</v>
      </c>
      <c r="E456" s="262" t="s">
        <v>5069</v>
      </c>
      <c r="F456" s="265" t="s">
        <v>5976</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5972</v>
      </c>
      <c r="B457" s="257" t="s">
        <v>5973</v>
      </c>
      <c r="C457" s="258" t="s">
        <v>5985</v>
      </c>
      <c r="D457" s="261" t="s">
        <v>5986</v>
      </c>
      <c r="E457" s="262" t="s">
        <v>5098</v>
      </c>
      <c r="F457" s="265" t="s">
        <v>5976</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5972</v>
      </c>
      <c r="B458" s="257" t="s">
        <v>5973</v>
      </c>
      <c r="C458" s="258" t="s">
        <v>5987</v>
      </c>
      <c r="D458" s="261" t="s">
        <v>5988</v>
      </c>
      <c r="E458" s="262" t="s">
        <v>5098</v>
      </c>
      <c r="F458" s="265" t="s">
        <v>5976</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5972</v>
      </c>
      <c r="B459" s="257" t="s">
        <v>5973</v>
      </c>
      <c r="C459" s="258" t="s">
        <v>5989</v>
      </c>
      <c r="D459" s="261" t="s">
        <v>5990</v>
      </c>
      <c r="E459" s="262" t="s">
        <v>5098</v>
      </c>
      <c r="F459" s="265" t="s">
        <v>5976</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5972</v>
      </c>
      <c r="B460" s="257" t="s">
        <v>5973</v>
      </c>
      <c r="C460" s="258" t="s">
        <v>5991</v>
      </c>
      <c r="D460" s="261" t="s">
        <v>5992</v>
      </c>
      <c r="E460" s="262" t="s">
        <v>5098</v>
      </c>
      <c r="F460" s="265" t="s">
        <v>5976</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5972</v>
      </c>
      <c r="B461" s="257" t="s">
        <v>5973</v>
      </c>
      <c r="C461" s="258" t="s">
        <v>5993</v>
      </c>
      <c r="D461" s="261" t="s">
        <v>5994</v>
      </c>
      <c r="E461" s="262" t="s">
        <v>5098</v>
      </c>
      <c r="F461" s="265" t="s">
        <v>5976</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5972</v>
      </c>
      <c r="B462" s="257" t="s">
        <v>5973</v>
      </c>
      <c r="C462" s="258" t="s">
        <v>5995</v>
      </c>
      <c r="D462" s="261" t="s">
        <v>5996</v>
      </c>
      <c r="E462" s="262" t="s">
        <v>5098</v>
      </c>
      <c r="F462" s="265" t="s">
        <v>5976</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5972</v>
      </c>
      <c r="B463" s="257" t="s">
        <v>5973</v>
      </c>
      <c r="C463" s="258" t="s">
        <v>5997</v>
      </c>
      <c r="D463" s="261" t="s">
        <v>5998</v>
      </c>
      <c r="E463" s="262" t="s">
        <v>5098</v>
      </c>
      <c r="F463" s="265" t="s">
        <v>5976</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5972</v>
      </c>
      <c r="B464" s="257" t="s">
        <v>5973</v>
      </c>
      <c r="C464" s="258" t="s">
        <v>5999</v>
      </c>
      <c r="D464" s="261" t="s">
        <v>6000</v>
      </c>
      <c r="E464" s="262" t="s">
        <v>5098</v>
      </c>
      <c r="F464" s="265" t="s">
        <v>5976</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5972</v>
      </c>
      <c r="B465" s="257" t="s">
        <v>5973</v>
      </c>
      <c r="C465" s="258" t="s">
        <v>6001</v>
      </c>
      <c r="D465" s="261" t="s">
        <v>6002</v>
      </c>
      <c r="E465" s="262" t="s">
        <v>5098</v>
      </c>
      <c r="F465" s="265" t="s">
        <v>5976</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5972</v>
      </c>
      <c r="B466" s="256" t="s">
        <v>6003</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5972</v>
      </c>
      <c r="B467" s="257" t="s">
        <v>6003</v>
      </c>
      <c r="C467" s="258" t="s">
        <v>6004</v>
      </c>
      <c r="D467" s="261" t="s">
        <v>6005</v>
      </c>
      <c r="E467" s="262" t="s">
        <v>5069</v>
      </c>
      <c r="F467" s="265" t="s">
        <v>5208</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5972</v>
      </c>
      <c r="B468" s="257" t="s">
        <v>6003</v>
      </c>
      <c r="C468" s="258" t="s">
        <v>6006</v>
      </c>
      <c r="D468" s="261" t="s">
        <v>6007</v>
      </c>
      <c r="E468" s="262" t="s">
        <v>5069</v>
      </c>
      <c r="F468" s="265" t="s">
        <v>5208</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5972</v>
      </c>
      <c r="B469" s="257" t="s">
        <v>6003</v>
      </c>
      <c r="C469" s="258" t="s">
        <v>6008</v>
      </c>
      <c r="D469" s="261" t="s">
        <v>6009</v>
      </c>
      <c r="E469" s="262" t="s">
        <v>5069</v>
      </c>
      <c r="F469" s="265" t="s">
        <v>5208</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5972</v>
      </c>
      <c r="B470" s="257" t="s">
        <v>6003</v>
      </c>
      <c r="C470" s="258" t="s">
        <v>6010</v>
      </c>
      <c r="D470" s="261" t="s">
        <v>6011</v>
      </c>
      <c r="E470" s="262" t="s">
        <v>5165</v>
      </c>
      <c r="F470" s="265" t="s">
        <v>5577</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5972</v>
      </c>
      <c r="B471" s="257" t="s">
        <v>6003</v>
      </c>
      <c r="C471" s="258" t="s">
        <v>6012</v>
      </c>
      <c r="D471" s="261" t="s">
        <v>6013</v>
      </c>
      <c r="E471" s="262" t="s">
        <v>5165</v>
      </c>
      <c r="F471" s="265" t="s">
        <v>5577</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5972</v>
      </c>
      <c r="B472" s="257" t="s">
        <v>6003</v>
      </c>
      <c r="C472" s="258" t="s">
        <v>6014</v>
      </c>
      <c r="D472" s="261" t="s">
        <v>6015</v>
      </c>
      <c r="E472" s="262" t="s">
        <v>5069</v>
      </c>
      <c r="F472" s="265" t="s">
        <v>5577</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5972</v>
      </c>
      <c r="B473" s="257" t="s">
        <v>6003</v>
      </c>
      <c r="C473" s="258" t="s">
        <v>6016</v>
      </c>
      <c r="D473" s="261" t="s">
        <v>6017</v>
      </c>
      <c r="E473" s="262" t="s">
        <v>5069</v>
      </c>
      <c r="F473" s="265" t="s">
        <v>5516</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5972</v>
      </c>
      <c r="B474" s="257" t="s">
        <v>6003</v>
      </c>
      <c r="C474" s="258" t="s">
        <v>6018</v>
      </c>
      <c r="D474" s="261" t="s">
        <v>6019</v>
      </c>
      <c r="E474" s="262" t="s">
        <v>5098</v>
      </c>
      <c r="F474" s="265" t="s">
        <v>5516</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5972</v>
      </c>
      <c r="B475" s="257" t="s">
        <v>6003</v>
      </c>
      <c r="C475" s="258" t="s">
        <v>6020</v>
      </c>
      <c r="D475" s="261" t="s">
        <v>6021</v>
      </c>
      <c r="E475" s="262" t="s">
        <v>5098</v>
      </c>
      <c r="F475" s="265" t="s">
        <v>5516</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5972</v>
      </c>
      <c r="B476" s="257" t="s">
        <v>6003</v>
      </c>
      <c r="C476" s="258" t="s">
        <v>6022</v>
      </c>
      <c r="D476" s="261" t="s">
        <v>6023</v>
      </c>
      <c r="E476" s="262" t="s">
        <v>5098</v>
      </c>
      <c r="F476" s="265" t="s">
        <v>5516</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5972</v>
      </c>
      <c r="B477" s="257" t="s">
        <v>6003</v>
      </c>
      <c r="C477" s="258" t="s">
        <v>6024</v>
      </c>
      <c r="D477" s="261" t="s">
        <v>6025</v>
      </c>
      <c r="E477" s="262" t="s">
        <v>5098</v>
      </c>
      <c r="F477" s="265" t="s">
        <v>5516</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5972</v>
      </c>
      <c r="B478" s="257" t="s">
        <v>6003</v>
      </c>
      <c r="C478" s="258" t="s">
        <v>6026</v>
      </c>
      <c r="D478" s="261" t="s">
        <v>6027</v>
      </c>
      <c r="E478" s="262" t="s">
        <v>5098</v>
      </c>
      <c r="F478" s="265" t="s">
        <v>5577</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5972</v>
      </c>
      <c r="B479" s="257" t="s">
        <v>6003</v>
      </c>
      <c r="C479" s="258" t="s">
        <v>6028</v>
      </c>
      <c r="D479" s="261" t="s">
        <v>6029</v>
      </c>
      <c r="E479" s="262" t="s">
        <v>5213</v>
      </c>
      <c r="F479" s="265" t="s">
        <v>5577</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5972</v>
      </c>
      <c r="B480" s="257" t="s">
        <v>6003</v>
      </c>
      <c r="C480" s="258" t="s">
        <v>6030</v>
      </c>
      <c r="D480" s="261" t="s">
        <v>6031</v>
      </c>
      <c r="E480" s="262" t="s">
        <v>5213</v>
      </c>
      <c r="F480" s="265" t="s">
        <v>5577</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5972</v>
      </c>
      <c r="B481" s="270" t="s">
        <v>6003</v>
      </c>
      <c r="C481" s="271" t="s">
        <v>6032</v>
      </c>
      <c r="D481" s="272" t="s">
        <v>6033</v>
      </c>
      <c r="E481" s="273" t="s">
        <v>5213</v>
      </c>
      <c r="F481" s="274" t="s">
        <v>5208</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357</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IFERROR(INDEX('Recommendations'!$I$2:$I$56, MATCH(H2,'Recommendations'!$B$2:$B$56,0))="Implemented", FALSE))</xm:f>
            <x14:dxf>
              <font>
                <color rgb="FF000000"/>
              </font>
              <fill>
                <patternFill>
                  <bgColor rgb="FF3C7D22"/>
                </patternFill>
              </fill>
            </x14:dxf>
          </x14:cfRule>
          <x14:cfRule type="expression" priority="2" id="{00000000-000E-0000-0B00-000002000000}">
            <xm:f>AND(H2&lt;&gt;"", IFERROR(INDEX('Recommendations'!$I$2:$I$56, MATCH(H2,'Recommendations'!$B$2:$B$56,0))="Compensated", FALSE))</xm:f>
            <x14:dxf>
              <font>
                <color rgb="FF000000"/>
              </font>
              <fill>
                <patternFill>
                  <bgColor rgb="FFC6E0B4"/>
                </patternFill>
              </fill>
            </x14:dxf>
          </x14:cfRule>
          <x14:cfRule type="expression" priority="3" id="{00000000-000E-0000-0B00-000003000000}">
            <xm:f>AND(H2&lt;&gt;"", IFERROR(INDEX('Recommendations'!$I$2:$I$56, MATCH(H2,'Recommendations'!$B$2:$B$56,0))="Testing", FALSE))</xm:f>
            <x14:dxf>
              <font>
                <color rgb="FF000000"/>
              </font>
              <fill>
                <patternFill>
                  <bgColor rgb="FFFFC000"/>
                </patternFill>
              </fill>
            </x14:dxf>
          </x14:cfRule>
          <x14:cfRule type="expression" priority="4" id="{00000000-000E-0000-0B00-000004000000}">
            <xm:f>AND(H2&lt;&gt;"", IFERROR(INDEX('Recommendations'!$I$2:$I$56, MATCH(H2,'Recommendations'!$B$2:$B$56,0))="Failed", FALSE))</xm:f>
            <x14:dxf>
              <font>
                <color rgb="FF000000"/>
              </font>
              <fill>
                <patternFill>
                  <bgColor rgb="FFD82891"/>
                </patternFill>
              </fill>
            </x14:dxf>
          </x14:cfRule>
          <x14:cfRule type="expression" priority="5" id="{00000000-000E-0000-0B00-000005000000}">
            <xm:f>AND(H2&lt;&gt;"", IFERROR(INDEX('Recommendations'!$I$2:$I$56, MATCH(H2,'Recommendations'!$B$2:$B$56,0))="Risk Accepted", FALSE))</xm:f>
            <x14:dxf>
              <font>
                <color rgb="FF000000"/>
              </font>
              <fill>
                <patternFill>
                  <bgColor rgb="FFD9D9D9"/>
                </patternFill>
              </fill>
            </x14:dxf>
          </x14:cfRule>
          <x14:cfRule type="expression" priority="6" id="{00000000-000E-0000-0B00-000006000000}">
            <xm:f>AND(H2&lt;&gt;"", IFERROR(INDEX('Recommendations'!$I$2:$I$56, MATCH(H2,'Recommendations'!$B$2:$B$56,0))="N/A",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202"/>
  <sheetViews>
    <sheetView showGridLines="0" workbookViewId="0">
      <pane ySplit="10" topLeftCell="A11" activePane="bottomLeft" state="frozen"/>
      <selection pane="bottomLeft"/>
    </sheetView>
  </sheetViews>
  <sheetFormatPr defaultColWidth="9.1796875" defaultRowHeight="14.5" x14ac:dyDescent="0.35"/>
  <cols>
    <col min="1" max="1" width="3" style="18" customWidth="1"/>
    <col min="2" max="2" width="35" style="18" customWidth="1"/>
    <col min="3" max="3" width="9.54296875" style="18" customWidth="1"/>
    <col min="4" max="4" width="9.1796875" style="18" customWidth="1"/>
    <col min="5" max="5" width="12.453125" style="18" customWidth="1"/>
    <col min="6" max="14" width="9.1796875" style="18" customWidth="1"/>
    <col min="15" max="15" width="18" style="18" customWidth="1"/>
    <col min="16" max="16" width="13" style="18" customWidth="1"/>
    <col min="17" max="24" width="15" style="18" customWidth="1"/>
    <col min="25" max="25" width="9.1796875" style="18" customWidth="1"/>
    <col min="26" max="16384" width="9.1796875" style="18"/>
  </cols>
  <sheetData>
    <row r="2" spans="2:15" ht="31" x14ac:dyDescent="0.35">
      <c r="B2" s="289" t="s">
        <v>441</v>
      </c>
      <c r="C2" s="290"/>
      <c r="D2" s="290"/>
      <c r="E2" s="290"/>
      <c r="F2" s="290"/>
      <c r="G2" s="290"/>
      <c r="H2" s="290"/>
      <c r="I2" s="290"/>
    </row>
    <row r="4" spans="2:15" ht="18.5" x14ac:dyDescent="0.45">
      <c r="B4" s="39" t="s">
        <v>442</v>
      </c>
    </row>
    <row r="5" spans="2:15" x14ac:dyDescent="0.35">
      <c r="B5" s="41" t="s">
        <v>25</v>
      </c>
      <c r="C5" s="41" t="s">
        <v>443</v>
      </c>
      <c r="D5" s="41" t="s">
        <v>444</v>
      </c>
      <c r="F5" s="291" t="s">
        <v>445</v>
      </c>
      <c r="G5" s="291"/>
      <c r="H5" s="291"/>
      <c r="I5" s="292" t="s">
        <v>446</v>
      </c>
      <c r="J5" s="292"/>
      <c r="K5" s="292"/>
      <c r="L5" s="292"/>
      <c r="M5" s="292"/>
      <c r="N5" s="292"/>
      <c r="O5" s="292"/>
    </row>
    <row r="6" spans="2:15" x14ac:dyDescent="0.35">
      <c r="B6" s="47" t="s">
        <v>447</v>
      </c>
      <c r="C6" s="48">
        <v>55</v>
      </c>
      <c r="D6" s="49" t="s">
        <v>25</v>
      </c>
      <c r="F6" s="291" t="s">
        <v>448</v>
      </c>
      <c r="G6" s="291"/>
      <c r="H6" s="291"/>
      <c r="I6" s="293" t="s">
        <v>449</v>
      </c>
      <c r="J6" s="293"/>
      <c r="K6" s="293"/>
      <c r="L6" s="293"/>
      <c r="M6" s="293"/>
      <c r="N6" s="293"/>
      <c r="O6" s="293"/>
    </row>
    <row r="7" spans="2:15" x14ac:dyDescent="0.35">
      <c r="B7" s="50" t="s">
        <v>450</v>
      </c>
      <c r="C7" s="51">
        <f>C6-C8-C9</f>
        <v>55</v>
      </c>
      <c r="D7" s="52">
        <f>IF(C6&gt;0,C7/C6,0)</f>
        <v>1</v>
      </c>
      <c r="F7" s="291" t="s">
        <v>451</v>
      </c>
      <c r="G7" s="291"/>
      <c r="H7" s="291"/>
      <c r="I7" s="293" t="s">
        <v>449</v>
      </c>
      <c r="J7" s="293"/>
      <c r="K7" s="293"/>
      <c r="L7" s="293"/>
      <c r="M7" s="293"/>
      <c r="N7" s="293"/>
      <c r="O7" s="293"/>
    </row>
    <row r="8" spans="2:15" x14ac:dyDescent="0.35">
      <c r="B8" s="43" t="s">
        <v>452</v>
      </c>
      <c r="C8" s="44">
        <f>COUNTIF('Recommendations'!I:I,"Risk Accepted")</f>
        <v>0</v>
      </c>
      <c r="D8" s="45">
        <f>IF(C6&gt;0,C8/C6,0)</f>
        <v>0</v>
      </c>
      <c r="F8" s="291" t="s">
        <v>453</v>
      </c>
      <c r="G8" s="291"/>
      <c r="H8" s="291"/>
      <c r="I8" s="293" t="s">
        <v>449</v>
      </c>
      <c r="J8" s="293"/>
      <c r="K8" s="293"/>
      <c r="L8" s="293"/>
      <c r="M8" s="293"/>
      <c r="N8" s="293"/>
      <c r="O8" s="293"/>
    </row>
    <row r="9" spans="2:15" x14ac:dyDescent="0.35">
      <c r="B9" s="43" t="s">
        <v>454</v>
      </c>
      <c r="C9" s="44">
        <f>COUNTIF('Recommendations'!I:I,"N/A")</f>
        <v>0</v>
      </c>
      <c r="D9" s="45">
        <f>IF(C6&gt;0,C9/C6,0)</f>
        <v>0</v>
      </c>
      <c r="F9" s="291" t="s">
        <v>455</v>
      </c>
      <c r="G9" s="291"/>
      <c r="H9" s="291"/>
      <c r="I9" s="293" t="s">
        <v>449</v>
      </c>
      <c r="J9" s="293"/>
      <c r="K9" s="293"/>
      <c r="L9" s="293"/>
      <c r="M9" s="293"/>
      <c r="N9" s="293"/>
      <c r="O9" s="293"/>
    </row>
    <row r="12" spans="2:15" ht="18.5" x14ac:dyDescent="0.45">
      <c r="B12" s="39" t="s">
        <v>456</v>
      </c>
    </row>
    <row r="14" spans="2:15" x14ac:dyDescent="0.35">
      <c r="B14" s="53" t="s">
        <v>457</v>
      </c>
    </row>
    <row r="15" spans="2:15" x14ac:dyDescent="0.35">
      <c r="B15" s="41" t="s">
        <v>25</v>
      </c>
      <c r="C15" s="41" t="s">
        <v>458</v>
      </c>
      <c r="D15" s="41" t="s">
        <v>459</v>
      </c>
      <c r="E15" s="41" t="s">
        <v>460</v>
      </c>
      <c r="F15" s="41" t="s">
        <v>461</v>
      </c>
    </row>
    <row r="16" spans="2:15" x14ac:dyDescent="0.35">
      <c r="B16" s="43" t="s">
        <v>462</v>
      </c>
      <c r="C16" s="44">
        <f>COUNTIF('Recommendations'!P:P,"Resolved")</f>
        <v>0</v>
      </c>
      <c r="D16" s="44">
        <f>COUNTIF('Recommendations'!P:P,"Testing")</f>
        <v>0</v>
      </c>
      <c r="E16" s="44">
        <f>COUNTIF('Recommendations'!P:P,"Outstanding")</f>
        <v>55</v>
      </c>
      <c r="F16" s="44">
        <f>SUM(C16:E16)</f>
        <v>55</v>
      </c>
    </row>
    <row r="18" spans="2:6" x14ac:dyDescent="0.35">
      <c r="B18" s="53" t="s">
        <v>463</v>
      </c>
    </row>
    <row r="19" spans="2:6" x14ac:dyDescent="0.35">
      <c r="B19" s="54" t="s">
        <v>25</v>
      </c>
      <c r="C19" s="54" t="s">
        <v>458</v>
      </c>
      <c r="D19" s="54" t="s">
        <v>459</v>
      </c>
      <c r="E19" s="54" t="s">
        <v>460</v>
      </c>
      <c r="F19" s="54" t="s">
        <v>25</v>
      </c>
    </row>
    <row r="20" spans="2:6" x14ac:dyDescent="0.35">
      <c r="B20" s="43" t="s">
        <v>462</v>
      </c>
      <c r="C20" s="45">
        <f>IF(F16&gt;0, C16/F16, 0)</f>
        <v>0</v>
      </c>
      <c r="D20" s="45">
        <f>IF(F16&gt;0, D16/F16, 0)</f>
        <v>0</v>
      </c>
      <c r="E20" s="45">
        <f>IF(F16&gt;0, E16/F16, 0)</f>
        <v>1</v>
      </c>
      <c r="F20" s="46" t="s">
        <v>25</v>
      </c>
    </row>
    <row r="25" spans="2:6" ht="18.5" x14ac:dyDescent="0.45">
      <c r="B25" s="39" t="s">
        <v>464</v>
      </c>
    </row>
    <row r="27" spans="2:6" x14ac:dyDescent="0.35">
      <c r="B27" s="53" t="s">
        <v>457</v>
      </c>
    </row>
    <row r="28" spans="2:6" x14ac:dyDescent="0.35">
      <c r="B28" s="41" t="s">
        <v>4</v>
      </c>
      <c r="C28" s="41" t="s">
        <v>458</v>
      </c>
      <c r="D28" s="41" t="s">
        <v>459</v>
      </c>
      <c r="E28" s="41" t="s">
        <v>460</v>
      </c>
      <c r="F28" s="41" t="s">
        <v>461</v>
      </c>
    </row>
    <row r="29" spans="2:6" x14ac:dyDescent="0.35">
      <c r="B29" s="43" t="s">
        <v>21</v>
      </c>
      <c r="C29" s="44">
        <f>COUNTIFS('Recommendations'!E:E,"Level 1",'Recommendations'!P:P,"=Resolved")</f>
        <v>0</v>
      </c>
      <c r="D29" s="44">
        <f>COUNTIFS('Recommendations'!E:E,"=Level 1",'Recommendations'!P:P,"=Testing")</f>
        <v>0</v>
      </c>
      <c r="E29" s="44">
        <f>COUNTIFS('Recommendations'!E:E,"=Level 1",'Recommendations'!P:P,"=Outstanding")</f>
        <v>45</v>
      </c>
      <c r="F29" s="44">
        <f>SUM(C29:E29)</f>
        <v>45</v>
      </c>
    </row>
    <row r="30" spans="2:6" x14ac:dyDescent="0.35">
      <c r="B30" s="43" t="s">
        <v>87</v>
      </c>
      <c r="C30" s="44">
        <f>COUNTIFS('Recommendations'!E:E,"Level 2",'Recommendations'!P:P,"=Resolved")</f>
        <v>0</v>
      </c>
      <c r="D30" s="44">
        <f>COUNTIFS('Recommendations'!E:E,"=Level 2",'Recommendations'!P:P,"=Testing")</f>
        <v>0</v>
      </c>
      <c r="E30" s="44">
        <f>COUNTIFS('Recommendations'!E:E,"=Level 2",'Recommendations'!P:P,"=Outstanding")</f>
        <v>10</v>
      </c>
      <c r="F30" s="44">
        <f>SUM(C30:E30)</f>
        <v>10</v>
      </c>
    </row>
    <row r="32" spans="2:6" x14ac:dyDescent="0.35">
      <c r="B32" s="53" t="s">
        <v>463</v>
      </c>
    </row>
    <row r="33" spans="2:6" x14ac:dyDescent="0.35">
      <c r="B33" s="54" t="s">
        <v>4</v>
      </c>
      <c r="C33" s="54" t="s">
        <v>458</v>
      </c>
      <c r="D33" s="54" t="s">
        <v>459</v>
      </c>
      <c r="E33" s="54" t="s">
        <v>460</v>
      </c>
      <c r="F33" s="54" t="s">
        <v>25</v>
      </c>
    </row>
    <row r="34" spans="2:6" x14ac:dyDescent="0.35">
      <c r="B34" s="43" t="s">
        <v>21</v>
      </c>
      <c r="C34" s="45">
        <f>IF(F29&gt;0, C29/F29, 0)</f>
        <v>0</v>
      </c>
      <c r="D34" s="45">
        <f>IF(F29&gt;0, D29/F29, 0)</f>
        <v>0</v>
      </c>
      <c r="E34" s="45">
        <f>IF(F29&gt;0, E29/F29, 0)</f>
        <v>1</v>
      </c>
      <c r="F34" s="46" t="s">
        <v>25</v>
      </c>
    </row>
    <row r="35" spans="2:6" x14ac:dyDescent="0.35">
      <c r="B35" s="43" t="s">
        <v>87</v>
      </c>
      <c r="C35" s="45">
        <f>IF(F30&gt;0, C30/F30, 0)</f>
        <v>0</v>
      </c>
      <c r="D35" s="45">
        <f>IF(F30&gt;0, D30/F30, 0)</f>
        <v>0</v>
      </c>
      <c r="E35" s="45">
        <f>IF(F30&gt;0, E30/F30, 0)</f>
        <v>1</v>
      </c>
      <c r="F35" s="46" t="s">
        <v>25</v>
      </c>
    </row>
    <row r="40" spans="2:6" ht="18.5" x14ac:dyDescent="0.45">
      <c r="B40" s="39" t="s">
        <v>465</v>
      </c>
    </row>
    <row r="42" spans="2:6" x14ac:dyDescent="0.35">
      <c r="B42" s="53" t="s">
        <v>457</v>
      </c>
    </row>
    <row r="43" spans="2:6" x14ac:dyDescent="0.35">
      <c r="B43" s="41" t="s">
        <v>7</v>
      </c>
      <c r="C43" s="41" t="s">
        <v>458</v>
      </c>
      <c r="D43" s="41" t="s">
        <v>459</v>
      </c>
      <c r="E43" s="41" t="s">
        <v>460</v>
      </c>
      <c r="F43" s="41" t="s">
        <v>461</v>
      </c>
    </row>
    <row r="44" spans="2:6" x14ac:dyDescent="0.35">
      <c r="B44" s="43" t="s">
        <v>466</v>
      </c>
      <c r="C44" s="44">
        <f>COUNTIFS('Recommendations'!H:H,"Phase1",'Recommendations'!P:P,"=Resolved")</f>
        <v>0</v>
      </c>
      <c r="D44" s="44">
        <f>COUNTIFS('Recommendations'!H:H,"=Phase1",'Recommendations'!P:P,"=Testing")</f>
        <v>0</v>
      </c>
      <c r="E44" s="44">
        <f>COUNTIFS('Recommendations'!H:H,"=Phase1",'Recommendations'!P:P,"=Outstanding")</f>
        <v>0</v>
      </c>
      <c r="F44" s="44">
        <f t="shared" ref="F44:F49" si="0">SUM(C44:E44)</f>
        <v>0</v>
      </c>
    </row>
    <row r="45" spans="2:6" x14ac:dyDescent="0.35">
      <c r="B45" s="43" t="s">
        <v>467</v>
      </c>
      <c r="C45" s="44">
        <f>COUNTIFS('Recommendations'!H:H,"Phase2",'Recommendations'!P:P,"=Resolved")</f>
        <v>0</v>
      </c>
      <c r="D45" s="44">
        <f>COUNTIFS('Recommendations'!H:H,"=Phase2",'Recommendations'!P:P,"=Testing")</f>
        <v>0</v>
      </c>
      <c r="E45" s="44">
        <f>COUNTIFS('Recommendations'!H:H,"=Phase2",'Recommendations'!P:P,"=Outstanding")</f>
        <v>0</v>
      </c>
      <c r="F45" s="44">
        <f t="shared" si="0"/>
        <v>0</v>
      </c>
    </row>
    <row r="46" spans="2:6" x14ac:dyDescent="0.35">
      <c r="B46" s="43" t="s">
        <v>468</v>
      </c>
      <c r="C46" s="44">
        <f>COUNTIFS('Recommendations'!H:H,"Phase3",'Recommendations'!P:P,"=Resolved")</f>
        <v>0</v>
      </c>
      <c r="D46" s="44">
        <f>COUNTIFS('Recommendations'!H:H,"=Phase3",'Recommendations'!P:P,"=Testing")</f>
        <v>0</v>
      </c>
      <c r="E46" s="44">
        <f>COUNTIFS('Recommendations'!H:H,"=Phase3",'Recommendations'!P:P,"=Outstanding")</f>
        <v>0</v>
      </c>
      <c r="F46" s="44">
        <f t="shared" si="0"/>
        <v>0</v>
      </c>
    </row>
    <row r="47" spans="2:6" x14ac:dyDescent="0.35">
      <c r="B47" s="43" t="s">
        <v>469</v>
      </c>
      <c r="C47" s="44">
        <f>COUNTIFS('Recommendations'!H:H,"Phase4",'Recommendations'!P:P,"=Resolved")</f>
        <v>0</v>
      </c>
      <c r="D47" s="44">
        <f>COUNTIFS('Recommendations'!H:H,"=Phase4",'Recommendations'!P:P,"=Testing")</f>
        <v>0</v>
      </c>
      <c r="E47" s="44">
        <f>COUNTIFS('Recommendations'!H:H,"=Phase4",'Recommendations'!P:P,"=Outstanding")</f>
        <v>0</v>
      </c>
      <c r="F47" s="44">
        <f t="shared" si="0"/>
        <v>0</v>
      </c>
    </row>
    <row r="48" spans="2:6" x14ac:dyDescent="0.35">
      <c r="B48" s="43" t="s">
        <v>470</v>
      </c>
      <c r="C48" s="44">
        <f>COUNTIFS('Recommendations'!H:H,"Phase5",'Recommendations'!P:P,"=Resolved")</f>
        <v>0</v>
      </c>
      <c r="D48" s="44">
        <f>COUNTIFS('Recommendations'!H:H,"=Phase5",'Recommendations'!P:P,"=Testing")</f>
        <v>0</v>
      </c>
      <c r="E48" s="44">
        <f>COUNTIFS('Recommendations'!H:H,"=Phase5",'Recommendations'!P:P,"=Outstanding")</f>
        <v>0</v>
      </c>
      <c r="F48" s="44">
        <f t="shared" si="0"/>
        <v>0</v>
      </c>
    </row>
    <row r="49" spans="2:6" x14ac:dyDescent="0.35">
      <c r="B49" s="43" t="s">
        <v>24</v>
      </c>
      <c r="C49" s="44">
        <f>COUNTIFS('Recommendations'!H:H,"Pending",'Recommendations'!P:P,"=Resolved")</f>
        <v>0</v>
      </c>
      <c r="D49" s="44">
        <f>COUNTIFS('Recommendations'!H:H,"=Pending",'Recommendations'!P:P,"=Testing")</f>
        <v>0</v>
      </c>
      <c r="E49" s="44">
        <f>COUNTIFS('Recommendations'!H:H,"=Pending",'Recommendations'!P:P,"=Outstanding")</f>
        <v>55</v>
      </c>
      <c r="F49" s="44">
        <f t="shared" si="0"/>
        <v>55</v>
      </c>
    </row>
    <row r="51" spans="2:6" x14ac:dyDescent="0.35">
      <c r="B51" s="53" t="s">
        <v>463</v>
      </c>
    </row>
    <row r="52" spans="2:6" x14ac:dyDescent="0.35">
      <c r="B52" s="54" t="s">
        <v>7</v>
      </c>
      <c r="C52" s="54" t="s">
        <v>458</v>
      </c>
      <c r="D52" s="54" t="s">
        <v>459</v>
      </c>
      <c r="E52" s="54" t="s">
        <v>460</v>
      </c>
      <c r="F52" s="54" t="s">
        <v>25</v>
      </c>
    </row>
    <row r="53" spans="2:6" x14ac:dyDescent="0.35">
      <c r="B53" s="43" t="s">
        <v>466</v>
      </c>
      <c r="C53" s="45">
        <f t="shared" ref="C53:C58" si="1">IF(F44&gt;0, C44/F44, 0)</f>
        <v>0</v>
      </c>
      <c r="D53" s="45">
        <f t="shared" ref="D53:D58" si="2">IF(F44&gt;0, D44/F44, 0)</f>
        <v>0</v>
      </c>
      <c r="E53" s="45">
        <f t="shared" ref="E53:E58" si="3">IF(F44&gt;0, E44/F44, 0)</f>
        <v>0</v>
      </c>
      <c r="F53" s="46" t="s">
        <v>25</v>
      </c>
    </row>
    <row r="54" spans="2:6" x14ac:dyDescent="0.35">
      <c r="B54" s="43" t="s">
        <v>467</v>
      </c>
      <c r="C54" s="45">
        <f t="shared" si="1"/>
        <v>0</v>
      </c>
      <c r="D54" s="45">
        <f t="shared" si="2"/>
        <v>0</v>
      </c>
      <c r="E54" s="45">
        <f t="shared" si="3"/>
        <v>0</v>
      </c>
      <c r="F54" s="46" t="s">
        <v>25</v>
      </c>
    </row>
    <row r="55" spans="2:6" x14ac:dyDescent="0.35">
      <c r="B55" s="43" t="s">
        <v>468</v>
      </c>
      <c r="C55" s="45">
        <f t="shared" si="1"/>
        <v>0</v>
      </c>
      <c r="D55" s="45">
        <f t="shared" si="2"/>
        <v>0</v>
      </c>
      <c r="E55" s="45">
        <f t="shared" si="3"/>
        <v>0</v>
      </c>
      <c r="F55" s="46" t="s">
        <v>25</v>
      </c>
    </row>
    <row r="56" spans="2:6" x14ac:dyDescent="0.35">
      <c r="B56" s="43" t="s">
        <v>469</v>
      </c>
      <c r="C56" s="45">
        <f t="shared" si="1"/>
        <v>0</v>
      </c>
      <c r="D56" s="45">
        <f t="shared" si="2"/>
        <v>0</v>
      </c>
      <c r="E56" s="45">
        <f t="shared" si="3"/>
        <v>0</v>
      </c>
      <c r="F56" s="46" t="s">
        <v>25</v>
      </c>
    </row>
    <row r="57" spans="2:6" x14ac:dyDescent="0.35">
      <c r="B57" s="43" t="s">
        <v>470</v>
      </c>
      <c r="C57" s="45">
        <f t="shared" si="1"/>
        <v>0</v>
      </c>
      <c r="D57" s="45">
        <f t="shared" si="2"/>
        <v>0</v>
      </c>
      <c r="E57" s="45">
        <f t="shared" si="3"/>
        <v>0</v>
      </c>
      <c r="F57" s="46" t="s">
        <v>25</v>
      </c>
    </row>
    <row r="58" spans="2:6" x14ac:dyDescent="0.35">
      <c r="B58" s="43" t="s">
        <v>24</v>
      </c>
      <c r="C58" s="45">
        <f t="shared" si="1"/>
        <v>0</v>
      </c>
      <c r="D58" s="45">
        <f t="shared" si="2"/>
        <v>0</v>
      </c>
      <c r="E58" s="45">
        <f t="shared" si="3"/>
        <v>1</v>
      </c>
      <c r="F58" s="46" t="s">
        <v>25</v>
      </c>
    </row>
    <row r="63" spans="2:6" ht="18.5" x14ac:dyDescent="0.45">
      <c r="B63" s="39" t="s">
        <v>471</v>
      </c>
    </row>
    <row r="65" spans="2:6" x14ac:dyDescent="0.35">
      <c r="B65" s="53" t="s">
        <v>457</v>
      </c>
    </row>
    <row r="66" spans="2:6" x14ac:dyDescent="0.35">
      <c r="B66" s="41" t="s">
        <v>3</v>
      </c>
      <c r="C66" s="41" t="s">
        <v>458</v>
      </c>
      <c r="D66" s="41" t="s">
        <v>459</v>
      </c>
      <c r="E66" s="41" t="s">
        <v>460</v>
      </c>
      <c r="F66" s="41" t="s">
        <v>461</v>
      </c>
    </row>
    <row r="67" spans="2:6" x14ac:dyDescent="0.35">
      <c r="B67" s="43" t="s">
        <v>20</v>
      </c>
      <c r="C67" s="44">
        <f>COUNTIFS('Recommendations'!D:D,"Automated",'Recommendations'!P:P,"=Resolved")</f>
        <v>0</v>
      </c>
      <c r="D67" s="44">
        <f>COUNTIFS('Recommendations'!D:D,"=Automated",'Recommendations'!P:P,"=Testing")</f>
        <v>0</v>
      </c>
      <c r="E67" s="44">
        <f>COUNTIFS('Recommendations'!D:D,"=Automated",'Recommendations'!P:P,"=Outstanding")</f>
        <v>55</v>
      </c>
      <c r="F67" s="44">
        <f>SUM(C67:E67)</f>
        <v>55</v>
      </c>
    </row>
    <row r="69" spans="2:6" x14ac:dyDescent="0.35">
      <c r="B69" s="53" t="s">
        <v>463</v>
      </c>
    </row>
    <row r="70" spans="2:6" x14ac:dyDescent="0.35">
      <c r="B70" s="54" t="s">
        <v>3</v>
      </c>
      <c r="C70" s="54" t="s">
        <v>458</v>
      </c>
      <c r="D70" s="54" t="s">
        <v>459</v>
      </c>
      <c r="E70" s="54" t="s">
        <v>460</v>
      </c>
      <c r="F70" s="54" t="s">
        <v>25</v>
      </c>
    </row>
    <row r="71" spans="2:6" x14ac:dyDescent="0.35">
      <c r="B71" s="43" t="s">
        <v>20</v>
      </c>
      <c r="C71" s="45">
        <f>IF(F67&gt;0, C67/F67, 0)</f>
        <v>0</v>
      </c>
      <c r="D71" s="45">
        <f>IF(F67&gt;0, D67/F67, 0)</f>
        <v>0</v>
      </c>
      <c r="E71" s="45">
        <f>IF(F67&gt;0, E67/F67, 0)</f>
        <v>1</v>
      </c>
      <c r="F71" s="46" t="s">
        <v>25</v>
      </c>
    </row>
    <row r="76" spans="2:6" ht="18.5" x14ac:dyDescent="0.45">
      <c r="B76" s="39" t="s">
        <v>472</v>
      </c>
    </row>
    <row r="78" spans="2:6" x14ac:dyDescent="0.35">
      <c r="B78" s="53" t="s">
        <v>457</v>
      </c>
    </row>
    <row r="79" spans="2:6" x14ac:dyDescent="0.35">
      <c r="B79" s="41" t="s">
        <v>5</v>
      </c>
      <c r="C79" s="41" t="s">
        <v>458</v>
      </c>
      <c r="D79" s="41" t="s">
        <v>459</v>
      </c>
      <c r="E79" s="41" t="s">
        <v>460</v>
      </c>
      <c r="F79" s="41" t="s">
        <v>461</v>
      </c>
    </row>
    <row r="80" spans="2:6" x14ac:dyDescent="0.35">
      <c r="B80" s="43" t="s">
        <v>473</v>
      </c>
      <c r="C80" s="44">
        <f>COUNTIFS('Recommendations'!F:F,"Must",'Recommendations'!P:P,"=Resolved")</f>
        <v>0</v>
      </c>
      <c r="D80" s="44">
        <f>COUNTIFS('Recommendations'!F:F,"=Must",'Recommendations'!P:P,"=Testing")</f>
        <v>0</v>
      </c>
      <c r="E80" s="44">
        <f>COUNTIFS('Recommendations'!F:F,"=Must",'Recommendations'!P:P,"=Outstanding")</f>
        <v>0</v>
      </c>
      <c r="F80" s="44">
        <f>SUM(C80:E80)</f>
        <v>0</v>
      </c>
    </row>
    <row r="81" spans="2:6" x14ac:dyDescent="0.35">
      <c r="B81" s="43" t="s">
        <v>474</v>
      </c>
      <c r="C81" s="44">
        <f>COUNTIFS('Recommendations'!F:F,"Should",'Recommendations'!P:P,"=Resolved")</f>
        <v>0</v>
      </c>
      <c r="D81" s="44">
        <f>COUNTIFS('Recommendations'!F:F,"=Should",'Recommendations'!P:P,"=Testing")</f>
        <v>0</v>
      </c>
      <c r="E81" s="44">
        <f>COUNTIFS('Recommendations'!F:F,"=Should",'Recommendations'!P:P,"=Outstanding")</f>
        <v>0</v>
      </c>
      <c r="F81" s="44">
        <f>SUM(C81:E81)</f>
        <v>0</v>
      </c>
    </row>
    <row r="82" spans="2:6" x14ac:dyDescent="0.35">
      <c r="B82" s="43" t="s">
        <v>475</v>
      </c>
      <c r="C82" s="44">
        <f>COUNTIFS('Recommendations'!F:F,"Could",'Recommendations'!P:P,"=Resolved")</f>
        <v>0</v>
      </c>
      <c r="D82" s="44">
        <f>COUNTIFS('Recommendations'!F:F,"=Could",'Recommendations'!P:P,"=Testing")</f>
        <v>0</v>
      </c>
      <c r="E82" s="44">
        <f>COUNTIFS('Recommendations'!F:F,"=Could",'Recommendations'!P:P,"=Outstanding")</f>
        <v>0</v>
      </c>
      <c r="F82" s="44">
        <f>SUM(C82:E82)</f>
        <v>0</v>
      </c>
    </row>
    <row r="83" spans="2:6" x14ac:dyDescent="0.35">
      <c r="B83" s="43" t="s">
        <v>476</v>
      </c>
      <c r="C83" s="44">
        <f>COUNTIFS('Recommendations'!F:F,"Won't",'Recommendations'!P:P,"=Resolved")</f>
        <v>0</v>
      </c>
      <c r="D83" s="44">
        <f>COUNTIFS('Recommendations'!F:F,"=Won't",'Recommendations'!P:P,"=Testing")</f>
        <v>0</v>
      </c>
      <c r="E83" s="44">
        <f>COUNTIFS('Recommendations'!F:F,"=Won't",'Recommendations'!P:P,"=Outstanding")</f>
        <v>0</v>
      </c>
      <c r="F83" s="44">
        <f>SUM(C83:E83)</f>
        <v>0</v>
      </c>
    </row>
    <row r="84" spans="2:6" x14ac:dyDescent="0.35">
      <c r="B84" s="43" t="s">
        <v>22</v>
      </c>
      <c r="C84" s="44">
        <f>COUNTIFS('Recommendations'!F:F,"Unassigned",'Recommendations'!P:P,"=Resolved")</f>
        <v>0</v>
      </c>
      <c r="D84" s="44">
        <f>COUNTIFS('Recommendations'!F:F,"=Unassigned",'Recommendations'!P:P,"=Testing")</f>
        <v>0</v>
      </c>
      <c r="E84" s="44">
        <f>COUNTIFS('Recommendations'!F:F,"=Unassigned",'Recommendations'!P:P,"=Outstanding")</f>
        <v>55</v>
      </c>
      <c r="F84" s="44">
        <f>SUM(C84:E84)</f>
        <v>55</v>
      </c>
    </row>
    <row r="86" spans="2:6" x14ac:dyDescent="0.35">
      <c r="B86" s="53" t="s">
        <v>463</v>
      </c>
    </row>
    <row r="87" spans="2:6" x14ac:dyDescent="0.35">
      <c r="B87" s="54" t="s">
        <v>5</v>
      </c>
      <c r="C87" s="54" t="s">
        <v>458</v>
      </c>
      <c r="D87" s="54" t="s">
        <v>459</v>
      </c>
      <c r="E87" s="54" t="s">
        <v>460</v>
      </c>
      <c r="F87" s="54" t="s">
        <v>25</v>
      </c>
    </row>
    <row r="88" spans="2:6" x14ac:dyDescent="0.35">
      <c r="B88" s="43" t="s">
        <v>473</v>
      </c>
      <c r="C88" s="45">
        <f>IF(F80&gt;0, C80/F80, 0)</f>
        <v>0</v>
      </c>
      <c r="D88" s="45">
        <f>IF(F80&gt;0, D80/F80, 0)</f>
        <v>0</v>
      </c>
      <c r="E88" s="45">
        <f>IF(F80&gt;0, E80/F80, 0)</f>
        <v>0</v>
      </c>
      <c r="F88" s="46" t="s">
        <v>25</v>
      </c>
    </row>
    <row r="89" spans="2:6" x14ac:dyDescent="0.35">
      <c r="B89" s="43" t="s">
        <v>474</v>
      </c>
      <c r="C89" s="45">
        <f>IF(F81&gt;0, C81/F81, 0)</f>
        <v>0</v>
      </c>
      <c r="D89" s="45">
        <f>IF(F81&gt;0, D81/F81, 0)</f>
        <v>0</v>
      </c>
      <c r="E89" s="45">
        <f>IF(F81&gt;0, E81/F81, 0)</f>
        <v>0</v>
      </c>
      <c r="F89" s="46" t="s">
        <v>25</v>
      </c>
    </row>
    <row r="90" spans="2:6" x14ac:dyDescent="0.35">
      <c r="B90" s="43" t="s">
        <v>475</v>
      </c>
      <c r="C90" s="45">
        <f>IF(F82&gt;0, C82/F82, 0)</f>
        <v>0</v>
      </c>
      <c r="D90" s="45">
        <f>IF(F82&gt;0, D82/F82, 0)</f>
        <v>0</v>
      </c>
      <c r="E90" s="45">
        <f>IF(F82&gt;0, E82/F82, 0)</f>
        <v>0</v>
      </c>
      <c r="F90" s="46" t="s">
        <v>25</v>
      </c>
    </row>
    <row r="91" spans="2:6" x14ac:dyDescent="0.35">
      <c r="B91" s="43" t="s">
        <v>476</v>
      </c>
      <c r="C91" s="45">
        <f>IF(F83&gt;0, C83/F83, 0)</f>
        <v>0</v>
      </c>
      <c r="D91" s="45">
        <f>IF(F83&gt;0, D83/F83, 0)</f>
        <v>0</v>
      </c>
      <c r="E91" s="45">
        <f>IF(F83&gt;0, E83/F83, 0)</f>
        <v>0</v>
      </c>
      <c r="F91" s="46" t="s">
        <v>25</v>
      </c>
    </row>
    <row r="92" spans="2:6" x14ac:dyDescent="0.35">
      <c r="B92" s="43" t="s">
        <v>22</v>
      </c>
      <c r="C92" s="45">
        <f>IF(F84&gt;0, C84/F84, 0)</f>
        <v>0</v>
      </c>
      <c r="D92" s="45">
        <f>IF(F84&gt;0, D84/F84, 0)</f>
        <v>0</v>
      </c>
      <c r="E92" s="45">
        <f>IF(F84&gt;0, E84/F84, 0)</f>
        <v>1</v>
      </c>
      <c r="F92" s="46" t="s">
        <v>25</v>
      </c>
    </row>
    <row r="97" spans="2:6" ht="18.5" x14ac:dyDescent="0.45">
      <c r="B97" s="39" t="s">
        <v>477</v>
      </c>
    </row>
    <row r="99" spans="2:6" x14ac:dyDescent="0.35">
      <c r="B99" s="53" t="s">
        <v>457</v>
      </c>
    </row>
    <row r="100" spans="2:6" x14ac:dyDescent="0.35">
      <c r="B100" s="41" t="s">
        <v>478</v>
      </c>
      <c r="C100" s="41" t="s">
        <v>458</v>
      </c>
      <c r="D100" s="41" t="s">
        <v>459</v>
      </c>
      <c r="E100" s="41" t="s">
        <v>460</v>
      </c>
      <c r="F100" s="41" t="s">
        <v>461</v>
      </c>
    </row>
    <row r="101" spans="2:6" x14ac:dyDescent="0.35">
      <c r="B101" s="43" t="s">
        <v>479</v>
      </c>
      <c r="C101" s="44">
        <f>COUNTIFS('Recommendations'!G:G,"Low",'Recommendations'!P:P,"=Resolved")</f>
        <v>0</v>
      </c>
      <c r="D101" s="44">
        <f>COUNTIFS('Recommendations'!G:G,"=Low",'Recommendations'!P:P,"=Testing")</f>
        <v>0</v>
      </c>
      <c r="E101" s="44">
        <f>COUNTIFS('Recommendations'!G:G,"=Low",'Recommendations'!P:P,"=Outstanding")</f>
        <v>0</v>
      </c>
      <c r="F101" s="44">
        <f>SUM(C101:E101)</f>
        <v>0</v>
      </c>
    </row>
    <row r="102" spans="2:6" x14ac:dyDescent="0.35">
      <c r="B102" s="43" t="s">
        <v>480</v>
      </c>
      <c r="C102" s="44">
        <f>COUNTIFS('Recommendations'!G:G,"Medium",'Recommendations'!P:P,"=Resolved")</f>
        <v>0</v>
      </c>
      <c r="D102" s="44">
        <f>COUNTIFS('Recommendations'!G:G,"=Medium",'Recommendations'!P:P,"=Testing")</f>
        <v>0</v>
      </c>
      <c r="E102" s="44">
        <f>COUNTIFS('Recommendations'!G:G,"=Medium",'Recommendations'!P:P,"=Outstanding")</f>
        <v>0</v>
      </c>
      <c r="F102" s="44">
        <f>SUM(C102:E102)</f>
        <v>0</v>
      </c>
    </row>
    <row r="103" spans="2:6" x14ac:dyDescent="0.35">
      <c r="B103" s="43" t="s">
        <v>481</v>
      </c>
      <c r="C103" s="44">
        <f>COUNTIFS('Recommendations'!G:G,"High",'Recommendations'!P:P,"=Resolved")</f>
        <v>0</v>
      </c>
      <c r="D103" s="44">
        <f>COUNTIFS('Recommendations'!G:G,"=High",'Recommendations'!P:P,"=Testing")</f>
        <v>0</v>
      </c>
      <c r="E103" s="44">
        <f>COUNTIFS('Recommendations'!G:G,"=High",'Recommendations'!P:P,"=Outstanding")</f>
        <v>0</v>
      </c>
      <c r="F103" s="44">
        <f>SUM(C103:E103)</f>
        <v>0</v>
      </c>
    </row>
    <row r="104" spans="2:6" x14ac:dyDescent="0.35">
      <c r="B104" s="43" t="s">
        <v>23</v>
      </c>
      <c r="C104" s="44">
        <f>COUNTIFS('Recommendations'!G:G,"Unassessed",'Recommendations'!P:P,"=Resolved")</f>
        <v>0</v>
      </c>
      <c r="D104" s="44">
        <f>COUNTIFS('Recommendations'!G:G,"=Unassessed",'Recommendations'!P:P,"=Testing")</f>
        <v>0</v>
      </c>
      <c r="E104" s="44">
        <f>COUNTIFS('Recommendations'!G:G,"=Unassessed",'Recommendations'!P:P,"=Outstanding")</f>
        <v>55</v>
      </c>
      <c r="F104" s="44">
        <f>SUM(C104:E104)</f>
        <v>55</v>
      </c>
    </row>
    <row r="106" spans="2:6" x14ac:dyDescent="0.35">
      <c r="B106" s="53" t="s">
        <v>463</v>
      </c>
    </row>
    <row r="107" spans="2:6" x14ac:dyDescent="0.35">
      <c r="B107" s="54" t="s">
        <v>478</v>
      </c>
      <c r="C107" s="54" t="s">
        <v>458</v>
      </c>
      <c r="D107" s="54" t="s">
        <v>459</v>
      </c>
      <c r="E107" s="54" t="s">
        <v>460</v>
      </c>
      <c r="F107" s="54" t="s">
        <v>25</v>
      </c>
    </row>
    <row r="108" spans="2:6" x14ac:dyDescent="0.35">
      <c r="B108" s="43" t="s">
        <v>479</v>
      </c>
      <c r="C108" s="45">
        <f>IF(F101&gt;0, C101/F101, 0)</f>
        <v>0</v>
      </c>
      <c r="D108" s="45">
        <f>IF(F101&gt;0, D101/F101, 0)</f>
        <v>0</v>
      </c>
      <c r="E108" s="45">
        <f>IF(F101&gt;0, E101/F101, 0)</f>
        <v>0</v>
      </c>
      <c r="F108" s="46" t="s">
        <v>25</v>
      </c>
    </row>
    <row r="109" spans="2:6" x14ac:dyDescent="0.35">
      <c r="B109" s="43" t="s">
        <v>480</v>
      </c>
      <c r="C109" s="45">
        <f>IF(F102&gt;0, C102/F102, 0)</f>
        <v>0</v>
      </c>
      <c r="D109" s="45">
        <f>IF(F102&gt;0, D102/F102, 0)</f>
        <v>0</v>
      </c>
      <c r="E109" s="45">
        <f>IF(F102&gt;0, E102/F102, 0)</f>
        <v>0</v>
      </c>
      <c r="F109" s="46" t="s">
        <v>25</v>
      </c>
    </row>
    <row r="110" spans="2:6" x14ac:dyDescent="0.35">
      <c r="B110" s="43" t="s">
        <v>481</v>
      </c>
      <c r="C110" s="45">
        <f>IF(F103&gt;0, C103/F103, 0)</f>
        <v>0</v>
      </c>
      <c r="D110" s="45">
        <f>IF(F103&gt;0, D103/F103, 0)</f>
        <v>0</v>
      </c>
      <c r="E110" s="45">
        <f>IF(F103&gt;0, E103/F103, 0)</f>
        <v>0</v>
      </c>
      <c r="F110" s="46" t="s">
        <v>25</v>
      </c>
    </row>
    <row r="111" spans="2:6" x14ac:dyDescent="0.35">
      <c r="B111" s="43" t="s">
        <v>23</v>
      </c>
      <c r="C111" s="45">
        <f>IF(F104&gt;0, C104/F104, 0)</f>
        <v>0</v>
      </c>
      <c r="D111" s="45">
        <f>IF(F104&gt;0, D104/F104, 0)</f>
        <v>0</v>
      </c>
      <c r="E111" s="45">
        <f>IF(F104&gt;0, E104/F104, 0)</f>
        <v>1</v>
      </c>
      <c r="F111" s="46" t="s">
        <v>25</v>
      </c>
    </row>
    <row r="116" spans="2:15" ht="18.5" x14ac:dyDescent="0.45">
      <c r="B116" s="39" t="s">
        <v>482</v>
      </c>
      <c r="J116" s="39" t="s">
        <v>483</v>
      </c>
    </row>
    <row r="117" spans="2:15" x14ac:dyDescent="0.35">
      <c r="B117" s="41" t="s">
        <v>7</v>
      </c>
      <c r="C117" s="294" t="s">
        <v>484</v>
      </c>
      <c r="D117" s="294"/>
      <c r="E117" s="41" t="s">
        <v>450</v>
      </c>
      <c r="F117" s="41" t="s">
        <v>458</v>
      </c>
      <c r="G117" s="294" t="s">
        <v>485</v>
      </c>
      <c r="H117" s="294"/>
      <c r="J117" s="41" t="s">
        <v>7</v>
      </c>
      <c r="K117" s="41" t="s">
        <v>473</v>
      </c>
      <c r="L117" s="41" t="s">
        <v>474</v>
      </c>
      <c r="M117" s="41" t="s">
        <v>475</v>
      </c>
      <c r="N117" s="41" t="s">
        <v>476</v>
      </c>
      <c r="O117" s="41" t="s">
        <v>22</v>
      </c>
    </row>
    <row r="118" spans="2:15" x14ac:dyDescent="0.35">
      <c r="B118" s="47" t="s">
        <v>466</v>
      </c>
      <c r="C118" s="295" t="s">
        <v>25</v>
      </c>
      <c r="D118" s="295"/>
      <c r="E118" s="44">
        <f>COUNTIF('Recommendations'!H:H,"Phase1")-COUNTIFS('Recommendations'!H:H,"Phase1",'Recommendations'!I:I,"Risk Accepted")-COUNTIFS('Recommendations'!H:H,"Phase1",'Recommendations'!I:I,"N/A")</f>
        <v>0</v>
      </c>
      <c r="F118" s="44">
        <f>COUNTIFS('Recommendations'!H:H,"Phase1",'Recommendations'!P:P,"Resolved")</f>
        <v>0</v>
      </c>
      <c r="G118" s="296">
        <f t="shared" ref="G118:G123" si="4">IF(E118&gt;0,F118/E118,0)</f>
        <v>0</v>
      </c>
      <c r="H118" s="296"/>
      <c r="J118" s="47" t="s">
        <v>466</v>
      </c>
      <c r="K118" s="44">
        <f>COUNTIFS('Recommendations'!H:H,"Phase1",'Recommendations'!F:F,"Must")</f>
        <v>0</v>
      </c>
      <c r="L118" s="44">
        <f>COUNTIFS('Recommendations'!H:H,"Phase1",'Recommendations'!F:F,"Should")</f>
        <v>0</v>
      </c>
      <c r="M118" s="44">
        <f>COUNTIFS('Recommendations'!H:H,"Phase1",'Recommendations'!F:F,"Could")</f>
        <v>0</v>
      </c>
      <c r="N118" s="44">
        <f>COUNTIFS('Recommendations'!H:H,"Phase1",'Recommendations'!F:F,"Won't")</f>
        <v>0</v>
      </c>
      <c r="O118" s="44">
        <f>COUNTIFS('Recommendations'!H:H,"Phase1",'Recommendations'!F:F,"Unassigned")</f>
        <v>0</v>
      </c>
    </row>
    <row r="119" spans="2:15" x14ac:dyDescent="0.35">
      <c r="B119" s="47" t="s">
        <v>467</v>
      </c>
      <c r="C119" s="295" t="s">
        <v>25</v>
      </c>
      <c r="D119" s="295"/>
      <c r="E119" s="44">
        <f>COUNTIF('Recommendations'!H:H,"Phase2")-COUNTIFS('Recommendations'!H:H,"Phase2",'Recommendations'!I:I,"Risk Accepted")-COUNTIFS('Recommendations'!H:H,"Phase2",'Recommendations'!I:I,"N/A")</f>
        <v>0</v>
      </c>
      <c r="F119" s="44">
        <f>COUNTIFS('Recommendations'!H:H,"Phase2",'Recommendations'!P:P,"Resolved")</f>
        <v>0</v>
      </c>
      <c r="G119" s="296">
        <f t="shared" si="4"/>
        <v>0</v>
      </c>
      <c r="H119" s="296"/>
      <c r="J119" s="47" t="s">
        <v>467</v>
      </c>
      <c r="K119" s="44">
        <f>COUNTIFS('Recommendations'!H:H,"Phase2",'Recommendations'!F:F,"Must")</f>
        <v>0</v>
      </c>
      <c r="L119" s="44">
        <f>COUNTIFS('Recommendations'!H:H,"Phase2",'Recommendations'!F:F,"Should")</f>
        <v>0</v>
      </c>
      <c r="M119" s="44">
        <f>COUNTIFS('Recommendations'!H:H,"Phase2",'Recommendations'!F:F,"Could")</f>
        <v>0</v>
      </c>
      <c r="N119" s="44">
        <f>COUNTIFS('Recommendations'!H:H,"Phase2",'Recommendations'!F:F,"Won't")</f>
        <v>0</v>
      </c>
      <c r="O119" s="44">
        <f>COUNTIFS('Recommendations'!H:H,"Phase2",'Recommendations'!F:F,"Unassigned")</f>
        <v>0</v>
      </c>
    </row>
    <row r="120" spans="2:15" x14ac:dyDescent="0.35">
      <c r="B120" s="47" t="s">
        <v>468</v>
      </c>
      <c r="C120" s="295" t="s">
        <v>25</v>
      </c>
      <c r="D120" s="295"/>
      <c r="E120" s="44">
        <f>COUNTIF('Recommendations'!H:H,"Phase3")-COUNTIFS('Recommendations'!H:H,"Phase3",'Recommendations'!I:I,"Risk Accepted")-COUNTIFS('Recommendations'!H:H,"Phase3",'Recommendations'!I:I,"N/A")</f>
        <v>0</v>
      </c>
      <c r="F120" s="44">
        <f>COUNTIFS('Recommendations'!H:H,"Phase3",'Recommendations'!P:P,"Resolved")</f>
        <v>0</v>
      </c>
      <c r="G120" s="296">
        <f t="shared" si="4"/>
        <v>0</v>
      </c>
      <c r="H120" s="296"/>
      <c r="J120" s="47" t="s">
        <v>468</v>
      </c>
      <c r="K120" s="44">
        <f>COUNTIFS('Recommendations'!H:H,"Phase3",'Recommendations'!F:F,"Must")</f>
        <v>0</v>
      </c>
      <c r="L120" s="44">
        <f>COUNTIFS('Recommendations'!H:H,"Phase3",'Recommendations'!F:F,"Should")</f>
        <v>0</v>
      </c>
      <c r="M120" s="44">
        <f>COUNTIFS('Recommendations'!H:H,"Phase3",'Recommendations'!F:F,"Could")</f>
        <v>0</v>
      </c>
      <c r="N120" s="44">
        <f>COUNTIFS('Recommendations'!H:H,"Phase3",'Recommendations'!F:F,"Won't")</f>
        <v>0</v>
      </c>
      <c r="O120" s="44">
        <f>COUNTIFS('Recommendations'!H:H,"Phase3",'Recommendations'!F:F,"Unassigned")</f>
        <v>0</v>
      </c>
    </row>
    <row r="121" spans="2:15" x14ac:dyDescent="0.35">
      <c r="B121" s="47" t="s">
        <v>469</v>
      </c>
      <c r="C121" s="295" t="s">
        <v>25</v>
      </c>
      <c r="D121" s="295"/>
      <c r="E121" s="44">
        <f>COUNTIF('Recommendations'!H:H,"Phase4")-COUNTIFS('Recommendations'!H:H,"Phase4",'Recommendations'!I:I,"Risk Accepted")-COUNTIFS('Recommendations'!H:H,"Phase4",'Recommendations'!I:I,"N/A")</f>
        <v>0</v>
      </c>
      <c r="F121" s="44">
        <f>COUNTIFS('Recommendations'!H:H,"Phase4",'Recommendations'!P:P,"Resolved")</f>
        <v>0</v>
      </c>
      <c r="G121" s="296">
        <f t="shared" si="4"/>
        <v>0</v>
      </c>
      <c r="H121" s="296"/>
      <c r="J121" s="47" t="s">
        <v>469</v>
      </c>
      <c r="K121" s="44">
        <f>COUNTIFS('Recommendations'!H:H,"Phase4",'Recommendations'!F:F,"Must")</f>
        <v>0</v>
      </c>
      <c r="L121" s="44">
        <f>COUNTIFS('Recommendations'!H:H,"Phase4",'Recommendations'!F:F,"Should")</f>
        <v>0</v>
      </c>
      <c r="M121" s="44">
        <f>COUNTIFS('Recommendations'!H:H,"Phase4",'Recommendations'!F:F,"Could")</f>
        <v>0</v>
      </c>
      <c r="N121" s="44">
        <f>COUNTIFS('Recommendations'!H:H,"Phase4",'Recommendations'!F:F,"Won't")</f>
        <v>0</v>
      </c>
      <c r="O121" s="44">
        <f>COUNTIFS('Recommendations'!H:H,"Phase4",'Recommendations'!F:F,"Unassigned")</f>
        <v>0</v>
      </c>
    </row>
    <row r="122" spans="2:15" x14ac:dyDescent="0.35">
      <c r="B122" s="47" t="s">
        <v>470</v>
      </c>
      <c r="C122" s="295" t="s">
        <v>25</v>
      </c>
      <c r="D122" s="295"/>
      <c r="E122" s="44">
        <f>COUNTIF('Recommendations'!H:H,"Phase5")-COUNTIFS('Recommendations'!H:H,"Phase5",'Recommendations'!I:I,"Risk Accepted")-COUNTIFS('Recommendations'!H:H,"Phase5",'Recommendations'!I:I,"N/A")</f>
        <v>0</v>
      </c>
      <c r="F122" s="44">
        <f>COUNTIFS('Recommendations'!H:H,"Phase5",'Recommendations'!P:P,"Resolved")</f>
        <v>0</v>
      </c>
      <c r="G122" s="296">
        <f t="shared" si="4"/>
        <v>0</v>
      </c>
      <c r="H122" s="296"/>
      <c r="J122" s="47" t="s">
        <v>470</v>
      </c>
      <c r="K122" s="44">
        <f>COUNTIFS('Recommendations'!H:H,"Phase5",'Recommendations'!F:F,"Must")</f>
        <v>0</v>
      </c>
      <c r="L122" s="44">
        <f>COUNTIFS('Recommendations'!H:H,"Phase5",'Recommendations'!F:F,"Should")</f>
        <v>0</v>
      </c>
      <c r="M122" s="44">
        <f>COUNTIFS('Recommendations'!H:H,"Phase5",'Recommendations'!F:F,"Could")</f>
        <v>0</v>
      </c>
      <c r="N122" s="44">
        <f>COUNTIFS('Recommendations'!H:H,"Phase5",'Recommendations'!F:F,"Won't")</f>
        <v>0</v>
      </c>
      <c r="O122" s="44">
        <f>COUNTIFS('Recommendations'!H:H,"Phase5",'Recommendations'!F:F,"Unassigned")</f>
        <v>0</v>
      </c>
    </row>
    <row r="123" spans="2:15" x14ac:dyDescent="0.35">
      <c r="B123" s="47" t="s">
        <v>24</v>
      </c>
      <c r="C123" s="295" t="s">
        <v>25</v>
      </c>
      <c r="D123" s="295"/>
      <c r="E123" s="44">
        <f>COUNTIF('Recommendations'!H:H,"Pending")-COUNTIFS('Recommendations'!H:H,"Pending",'Recommendations'!I:I,"Risk Accepted")-COUNTIFS('Recommendations'!H:H,"Pending",'Recommendations'!I:I,"N/A")</f>
        <v>55</v>
      </c>
      <c r="F123" s="44">
        <f>COUNTIFS('Recommendations'!H:H,"Pending",'Recommendations'!P:P,"Resolved")</f>
        <v>0</v>
      </c>
      <c r="G123" s="296">
        <f t="shared" si="4"/>
        <v>0</v>
      </c>
      <c r="H123" s="296"/>
      <c r="J123" s="47" t="s">
        <v>24</v>
      </c>
      <c r="K123" s="44">
        <f>COUNTIFS('Recommendations'!H:H,"Pending",'Recommendations'!F:F,"Must")</f>
        <v>0</v>
      </c>
      <c r="L123" s="44">
        <f>COUNTIFS('Recommendations'!H:H,"Pending",'Recommendations'!F:F,"Should")</f>
        <v>0</v>
      </c>
      <c r="M123" s="44">
        <f>COUNTIFS('Recommendations'!H:H,"Pending",'Recommendations'!F:F,"Could")</f>
        <v>0</v>
      </c>
      <c r="N123" s="44">
        <f>COUNTIFS('Recommendations'!H:H,"Pending",'Recommendations'!F:F,"Won't")</f>
        <v>0</v>
      </c>
      <c r="O123" s="44">
        <f>COUNTIFS('Recommendations'!H:H,"Pending",'Recommendations'!F:F,"Unassigned")</f>
        <v>55</v>
      </c>
    </row>
    <row r="130" spans="2:24" ht="21" x14ac:dyDescent="0.5">
      <c r="B130" s="39" t="s">
        <v>486</v>
      </c>
      <c r="P130" s="56" t="s">
        <v>487</v>
      </c>
    </row>
    <row r="132" spans="2:24" ht="60" customHeight="1" x14ac:dyDescent="0.35">
      <c r="B132" s="297" t="s">
        <v>488</v>
      </c>
      <c r="C132" s="290"/>
      <c r="D132" s="290"/>
      <c r="E132" s="290"/>
      <c r="F132" s="290"/>
      <c r="P132" s="297" t="s">
        <v>489</v>
      </c>
      <c r="Q132" s="290"/>
      <c r="R132" s="290"/>
      <c r="S132" s="290"/>
      <c r="T132" s="290"/>
      <c r="U132" s="290"/>
      <c r="V132" s="290"/>
      <c r="W132" s="290"/>
    </row>
    <row r="134" spans="2:24" ht="30" customHeight="1" x14ac:dyDescent="0.35">
      <c r="P134" s="57" t="s">
        <v>490</v>
      </c>
      <c r="Q134" s="58">
        <f>C16</f>
        <v>0</v>
      </c>
      <c r="R134" s="59"/>
      <c r="S134" s="58">
        <f>C80</f>
        <v>0</v>
      </c>
      <c r="T134" s="59"/>
      <c r="U134" s="58">
        <f>C81</f>
        <v>0</v>
      </c>
      <c r="V134" s="59"/>
      <c r="W134" s="58">
        <f>C82</f>
        <v>0</v>
      </c>
      <c r="X134" s="59"/>
    </row>
    <row r="135" spans="2:24" ht="35" customHeight="1" x14ac:dyDescent="0.35">
      <c r="P135" s="60" t="s">
        <v>491</v>
      </c>
      <c r="Q135" s="60" t="s">
        <v>492</v>
      </c>
      <c r="R135" s="60" t="s">
        <v>493</v>
      </c>
      <c r="S135" s="60" t="s">
        <v>494</v>
      </c>
      <c r="T135" s="60" t="s">
        <v>495</v>
      </c>
      <c r="U135" s="60" t="s">
        <v>496</v>
      </c>
      <c r="V135" s="60" t="s">
        <v>497</v>
      </c>
      <c r="W135" s="60" t="s">
        <v>498</v>
      </c>
      <c r="X135" s="60" t="s">
        <v>499</v>
      </c>
    </row>
    <row r="136" spans="2:24" x14ac:dyDescent="0.35">
      <c r="O136" s="61" t="s">
        <v>500</v>
      </c>
      <c r="P136" s="62" t="s">
        <v>501</v>
      </c>
      <c r="Q136" s="63">
        <v>0</v>
      </c>
      <c r="R136" s="64">
        <f>IF(Dashboard!F16&gt;0, Q136/Dashboard!F16, "")</f>
        <v>0</v>
      </c>
      <c r="S136" s="63">
        <v>0</v>
      </c>
      <c r="T136" s="64" t="str">
        <f>IF(AND(NOT(ISBLANK(S136)),Dashboard!F80&gt;0), S136/Dashboard!F80, "")</f>
        <v/>
      </c>
      <c r="U136" s="63">
        <v>0</v>
      </c>
      <c r="V136" s="64" t="str">
        <f>IF(AND(NOT(ISBLANK(U136)),Dashboard!F81&gt;0), U136/Dashboard!F81, "")</f>
        <v/>
      </c>
      <c r="W136" s="63">
        <v>0</v>
      </c>
      <c r="X136" s="64" t="str">
        <f>IF(AND(NOT(ISBLANK(W136)),Dashboard!F82&gt;0), W136/Dashboard!F82, "")</f>
        <v/>
      </c>
    </row>
    <row r="137" spans="2:24" x14ac:dyDescent="0.35">
      <c r="P137" s="55"/>
      <c r="Q137" s="42"/>
      <c r="R137" s="45" t="str">
        <f>IF(AND(NOT(ISBLANK(Q137)),Dashboard!F16&gt;0), Q137/Dashboard!F16, "")</f>
        <v/>
      </c>
      <c r="S137" s="42"/>
      <c r="T137" s="45" t="str">
        <f>IF(AND(NOT(ISBLANK(S137)),Dashboard!F80&gt;0), S137/Dashboard!F80, "")</f>
        <v/>
      </c>
      <c r="U137" s="42"/>
      <c r="V137" s="45" t="str">
        <f>IF(AND(NOT(ISBLANK(U137)),Dashboard!F81&gt;0), U137/Dashboard!F81, "")</f>
        <v/>
      </c>
      <c r="W137" s="42"/>
      <c r="X137" s="45" t="str">
        <f>IF(AND(NOT(ISBLANK(W137)),Dashboard!F82&gt;0), W137/Dashboard!F82, "")</f>
        <v/>
      </c>
    </row>
    <row r="138" spans="2:24" x14ac:dyDescent="0.35">
      <c r="P138" s="55"/>
      <c r="Q138" s="42"/>
      <c r="R138" s="45" t="str">
        <f>IF(AND(NOT(ISBLANK(Q138)),Dashboard!F16&gt;0), Q138/Dashboard!F16, "")</f>
        <v/>
      </c>
      <c r="S138" s="42"/>
      <c r="T138" s="45" t="str">
        <f>IF(AND(NOT(ISBLANK(S138)),Dashboard!F80&gt;0), S138/Dashboard!F80, "")</f>
        <v/>
      </c>
      <c r="U138" s="42"/>
      <c r="V138" s="45" t="str">
        <f>IF(AND(NOT(ISBLANK(U138)),Dashboard!F81&gt;0), U138/Dashboard!F81, "")</f>
        <v/>
      </c>
      <c r="W138" s="42"/>
      <c r="X138" s="45" t="str">
        <f>IF(AND(NOT(ISBLANK(W138)),Dashboard!F82&gt;0), W138/Dashboard!F82, "")</f>
        <v/>
      </c>
    </row>
    <row r="139" spans="2:24" x14ac:dyDescent="0.35">
      <c r="P139" s="55"/>
      <c r="Q139" s="42"/>
      <c r="R139" s="45" t="str">
        <f>IF(AND(NOT(ISBLANK(Q139)),Dashboard!F16&gt;0), Q139/Dashboard!F16, "")</f>
        <v/>
      </c>
      <c r="S139" s="42"/>
      <c r="T139" s="45" t="str">
        <f>IF(AND(NOT(ISBLANK(S139)),Dashboard!F80&gt;0), S139/Dashboard!F80, "")</f>
        <v/>
      </c>
      <c r="U139" s="42"/>
      <c r="V139" s="45" t="str">
        <f>IF(AND(NOT(ISBLANK(U139)),Dashboard!F81&gt;0), U139/Dashboard!F81, "")</f>
        <v/>
      </c>
      <c r="W139" s="42"/>
      <c r="X139" s="45" t="str">
        <f>IF(AND(NOT(ISBLANK(W139)),Dashboard!F82&gt;0), W139/Dashboard!F82, "")</f>
        <v/>
      </c>
    </row>
    <row r="140" spans="2:24" x14ac:dyDescent="0.35">
      <c r="P140" s="55"/>
      <c r="Q140" s="42"/>
      <c r="R140" s="45" t="str">
        <f>IF(AND(NOT(ISBLANK(Q140)),Dashboard!F16&gt;0), Q140/Dashboard!F16, "")</f>
        <v/>
      </c>
      <c r="S140" s="42"/>
      <c r="T140" s="45" t="str">
        <f>IF(AND(NOT(ISBLANK(S140)),Dashboard!F80&gt;0), S140/Dashboard!F80, "")</f>
        <v/>
      </c>
      <c r="U140" s="42"/>
      <c r="V140" s="45" t="str">
        <f>IF(AND(NOT(ISBLANK(U140)),Dashboard!F81&gt;0), U140/Dashboard!F81, "")</f>
        <v/>
      </c>
      <c r="W140" s="42"/>
      <c r="X140" s="45" t="str">
        <f>IF(AND(NOT(ISBLANK(W140)),Dashboard!F82&gt;0), W140/Dashboard!F82, "")</f>
        <v/>
      </c>
    </row>
    <row r="141" spans="2:24" x14ac:dyDescent="0.35">
      <c r="P141" s="55"/>
      <c r="Q141" s="42"/>
      <c r="R141" s="45" t="str">
        <f>IF(AND(NOT(ISBLANK(Q141)),Dashboard!F16&gt;0), Q141/Dashboard!F16, "")</f>
        <v/>
      </c>
      <c r="S141" s="42"/>
      <c r="T141" s="45" t="str">
        <f>IF(AND(NOT(ISBLANK(S141)),Dashboard!F80&gt;0), S141/Dashboard!F80, "")</f>
        <v/>
      </c>
      <c r="U141" s="42"/>
      <c r="V141" s="45" t="str">
        <f>IF(AND(NOT(ISBLANK(U141)),Dashboard!F81&gt;0), U141/Dashboard!F81, "")</f>
        <v/>
      </c>
      <c r="W141" s="42"/>
      <c r="X141" s="45" t="str">
        <f>IF(AND(NOT(ISBLANK(W141)),Dashboard!F82&gt;0), W141/Dashboard!F82, "")</f>
        <v/>
      </c>
    </row>
    <row r="142" spans="2:24" x14ac:dyDescent="0.35">
      <c r="P142" s="55"/>
      <c r="Q142" s="42"/>
      <c r="R142" s="45" t="str">
        <f>IF(AND(NOT(ISBLANK(Q142)),Dashboard!F16&gt;0), Q142/Dashboard!F16, "")</f>
        <v/>
      </c>
      <c r="S142" s="42"/>
      <c r="T142" s="45" t="str">
        <f>IF(AND(NOT(ISBLANK(S142)),Dashboard!F80&gt;0), S142/Dashboard!F80, "")</f>
        <v/>
      </c>
      <c r="U142" s="42"/>
      <c r="V142" s="45" t="str">
        <f>IF(AND(NOT(ISBLANK(U142)),Dashboard!F81&gt;0), U142/Dashboard!F81, "")</f>
        <v/>
      </c>
      <c r="W142" s="42"/>
      <c r="X142" s="45" t="str">
        <f>IF(AND(NOT(ISBLANK(W142)),Dashboard!F82&gt;0), W142/Dashboard!F82, "")</f>
        <v/>
      </c>
    </row>
    <row r="143" spans="2:24" x14ac:dyDescent="0.35">
      <c r="P143" s="55"/>
      <c r="Q143" s="42"/>
      <c r="R143" s="45" t="str">
        <f>IF(AND(NOT(ISBLANK(Q143)),Dashboard!F16&gt;0), Q143/Dashboard!F16, "")</f>
        <v/>
      </c>
      <c r="S143" s="42"/>
      <c r="T143" s="45" t="str">
        <f>IF(AND(NOT(ISBLANK(S143)),Dashboard!F80&gt;0), S143/Dashboard!F80, "")</f>
        <v/>
      </c>
      <c r="U143" s="42"/>
      <c r="V143" s="45" t="str">
        <f>IF(AND(NOT(ISBLANK(U143)),Dashboard!F81&gt;0), U143/Dashboard!F81, "")</f>
        <v/>
      </c>
      <c r="W143" s="42"/>
      <c r="X143" s="45" t="str">
        <f>IF(AND(NOT(ISBLANK(W143)),Dashboard!F82&gt;0), W143/Dashboard!F82, "")</f>
        <v/>
      </c>
    </row>
    <row r="144" spans="2:24" x14ac:dyDescent="0.35">
      <c r="P144" s="55"/>
      <c r="Q144" s="42"/>
      <c r="R144" s="45" t="str">
        <f>IF(AND(NOT(ISBLANK(Q144)),Dashboard!F16&gt;0), Q144/Dashboard!F16, "")</f>
        <v/>
      </c>
      <c r="S144" s="42"/>
      <c r="T144" s="45" t="str">
        <f>IF(AND(NOT(ISBLANK(S144)),Dashboard!F80&gt;0), S144/Dashboard!F80, "")</f>
        <v/>
      </c>
      <c r="U144" s="42"/>
      <c r="V144" s="45" t="str">
        <f>IF(AND(NOT(ISBLANK(U144)),Dashboard!F81&gt;0), U144/Dashboard!F81, "")</f>
        <v/>
      </c>
      <c r="W144" s="42"/>
      <c r="X144" s="45" t="str">
        <f>IF(AND(NOT(ISBLANK(W144)),Dashboard!F82&gt;0), W144/Dashboard!F82, "")</f>
        <v/>
      </c>
    </row>
    <row r="145" spans="16:24" x14ac:dyDescent="0.35">
      <c r="P145" s="55"/>
      <c r="Q145" s="42"/>
      <c r="R145" s="45" t="str">
        <f>IF(AND(NOT(ISBLANK(Q145)),Dashboard!F16&gt;0), Q145/Dashboard!F16, "")</f>
        <v/>
      </c>
      <c r="S145" s="42"/>
      <c r="T145" s="45" t="str">
        <f>IF(AND(NOT(ISBLANK(S145)),Dashboard!F80&gt;0), S145/Dashboard!F80, "")</f>
        <v/>
      </c>
      <c r="U145" s="42"/>
      <c r="V145" s="45" t="str">
        <f>IF(AND(NOT(ISBLANK(U145)),Dashboard!F81&gt;0), U145/Dashboard!F81, "")</f>
        <v/>
      </c>
      <c r="W145" s="42"/>
      <c r="X145" s="45" t="str">
        <f>IF(AND(NOT(ISBLANK(W145)),Dashboard!F82&gt;0), W145/Dashboard!F82, "")</f>
        <v/>
      </c>
    </row>
    <row r="146" spans="16:24" x14ac:dyDescent="0.35">
      <c r="P146" s="55"/>
      <c r="Q146" s="42"/>
      <c r="R146" s="45" t="str">
        <f>IF(AND(NOT(ISBLANK(Q146)),Dashboard!F16&gt;0), Q146/Dashboard!F16, "")</f>
        <v/>
      </c>
      <c r="S146" s="42"/>
      <c r="T146" s="45" t="str">
        <f>IF(AND(NOT(ISBLANK(S146)),Dashboard!F80&gt;0), S146/Dashboard!F80, "")</f>
        <v/>
      </c>
      <c r="U146" s="42"/>
      <c r="V146" s="45" t="str">
        <f>IF(AND(NOT(ISBLANK(U146)),Dashboard!F81&gt;0), U146/Dashboard!F81, "")</f>
        <v/>
      </c>
      <c r="W146" s="42"/>
      <c r="X146" s="45" t="str">
        <f>IF(AND(NOT(ISBLANK(W146)),Dashboard!F82&gt;0), W146/Dashboard!F82, "")</f>
        <v/>
      </c>
    </row>
    <row r="147" spans="16:24" x14ac:dyDescent="0.35">
      <c r="P147" s="55"/>
      <c r="Q147" s="42"/>
      <c r="R147" s="45" t="str">
        <f>IF(AND(NOT(ISBLANK(Q147)),Dashboard!F16&gt;0), Q147/Dashboard!F16, "")</f>
        <v/>
      </c>
      <c r="S147" s="42"/>
      <c r="T147" s="45" t="str">
        <f>IF(AND(NOT(ISBLANK(S147)),Dashboard!F80&gt;0), S147/Dashboard!F80, "")</f>
        <v/>
      </c>
      <c r="U147" s="42"/>
      <c r="V147" s="45" t="str">
        <f>IF(AND(NOT(ISBLANK(U147)),Dashboard!F81&gt;0), U147/Dashboard!F81, "")</f>
        <v/>
      </c>
      <c r="W147" s="42"/>
      <c r="X147" s="45" t="str">
        <f>IF(AND(NOT(ISBLANK(W147)),Dashboard!F82&gt;0), W147/Dashboard!F82, "")</f>
        <v/>
      </c>
    </row>
    <row r="148" spans="16:24" x14ac:dyDescent="0.35">
      <c r="P148" s="55"/>
      <c r="Q148" s="42"/>
      <c r="R148" s="45" t="str">
        <f>IF(AND(NOT(ISBLANK(Q148)),Dashboard!F16&gt;0), Q148/Dashboard!F16, "")</f>
        <v/>
      </c>
      <c r="S148" s="42"/>
      <c r="T148" s="45" t="str">
        <f>IF(AND(NOT(ISBLANK(S148)),Dashboard!F80&gt;0), S148/Dashboard!F80, "")</f>
        <v/>
      </c>
      <c r="U148" s="42"/>
      <c r="V148" s="45" t="str">
        <f>IF(AND(NOT(ISBLANK(U148)),Dashboard!F81&gt;0), U148/Dashboard!F81, "")</f>
        <v/>
      </c>
      <c r="W148" s="42"/>
      <c r="X148" s="45" t="str">
        <f>IF(AND(NOT(ISBLANK(W148)),Dashboard!F82&gt;0), W148/Dashboard!F82, "")</f>
        <v/>
      </c>
    </row>
    <row r="149" spans="16:24" x14ac:dyDescent="0.35">
      <c r="P149" s="55"/>
      <c r="Q149" s="42"/>
      <c r="R149" s="45" t="str">
        <f>IF(AND(NOT(ISBLANK(Q149)),Dashboard!F16&gt;0), Q149/Dashboard!F16, "")</f>
        <v/>
      </c>
      <c r="S149" s="42"/>
      <c r="T149" s="45" t="str">
        <f>IF(AND(NOT(ISBLANK(S149)),Dashboard!F80&gt;0), S149/Dashboard!F80, "")</f>
        <v/>
      </c>
      <c r="U149" s="42"/>
      <c r="V149" s="45" t="str">
        <f>IF(AND(NOT(ISBLANK(U149)),Dashboard!F81&gt;0), U149/Dashboard!F81, "")</f>
        <v/>
      </c>
      <c r="W149" s="42"/>
      <c r="X149" s="45" t="str">
        <f>IF(AND(NOT(ISBLANK(W149)),Dashboard!F82&gt;0), W149/Dashboard!F82, "")</f>
        <v/>
      </c>
    </row>
    <row r="150" spans="16:24" x14ac:dyDescent="0.35">
      <c r="P150" s="55"/>
      <c r="Q150" s="42"/>
      <c r="R150" s="45" t="str">
        <f>IF(AND(NOT(ISBLANK(Q150)),Dashboard!F16&gt;0), Q150/Dashboard!F16, "")</f>
        <v/>
      </c>
      <c r="S150" s="42"/>
      <c r="T150" s="45" t="str">
        <f>IF(AND(NOT(ISBLANK(S150)),Dashboard!F80&gt;0), S150/Dashboard!F80, "")</f>
        <v/>
      </c>
      <c r="U150" s="42"/>
      <c r="V150" s="45" t="str">
        <f>IF(AND(NOT(ISBLANK(U150)),Dashboard!F81&gt;0), U150/Dashboard!F81, "")</f>
        <v/>
      </c>
      <c r="W150" s="42"/>
      <c r="X150" s="45" t="str">
        <f>IF(AND(NOT(ISBLANK(W150)),Dashboard!F82&gt;0), W150/Dashboard!F82, "")</f>
        <v/>
      </c>
    </row>
    <row r="151" spans="16:24" x14ac:dyDescent="0.35">
      <c r="P151" s="55"/>
      <c r="Q151" s="42"/>
      <c r="R151" s="45" t="str">
        <f>IF(AND(NOT(ISBLANK(Q151)),Dashboard!F16&gt;0), Q151/Dashboard!F16, "")</f>
        <v/>
      </c>
      <c r="S151" s="42"/>
      <c r="T151" s="45" t="str">
        <f>IF(AND(NOT(ISBLANK(S151)),Dashboard!F80&gt;0), S151/Dashboard!F80, "")</f>
        <v/>
      </c>
      <c r="U151" s="42"/>
      <c r="V151" s="45" t="str">
        <f>IF(AND(NOT(ISBLANK(U151)),Dashboard!F81&gt;0), U151/Dashboard!F81, "")</f>
        <v/>
      </c>
      <c r="W151" s="42"/>
      <c r="X151" s="45" t="str">
        <f>IF(AND(NOT(ISBLANK(W151)),Dashboard!F82&gt;0), W151/Dashboard!F82, "")</f>
        <v/>
      </c>
    </row>
    <row r="152" spans="16:24" x14ac:dyDescent="0.35">
      <c r="P152" s="55"/>
      <c r="Q152" s="42"/>
      <c r="R152" s="45" t="str">
        <f>IF(AND(NOT(ISBLANK(Q152)),Dashboard!F16&gt;0), Q152/Dashboard!F16, "")</f>
        <v/>
      </c>
      <c r="S152" s="42"/>
      <c r="T152" s="45" t="str">
        <f>IF(AND(NOT(ISBLANK(S152)),Dashboard!F80&gt;0), S152/Dashboard!F80, "")</f>
        <v/>
      </c>
      <c r="U152" s="42"/>
      <c r="V152" s="45" t="str">
        <f>IF(AND(NOT(ISBLANK(U152)),Dashboard!F81&gt;0), U152/Dashboard!F81, "")</f>
        <v/>
      </c>
      <c r="W152" s="42"/>
      <c r="X152" s="45" t="str">
        <f>IF(AND(NOT(ISBLANK(W152)),Dashboard!F82&gt;0), W152/Dashboard!F82, "")</f>
        <v/>
      </c>
    </row>
    <row r="153" spans="16:24" x14ac:dyDescent="0.35">
      <c r="P153" s="55"/>
      <c r="Q153" s="42"/>
      <c r="R153" s="45" t="str">
        <f>IF(AND(NOT(ISBLANK(Q153)),Dashboard!F16&gt;0), Q153/Dashboard!F16, "")</f>
        <v/>
      </c>
      <c r="S153" s="42"/>
      <c r="T153" s="45" t="str">
        <f>IF(AND(NOT(ISBLANK(S153)),Dashboard!F80&gt;0), S153/Dashboard!F80, "")</f>
        <v/>
      </c>
      <c r="U153" s="42"/>
      <c r="V153" s="45" t="str">
        <f>IF(AND(NOT(ISBLANK(U153)),Dashboard!F81&gt;0), U153/Dashboard!F81, "")</f>
        <v/>
      </c>
      <c r="W153" s="42"/>
      <c r="X153" s="45" t="str">
        <f>IF(AND(NOT(ISBLANK(W153)),Dashboard!F82&gt;0), W153/Dashboard!F82, "")</f>
        <v/>
      </c>
    </row>
    <row r="154" spans="16:24" x14ac:dyDescent="0.35">
      <c r="P154" s="55"/>
      <c r="Q154" s="42"/>
      <c r="R154" s="45" t="str">
        <f>IF(AND(NOT(ISBLANK(Q154)),Dashboard!F16&gt;0), Q154/Dashboard!F16, "")</f>
        <v/>
      </c>
      <c r="S154" s="42"/>
      <c r="T154" s="45" t="str">
        <f>IF(AND(NOT(ISBLANK(S154)),Dashboard!F80&gt;0), S154/Dashboard!F80, "")</f>
        <v/>
      </c>
      <c r="U154" s="42"/>
      <c r="V154" s="45" t="str">
        <f>IF(AND(NOT(ISBLANK(U154)),Dashboard!F81&gt;0), U154/Dashboard!F81, "")</f>
        <v/>
      </c>
      <c r="W154" s="42"/>
      <c r="X154" s="45" t="str">
        <f>IF(AND(NOT(ISBLANK(W154)),Dashboard!F82&gt;0), W154/Dashboard!F82, "")</f>
        <v/>
      </c>
    </row>
    <row r="155" spans="16:24" x14ac:dyDescent="0.35">
      <c r="P155" s="55"/>
      <c r="Q155" s="42"/>
      <c r="R155" s="45" t="str">
        <f>IF(AND(NOT(ISBLANK(Q155)),Dashboard!F16&gt;0), Q155/Dashboard!F16, "")</f>
        <v/>
      </c>
      <c r="S155" s="42"/>
      <c r="T155" s="45" t="str">
        <f>IF(AND(NOT(ISBLANK(S155)),Dashboard!F80&gt;0), S155/Dashboard!F80, "")</f>
        <v/>
      </c>
      <c r="U155" s="42"/>
      <c r="V155" s="45" t="str">
        <f>IF(AND(NOT(ISBLANK(U155)),Dashboard!F81&gt;0), U155/Dashboard!F81, "")</f>
        <v/>
      </c>
      <c r="W155" s="42"/>
      <c r="X155" s="45" t="str">
        <f>IF(AND(NOT(ISBLANK(W155)),Dashboard!F82&gt;0), W155/Dashboard!F82, "")</f>
        <v/>
      </c>
    </row>
    <row r="156" spans="16:24" x14ac:dyDescent="0.35">
      <c r="P156" s="55"/>
      <c r="Q156" s="42"/>
      <c r="R156" s="45" t="str">
        <f>IF(AND(NOT(ISBLANK(Q156)),Dashboard!F16&gt;0), Q156/Dashboard!F16, "")</f>
        <v/>
      </c>
      <c r="S156" s="42"/>
      <c r="T156" s="45" t="str">
        <f>IF(AND(NOT(ISBLANK(S156)),Dashboard!F80&gt;0), S156/Dashboard!F80, "")</f>
        <v/>
      </c>
      <c r="U156" s="42"/>
      <c r="V156" s="45" t="str">
        <f>IF(AND(NOT(ISBLANK(U156)),Dashboard!F81&gt;0), U156/Dashboard!F81, "")</f>
        <v/>
      </c>
      <c r="W156" s="42"/>
      <c r="X156" s="45" t="str">
        <f>IF(AND(NOT(ISBLANK(W156)),Dashboard!F82&gt;0), W156/Dashboard!F82, "")</f>
        <v/>
      </c>
    </row>
    <row r="157" spans="16:24" x14ac:dyDescent="0.35">
      <c r="P157" s="55"/>
      <c r="Q157" s="42"/>
      <c r="R157" s="45" t="str">
        <f>IF(AND(NOT(ISBLANK(Q157)),Dashboard!F16&gt;0), Q157/Dashboard!F16, "")</f>
        <v/>
      </c>
      <c r="S157" s="42"/>
      <c r="T157" s="45" t="str">
        <f>IF(AND(NOT(ISBLANK(S157)),Dashboard!F80&gt;0), S157/Dashboard!F80, "")</f>
        <v/>
      </c>
      <c r="U157" s="42"/>
      <c r="V157" s="45" t="str">
        <f>IF(AND(NOT(ISBLANK(U157)),Dashboard!F81&gt;0), U157/Dashboard!F81, "")</f>
        <v/>
      </c>
      <c r="W157" s="42"/>
      <c r="X157" s="45" t="str">
        <f>IF(AND(NOT(ISBLANK(W157)),Dashboard!F82&gt;0), W157/Dashboard!F82, "")</f>
        <v/>
      </c>
    </row>
    <row r="158" spans="16:24" x14ac:dyDescent="0.35">
      <c r="P158" s="55"/>
      <c r="Q158" s="42"/>
      <c r="R158" s="45" t="str">
        <f>IF(AND(NOT(ISBLANK(Q158)),Dashboard!F16&gt;0), Q158/Dashboard!F16, "")</f>
        <v/>
      </c>
      <c r="S158" s="42"/>
      <c r="T158" s="45" t="str">
        <f>IF(AND(NOT(ISBLANK(S158)),Dashboard!F80&gt;0), S158/Dashboard!F80, "")</f>
        <v/>
      </c>
      <c r="U158" s="42"/>
      <c r="V158" s="45" t="str">
        <f>IF(AND(NOT(ISBLANK(U158)),Dashboard!F81&gt;0), U158/Dashboard!F81, "")</f>
        <v/>
      </c>
      <c r="W158" s="42"/>
      <c r="X158" s="45" t="str">
        <f>IF(AND(NOT(ISBLANK(W158)),Dashboard!F82&gt;0), W158/Dashboard!F82, "")</f>
        <v/>
      </c>
    </row>
    <row r="159" spans="16:24" x14ac:dyDescent="0.35">
      <c r="P159" s="55"/>
      <c r="Q159" s="42"/>
      <c r="R159" s="45" t="str">
        <f>IF(AND(NOT(ISBLANK(Q159)),Dashboard!F16&gt;0), Q159/Dashboard!F16, "")</f>
        <v/>
      </c>
      <c r="S159" s="42"/>
      <c r="T159" s="45" t="str">
        <f>IF(AND(NOT(ISBLANK(S159)),Dashboard!F80&gt;0), S159/Dashboard!F80, "")</f>
        <v/>
      </c>
      <c r="U159" s="42"/>
      <c r="V159" s="45" t="str">
        <f>IF(AND(NOT(ISBLANK(U159)),Dashboard!F81&gt;0), U159/Dashboard!F81, "")</f>
        <v/>
      </c>
      <c r="W159" s="42"/>
      <c r="X159" s="45" t="str">
        <f>IF(AND(NOT(ISBLANK(W159)),Dashboard!F82&gt;0), W159/Dashboard!F82, "")</f>
        <v/>
      </c>
    </row>
    <row r="160" spans="16:24" x14ac:dyDescent="0.35">
      <c r="P160" s="55"/>
      <c r="Q160" s="42"/>
      <c r="R160" s="45" t="str">
        <f>IF(AND(NOT(ISBLANK(Q160)),Dashboard!F16&gt;0), Q160/Dashboard!F16, "")</f>
        <v/>
      </c>
      <c r="S160" s="42"/>
      <c r="T160" s="45" t="str">
        <f>IF(AND(NOT(ISBLANK(S160)),Dashboard!F80&gt;0), S160/Dashboard!F80, "")</f>
        <v/>
      </c>
      <c r="U160" s="42"/>
      <c r="V160" s="45" t="str">
        <f>IF(AND(NOT(ISBLANK(U160)),Dashboard!F81&gt;0), U160/Dashboard!F81, "")</f>
        <v/>
      </c>
      <c r="W160" s="42"/>
      <c r="X160" s="45" t="str">
        <f>IF(AND(NOT(ISBLANK(W160)),Dashboard!F82&gt;0), W160/Dashboard!F82, "")</f>
        <v/>
      </c>
    </row>
    <row r="161" spans="2:24" x14ac:dyDescent="0.35">
      <c r="P161" s="55"/>
      <c r="Q161" s="42"/>
      <c r="R161" s="45" t="str">
        <f>IF(AND(NOT(ISBLANK(Q161)),Dashboard!F16&gt;0), Q161/Dashboard!F16, "")</f>
        <v/>
      </c>
      <c r="S161" s="42"/>
      <c r="T161" s="45" t="str">
        <f>IF(AND(NOT(ISBLANK(S161)),Dashboard!F80&gt;0), S161/Dashboard!F80, "")</f>
        <v/>
      </c>
      <c r="U161" s="42"/>
      <c r="V161" s="45" t="str">
        <f>IF(AND(NOT(ISBLANK(U161)),Dashboard!F81&gt;0), U161/Dashboard!F81, "")</f>
        <v/>
      </c>
      <c r="W161" s="42"/>
      <c r="X161" s="45" t="str">
        <f>IF(AND(NOT(ISBLANK(W161)),Dashboard!F82&gt;0), W161/Dashboard!F82, "")</f>
        <v/>
      </c>
    </row>
    <row r="162" spans="2:24" x14ac:dyDescent="0.35">
      <c r="P162" s="55"/>
      <c r="Q162" s="42"/>
      <c r="R162" s="45" t="str">
        <f>IF(AND(NOT(ISBLANK(Q162)),Dashboard!F16&gt;0), Q162/Dashboard!F16, "")</f>
        <v/>
      </c>
      <c r="S162" s="42"/>
      <c r="T162" s="45" t="str">
        <f>IF(AND(NOT(ISBLANK(S162)),Dashboard!F80&gt;0), S162/Dashboard!F80, "")</f>
        <v/>
      </c>
      <c r="U162" s="42"/>
      <c r="V162" s="45" t="str">
        <f>IF(AND(NOT(ISBLANK(U162)),Dashboard!F81&gt;0), U162/Dashboard!F81, "")</f>
        <v/>
      </c>
      <c r="W162" s="42"/>
      <c r="X162" s="45" t="str">
        <f>IF(AND(NOT(ISBLANK(W162)),Dashboard!F82&gt;0), W162/Dashboard!F82, "")</f>
        <v/>
      </c>
    </row>
    <row r="163" spans="2:24" x14ac:dyDescent="0.35">
      <c r="P163" s="55"/>
      <c r="Q163" s="42"/>
      <c r="R163" s="45" t="str">
        <f>IF(AND(NOT(ISBLANK(Q163)),Dashboard!F16&gt;0), Q163/Dashboard!F16, "")</f>
        <v/>
      </c>
      <c r="S163" s="42"/>
      <c r="T163" s="45" t="str">
        <f>IF(AND(NOT(ISBLANK(S163)),Dashboard!F80&gt;0), S163/Dashboard!F80, "")</f>
        <v/>
      </c>
      <c r="U163" s="42"/>
      <c r="V163" s="45" t="str">
        <f>IF(AND(NOT(ISBLANK(U163)),Dashboard!F81&gt;0), U163/Dashboard!F81, "")</f>
        <v/>
      </c>
      <c r="W163" s="42"/>
      <c r="X163" s="45" t="str">
        <f>IF(AND(NOT(ISBLANK(W163)),Dashboard!F82&gt;0), W163/Dashboard!F82, "")</f>
        <v/>
      </c>
    </row>
    <row r="164" spans="2:24" x14ac:dyDescent="0.35">
      <c r="P164" s="55"/>
      <c r="Q164" s="42"/>
      <c r="R164" s="45" t="str">
        <f>IF(AND(NOT(ISBLANK(Q164)),Dashboard!F16&gt;0), Q164/Dashboard!F16, "")</f>
        <v/>
      </c>
      <c r="S164" s="42"/>
      <c r="T164" s="45" t="str">
        <f>IF(AND(NOT(ISBLANK(S164)),Dashboard!F80&gt;0), S164/Dashboard!F80, "")</f>
        <v/>
      </c>
      <c r="U164" s="42"/>
      <c r="V164" s="45" t="str">
        <f>IF(AND(NOT(ISBLANK(U164)),Dashboard!F81&gt;0), U164/Dashboard!F81, "")</f>
        <v/>
      </c>
      <c r="W164" s="42"/>
      <c r="X164" s="45" t="str">
        <f>IF(AND(NOT(ISBLANK(W164)),Dashboard!F82&gt;0), W164/Dashboard!F82, "")</f>
        <v/>
      </c>
    </row>
    <row r="165" spans="2:24" x14ac:dyDescent="0.35">
      <c r="P165" s="55"/>
      <c r="Q165" s="42"/>
      <c r="R165" s="45" t="str">
        <f>IF(AND(NOT(ISBLANK(Q165)),Dashboard!F16&gt;0), Q165/Dashboard!F16, "")</f>
        <v/>
      </c>
      <c r="S165" s="42"/>
      <c r="T165" s="45" t="str">
        <f>IF(AND(NOT(ISBLANK(S165)),Dashboard!F80&gt;0), S165/Dashboard!F80, "")</f>
        <v/>
      </c>
      <c r="U165" s="42"/>
      <c r="V165" s="45" t="str">
        <f>IF(AND(NOT(ISBLANK(U165)),Dashboard!F81&gt;0), U165/Dashboard!F81, "")</f>
        <v/>
      </c>
      <c r="W165" s="42"/>
      <c r="X165" s="45" t="str">
        <f>IF(AND(NOT(ISBLANK(W165)),Dashboard!F82&gt;0), W165/Dashboard!F82, "")</f>
        <v/>
      </c>
    </row>
    <row r="166" spans="2:24" x14ac:dyDescent="0.35">
      <c r="P166" s="55"/>
      <c r="Q166" s="42"/>
      <c r="R166" s="45" t="str">
        <f>IF(AND(NOT(ISBLANK(Q166)),Dashboard!F16&gt;0), Q166/Dashboard!F16, "")</f>
        <v/>
      </c>
      <c r="S166" s="42"/>
      <c r="T166" s="45" t="str">
        <f>IF(AND(NOT(ISBLANK(S166)),Dashboard!F80&gt;0), S166/Dashboard!F80, "")</f>
        <v/>
      </c>
      <c r="U166" s="42"/>
      <c r="V166" s="45" t="str">
        <f>IF(AND(NOT(ISBLANK(U166)),Dashboard!F81&gt;0), U166/Dashboard!F81, "")</f>
        <v/>
      </c>
      <c r="W166" s="42"/>
      <c r="X166" s="45" t="str">
        <f>IF(AND(NOT(ISBLANK(W166)),Dashboard!F82&gt;0), W166/Dashboard!F82, "")</f>
        <v/>
      </c>
    </row>
    <row r="171" spans="2:24" ht="21" x14ac:dyDescent="0.5">
      <c r="B171" s="39" t="s">
        <v>502</v>
      </c>
      <c r="P171" s="56" t="s">
        <v>503</v>
      </c>
    </row>
    <row r="173" spans="2:24" ht="45" customHeight="1" x14ac:dyDescent="0.35">
      <c r="B173" s="297" t="s">
        <v>504</v>
      </c>
      <c r="C173" s="290"/>
      <c r="D173" s="290"/>
      <c r="E173" s="290"/>
      <c r="F173" s="290"/>
      <c r="P173" s="297" t="s">
        <v>505</v>
      </c>
      <c r="Q173" s="290"/>
      <c r="R173" s="290"/>
      <c r="S173" s="290"/>
      <c r="T173" s="290"/>
      <c r="U173" s="290"/>
    </row>
    <row r="174" spans="2:24" ht="35" customHeight="1" x14ac:dyDescent="0.35">
      <c r="P174" s="294" t="s">
        <v>506</v>
      </c>
      <c r="Q174" s="294"/>
      <c r="R174" s="294" t="s">
        <v>507</v>
      </c>
      <c r="S174" s="294"/>
      <c r="T174" s="294"/>
    </row>
    <row r="175" spans="2:24" ht="30" customHeight="1" x14ac:dyDescent="0.35">
      <c r="P175" s="298">
        <v>0</v>
      </c>
      <c r="Q175" s="299"/>
      <c r="R175" s="300" t="s">
        <v>508</v>
      </c>
      <c r="S175" s="301"/>
      <c r="T175" s="301"/>
    </row>
    <row r="178" spans="16:22" ht="25" customHeight="1" x14ac:dyDescent="0.35">
      <c r="P178" s="65" t="s">
        <v>491</v>
      </c>
      <c r="Q178" s="65" t="s">
        <v>509</v>
      </c>
      <c r="R178" s="65" t="s">
        <v>510</v>
      </c>
      <c r="S178" s="302" t="s">
        <v>9</v>
      </c>
      <c r="T178" s="302"/>
      <c r="U178" s="302"/>
      <c r="V178" s="290"/>
    </row>
    <row r="179" spans="16:22" ht="20" customHeight="1" x14ac:dyDescent="0.35">
      <c r="P179" s="67"/>
      <c r="Q179" s="68"/>
      <c r="R179" s="69" t="str">
        <f>IF(AND(NOT(ISBLANK(Q179)), Dashboard!$P175&gt;0), Q179/Dashboard!$P175, "")</f>
        <v/>
      </c>
      <c r="S179" s="303"/>
      <c r="T179" s="304"/>
      <c r="U179" s="304"/>
      <c r="V179" s="304"/>
    </row>
    <row r="180" spans="16:22" ht="20" customHeight="1" x14ac:dyDescent="0.35">
      <c r="P180" s="67"/>
      <c r="Q180" s="68"/>
      <c r="R180" s="69" t="str">
        <f>IF(AND(NOT(ISBLANK(Q180)), Dashboard!$P175&gt;0), Q180/Dashboard!$P175, "")</f>
        <v/>
      </c>
      <c r="S180" s="303"/>
      <c r="T180" s="304"/>
      <c r="U180" s="304"/>
      <c r="V180" s="304"/>
    </row>
    <row r="181" spans="16:22" ht="20" customHeight="1" x14ac:dyDescent="0.35">
      <c r="P181" s="67"/>
      <c r="Q181" s="68"/>
      <c r="R181" s="69" t="str">
        <f>IF(AND(NOT(ISBLANK(Q181)), Dashboard!$P175&gt;0), Q181/Dashboard!$P175, "")</f>
        <v/>
      </c>
      <c r="S181" s="303"/>
      <c r="T181" s="304"/>
      <c r="U181" s="304"/>
      <c r="V181" s="304"/>
    </row>
    <row r="182" spans="16:22" ht="20" customHeight="1" x14ac:dyDescent="0.35">
      <c r="P182" s="67"/>
      <c r="Q182" s="68"/>
      <c r="R182" s="69" t="str">
        <f>IF(AND(NOT(ISBLANK(Q182)), Dashboard!$P175&gt;0), Q182/Dashboard!$P175, "")</f>
        <v/>
      </c>
      <c r="S182" s="303"/>
      <c r="T182" s="304"/>
      <c r="U182" s="304"/>
      <c r="V182" s="304"/>
    </row>
    <row r="183" spans="16:22" ht="20" customHeight="1" x14ac:dyDescent="0.35">
      <c r="P183" s="67"/>
      <c r="Q183" s="68"/>
      <c r="R183" s="69" t="str">
        <f>IF(AND(NOT(ISBLANK(Q183)), Dashboard!$P175&gt;0), Q183/Dashboard!$P175, "")</f>
        <v/>
      </c>
      <c r="S183" s="303"/>
      <c r="T183" s="304"/>
      <c r="U183" s="304"/>
      <c r="V183" s="304"/>
    </row>
    <row r="184" spans="16:22" ht="20" customHeight="1" x14ac:dyDescent="0.35">
      <c r="P184" s="67"/>
      <c r="Q184" s="68"/>
      <c r="R184" s="69" t="str">
        <f>IF(AND(NOT(ISBLANK(Q184)), Dashboard!$P175&gt;0), Q184/Dashboard!$P175, "")</f>
        <v/>
      </c>
      <c r="S184" s="303"/>
      <c r="T184" s="304"/>
      <c r="U184" s="304"/>
      <c r="V184" s="304"/>
    </row>
    <row r="185" spans="16:22" ht="20" customHeight="1" x14ac:dyDescent="0.35">
      <c r="P185" s="67"/>
      <c r="Q185" s="68"/>
      <c r="R185" s="69" t="str">
        <f>IF(AND(NOT(ISBLANK(Q185)), Dashboard!$P175&gt;0), Q185/Dashboard!$P175, "")</f>
        <v/>
      </c>
      <c r="S185" s="303"/>
      <c r="T185" s="304"/>
      <c r="U185" s="304"/>
      <c r="V185" s="304"/>
    </row>
    <row r="186" spans="16:22" ht="20" customHeight="1" x14ac:dyDescent="0.35">
      <c r="P186" s="67"/>
      <c r="Q186" s="68"/>
      <c r="R186" s="69" t="str">
        <f>IF(AND(NOT(ISBLANK(Q186)), Dashboard!$P175&gt;0), Q186/Dashboard!$P175, "")</f>
        <v/>
      </c>
      <c r="S186" s="303"/>
      <c r="T186" s="304"/>
      <c r="U186" s="304"/>
      <c r="V186" s="304"/>
    </row>
    <row r="187" spans="16:22" ht="20" customHeight="1" x14ac:dyDescent="0.35">
      <c r="P187" s="67"/>
      <c r="Q187" s="68"/>
      <c r="R187" s="69" t="str">
        <f>IF(AND(NOT(ISBLANK(Q187)), Dashboard!$P175&gt;0), Q187/Dashboard!$P175, "")</f>
        <v/>
      </c>
      <c r="S187" s="303"/>
      <c r="T187" s="304"/>
      <c r="U187" s="304"/>
      <c r="V187" s="304"/>
    </row>
    <row r="188" spans="16:22" ht="20" customHeight="1" x14ac:dyDescent="0.35">
      <c r="P188" s="67"/>
      <c r="Q188" s="68"/>
      <c r="R188" s="69" t="str">
        <f>IF(AND(NOT(ISBLANK(Q188)), Dashboard!$P175&gt;0), Q188/Dashboard!$P175, "")</f>
        <v/>
      </c>
      <c r="S188" s="303"/>
      <c r="T188" s="304"/>
      <c r="U188" s="304"/>
      <c r="V188" s="304"/>
    </row>
    <row r="189" spans="16:22" ht="20" customHeight="1" x14ac:dyDescent="0.35">
      <c r="P189" s="67"/>
      <c r="Q189" s="68"/>
      <c r="R189" s="69" t="str">
        <f>IF(AND(NOT(ISBLANK(Q189)), Dashboard!$P175&gt;0), Q189/Dashboard!$P175, "")</f>
        <v/>
      </c>
      <c r="S189" s="303"/>
      <c r="T189" s="304"/>
      <c r="U189" s="304"/>
      <c r="V189" s="304"/>
    </row>
    <row r="190" spans="16:22" ht="20" customHeight="1" x14ac:dyDescent="0.35">
      <c r="P190" s="67"/>
      <c r="Q190" s="68"/>
      <c r="R190" s="69" t="str">
        <f>IF(AND(NOT(ISBLANK(Q190)), Dashboard!$P175&gt;0), Q190/Dashboard!$P175, "")</f>
        <v/>
      </c>
      <c r="S190" s="303"/>
      <c r="T190" s="304"/>
      <c r="U190" s="304"/>
      <c r="V190" s="304"/>
    </row>
    <row r="191" spans="16:22" ht="20" customHeight="1" x14ac:dyDescent="0.35">
      <c r="P191" s="67"/>
      <c r="Q191" s="68"/>
      <c r="R191" s="69" t="str">
        <f>IF(AND(NOT(ISBLANK(Q191)), Dashboard!$P175&gt;0), Q191/Dashboard!$P175, "")</f>
        <v/>
      </c>
      <c r="S191" s="303"/>
      <c r="T191" s="304"/>
      <c r="U191" s="304"/>
      <c r="V191" s="304"/>
    </row>
    <row r="192" spans="16:22" ht="20" customHeight="1" x14ac:dyDescent="0.35">
      <c r="P192" s="67"/>
      <c r="Q192" s="68"/>
      <c r="R192" s="69" t="str">
        <f>IF(AND(NOT(ISBLANK(Q192)), Dashboard!$P175&gt;0), Q192/Dashboard!$P175, "")</f>
        <v/>
      </c>
      <c r="S192" s="303"/>
      <c r="T192" s="304"/>
      <c r="U192" s="304"/>
      <c r="V192" s="304"/>
    </row>
    <row r="193" spans="2:22" ht="20" customHeight="1" x14ac:dyDescent="0.35">
      <c r="P193" s="67"/>
      <c r="Q193" s="68"/>
      <c r="R193" s="69" t="str">
        <f>IF(AND(NOT(ISBLANK(Q193)), Dashboard!$P175&gt;0), Q193/Dashboard!$P175, "")</f>
        <v/>
      </c>
      <c r="S193" s="303"/>
      <c r="T193" s="304"/>
      <c r="U193" s="304"/>
      <c r="V193" s="304"/>
    </row>
    <row r="194" spans="2:22" ht="20" customHeight="1" x14ac:dyDescent="0.35">
      <c r="P194" s="67"/>
      <c r="Q194" s="68"/>
      <c r="R194" s="69" t="str">
        <f>IF(AND(NOT(ISBLANK(Q194)), Dashboard!$P175&gt;0), Q194/Dashboard!$P175, "")</f>
        <v/>
      </c>
      <c r="S194" s="303"/>
      <c r="T194" s="304"/>
      <c r="U194" s="304"/>
      <c r="V194" s="304"/>
    </row>
    <row r="195" spans="2:22" ht="20" customHeight="1" x14ac:dyDescent="0.35">
      <c r="P195" s="67"/>
      <c r="Q195" s="68"/>
      <c r="R195" s="69" t="str">
        <f>IF(AND(NOT(ISBLANK(Q195)), Dashboard!$P175&gt;0), Q195/Dashboard!$P175, "")</f>
        <v/>
      </c>
      <c r="S195" s="303"/>
      <c r="T195" s="304"/>
      <c r="U195" s="304"/>
      <c r="V195" s="304"/>
    </row>
    <row r="196" spans="2:22" ht="20" customHeight="1" x14ac:dyDescent="0.35">
      <c r="P196" s="67"/>
      <c r="Q196" s="68"/>
      <c r="R196" s="69" t="str">
        <f>IF(AND(NOT(ISBLANK(Q196)), Dashboard!$P175&gt;0), Q196/Dashboard!$P175, "")</f>
        <v/>
      </c>
      <c r="S196" s="303"/>
      <c r="T196" s="304"/>
      <c r="U196" s="304"/>
      <c r="V196" s="304"/>
    </row>
    <row r="197" spans="2:22" ht="20" customHeight="1" x14ac:dyDescent="0.35">
      <c r="P197" s="67"/>
      <c r="Q197" s="68"/>
      <c r="R197" s="69" t="str">
        <f>IF(AND(NOT(ISBLANK(Q197)), Dashboard!$P175&gt;0), Q197/Dashboard!$P175, "")</f>
        <v/>
      </c>
      <c r="S197" s="303"/>
      <c r="T197" s="304"/>
      <c r="U197" s="304"/>
      <c r="V197" s="304"/>
    </row>
    <row r="198" spans="2:22" ht="20" customHeight="1" x14ac:dyDescent="0.35">
      <c r="P198" s="67"/>
      <c r="Q198" s="68"/>
      <c r="R198" s="69" t="str">
        <f>IF(AND(NOT(ISBLANK(Q198)), Dashboard!$P175&gt;0), Q198/Dashboard!$P175, "")</f>
        <v/>
      </c>
      <c r="S198" s="303"/>
      <c r="T198" s="304"/>
      <c r="U198" s="304"/>
      <c r="V198" s="304"/>
    </row>
    <row r="202" spans="2:22" ht="32" customHeight="1" x14ac:dyDescent="0.35">
      <c r="B202" s="288" t="s">
        <v>357</v>
      </c>
      <c r="C202" s="288"/>
      <c r="D202" s="288"/>
      <c r="E202" s="288"/>
      <c r="F202" s="288"/>
      <c r="G202" s="288"/>
      <c r="H202" s="288"/>
      <c r="I202" s="288"/>
    </row>
  </sheetData>
  <mergeCells count="55">
    <mergeCell ref="B202:I202"/>
    <mergeCell ref="S194:V194"/>
    <mergeCell ref="S195:V195"/>
    <mergeCell ref="S196:V196"/>
    <mergeCell ref="S197:V197"/>
    <mergeCell ref="S198:V198"/>
    <mergeCell ref="S189:V189"/>
    <mergeCell ref="S190:V190"/>
    <mergeCell ref="S191:V191"/>
    <mergeCell ref="S192:V192"/>
    <mergeCell ref="S193:V193"/>
    <mergeCell ref="S184:V184"/>
    <mergeCell ref="S185:V185"/>
    <mergeCell ref="S186:V186"/>
    <mergeCell ref="S187:V187"/>
    <mergeCell ref="S188:V188"/>
    <mergeCell ref="S179:V179"/>
    <mergeCell ref="S180:V180"/>
    <mergeCell ref="S181:V181"/>
    <mergeCell ref="S182:V182"/>
    <mergeCell ref="S183:V183"/>
    <mergeCell ref="P174:Q174"/>
    <mergeCell ref="R174:T174"/>
    <mergeCell ref="P175:Q175"/>
    <mergeCell ref="R175:T175"/>
    <mergeCell ref="S178:V178"/>
    <mergeCell ref="C123:D123"/>
    <mergeCell ref="G123:H123"/>
    <mergeCell ref="B132:F132"/>
    <mergeCell ref="P132:W132"/>
    <mergeCell ref="B173:F173"/>
    <mergeCell ref="P173:U173"/>
    <mergeCell ref="C120:D120"/>
    <mergeCell ref="G120:H120"/>
    <mergeCell ref="C121:D121"/>
    <mergeCell ref="G121:H121"/>
    <mergeCell ref="C122:D122"/>
    <mergeCell ref="G122:H122"/>
    <mergeCell ref="C117:D117"/>
    <mergeCell ref="G117:H117"/>
    <mergeCell ref="C118:D118"/>
    <mergeCell ref="G118:H118"/>
    <mergeCell ref="C119:D119"/>
    <mergeCell ref="G119:H119"/>
    <mergeCell ref="F7:H7"/>
    <mergeCell ref="I7:O7"/>
    <mergeCell ref="F8:H8"/>
    <mergeCell ref="I8:O8"/>
    <mergeCell ref="F9:H9"/>
    <mergeCell ref="I9:O9"/>
    <mergeCell ref="B2:I2"/>
    <mergeCell ref="F5:H5"/>
    <mergeCell ref="I5:O5"/>
    <mergeCell ref="F6:H6"/>
    <mergeCell ref="I6:O6"/>
  </mergeCells>
  <conditionalFormatting sqref="D7">
    <cfRule type="cellIs" dxfId="80" priority="1" operator="greaterThanOrEqual">
      <formula>0.9</formula>
    </cfRule>
    <cfRule type="cellIs" dxfId="79" priority="2" operator="greaterThanOrEqual">
      <formula>0.5</formula>
    </cfRule>
    <cfRule type="cellIs" dxfId="78" priority="3" operator="lessThan">
      <formula>0.5</formula>
    </cfRule>
  </conditionalFormatting>
  <conditionalFormatting sqref="G118:H123">
    <cfRule type="expression" dxfId="77" priority="4">
      <formula>$G118&gt;=0.8</formula>
    </cfRule>
    <cfRule type="expression" dxfId="76" priority="5">
      <formula>AND($G118&gt;=0.5,$G118&lt;0.8)</formula>
    </cfRule>
    <cfRule type="expression" dxfId="75" priority="6">
      <formula>$G118&lt;0.5</formula>
    </cfRule>
  </conditionalFormatting>
  <conditionalFormatting sqref="K118:K123">
    <cfRule type="cellIs" dxfId="74" priority="7" operator="greaterThan">
      <formula>0</formula>
    </cfRule>
  </conditionalFormatting>
  <conditionalFormatting sqref="L118:L123">
    <cfRule type="cellIs" dxfId="73" priority="8" operator="greaterThan">
      <formula>0</formula>
    </cfRule>
  </conditionalFormatting>
  <conditionalFormatting sqref="M118:M123">
    <cfRule type="cellIs" dxfId="72" priority="9" operator="greaterThan">
      <formula>0</formula>
    </cfRule>
  </conditionalFormatting>
  <conditionalFormatting sqref="N118:N123">
    <cfRule type="cellIs" dxfId="71" priority="10" operator="greaterThan">
      <formula>0</formula>
    </cfRule>
  </conditionalFormatting>
  <dataValidations count="140">
    <dataValidation type="whole" allowBlank="1" showErrorMessage="1" errorTitle="Invalid overall count" error="Overall count must be between 0 and the current implemented total." sqref="Q137" xr:uid="{00000000-0002-0000-0100-000000000000}">
      <formula1>0</formula1>
      <formula2>C16</formula2>
    </dataValidation>
    <dataValidation type="whole" allowBlank="1" showErrorMessage="1" errorTitle="Invalid count" error="Value must be between 0 and the current implemented total." sqref="S137" xr:uid="{00000000-0002-0000-0100-000001000000}">
      <formula1>0</formula1>
      <formula2>C80</formula2>
    </dataValidation>
    <dataValidation type="whole" allowBlank="1" showErrorMessage="1" errorTitle="Invalid count" error="Value must be between 0 and the current implemented total." sqref="U137" xr:uid="{00000000-0002-0000-0100-000002000000}">
      <formula1>0</formula1>
      <formula2>C81</formula2>
    </dataValidation>
    <dataValidation type="whole" allowBlank="1" showErrorMessage="1" errorTitle="Invalid count" error="Value must be between 0 and the current implemented total." sqref="W137" xr:uid="{00000000-0002-0000-0100-000003000000}">
      <formula1>0</formula1>
      <formula2>C82</formula2>
    </dataValidation>
    <dataValidation type="whole" allowBlank="1" showErrorMessage="1" errorTitle="Invalid overall count" error="Overall count must be between 0 and the current implemented total." sqref="Q138" xr:uid="{00000000-0002-0000-0100-000004000000}">
      <formula1>0</formula1>
      <formula2>C16</formula2>
    </dataValidation>
    <dataValidation type="whole" allowBlank="1" showErrorMessage="1" errorTitle="Invalid count" error="Value must be between 0 and the current implemented total." sqref="S138" xr:uid="{00000000-0002-0000-0100-000005000000}">
      <formula1>0</formula1>
      <formula2>C80</formula2>
    </dataValidation>
    <dataValidation type="whole" allowBlank="1" showErrorMessage="1" errorTitle="Invalid count" error="Value must be between 0 and the current implemented total." sqref="U138" xr:uid="{00000000-0002-0000-0100-000006000000}">
      <formula1>0</formula1>
      <formula2>C81</formula2>
    </dataValidation>
    <dataValidation type="whole" allowBlank="1" showErrorMessage="1" errorTitle="Invalid count" error="Value must be between 0 and the current implemented total." sqref="W138" xr:uid="{00000000-0002-0000-0100-000007000000}">
      <formula1>0</formula1>
      <formula2>C82</formula2>
    </dataValidation>
    <dataValidation type="whole" allowBlank="1" showErrorMessage="1" errorTitle="Invalid overall count" error="Overall count must be between 0 and the current implemented total." sqref="Q139" xr:uid="{00000000-0002-0000-0100-000008000000}">
      <formula1>0</formula1>
      <formula2>C16</formula2>
    </dataValidation>
    <dataValidation type="whole" allowBlank="1" showErrorMessage="1" errorTitle="Invalid count" error="Value must be between 0 and the current implemented total." sqref="S139" xr:uid="{00000000-0002-0000-0100-000009000000}">
      <formula1>0</formula1>
      <formula2>C80</formula2>
    </dataValidation>
    <dataValidation type="whole" allowBlank="1" showErrorMessage="1" errorTitle="Invalid count" error="Value must be between 0 and the current implemented total." sqref="U139" xr:uid="{00000000-0002-0000-0100-00000A000000}">
      <formula1>0</formula1>
      <formula2>C81</formula2>
    </dataValidation>
    <dataValidation type="whole" allowBlank="1" showErrorMessage="1" errorTitle="Invalid count" error="Value must be between 0 and the current implemented total." sqref="W139" xr:uid="{00000000-0002-0000-0100-00000B000000}">
      <formula1>0</formula1>
      <formula2>C82</formula2>
    </dataValidation>
    <dataValidation type="whole" allowBlank="1" showErrorMessage="1" errorTitle="Invalid overall count" error="Overall count must be between 0 and the current implemented total." sqref="Q140" xr:uid="{00000000-0002-0000-0100-00000C000000}">
      <formula1>0</formula1>
      <formula2>C16</formula2>
    </dataValidation>
    <dataValidation type="whole" allowBlank="1" showErrorMessage="1" errorTitle="Invalid count" error="Value must be between 0 and the current implemented total." sqref="S140" xr:uid="{00000000-0002-0000-0100-00000D000000}">
      <formula1>0</formula1>
      <formula2>C80</formula2>
    </dataValidation>
    <dataValidation type="whole" allowBlank="1" showErrorMessage="1" errorTitle="Invalid count" error="Value must be between 0 and the current implemented total." sqref="U140" xr:uid="{00000000-0002-0000-0100-00000E000000}">
      <formula1>0</formula1>
      <formula2>C81</formula2>
    </dataValidation>
    <dataValidation type="whole" allowBlank="1" showErrorMessage="1" errorTitle="Invalid count" error="Value must be between 0 and the current implemented total." sqref="W140" xr:uid="{00000000-0002-0000-0100-00000F000000}">
      <formula1>0</formula1>
      <formula2>C82</formula2>
    </dataValidation>
    <dataValidation type="whole" allowBlank="1" showErrorMessage="1" errorTitle="Invalid overall count" error="Overall count must be between 0 and the current implemented total." sqref="Q141" xr:uid="{00000000-0002-0000-0100-000010000000}">
      <formula1>0</formula1>
      <formula2>C16</formula2>
    </dataValidation>
    <dataValidation type="whole" allowBlank="1" showErrorMessage="1" errorTitle="Invalid count" error="Value must be between 0 and the current implemented total." sqref="S141" xr:uid="{00000000-0002-0000-0100-000011000000}">
      <formula1>0</formula1>
      <formula2>C80</formula2>
    </dataValidation>
    <dataValidation type="whole" allowBlank="1" showErrorMessage="1" errorTitle="Invalid count" error="Value must be between 0 and the current implemented total." sqref="U141" xr:uid="{00000000-0002-0000-0100-000012000000}">
      <formula1>0</formula1>
      <formula2>C81</formula2>
    </dataValidation>
    <dataValidation type="whole" allowBlank="1" showErrorMessage="1" errorTitle="Invalid count" error="Value must be between 0 and the current implemented total." sqref="W141" xr:uid="{00000000-0002-0000-0100-000013000000}">
      <formula1>0</formula1>
      <formula2>C82</formula2>
    </dataValidation>
    <dataValidation type="whole" allowBlank="1" showErrorMessage="1" errorTitle="Invalid overall count" error="Overall count must be between 0 and the current implemented total." sqref="Q142" xr:uid="{00000000-0002-0000-0100-000014000000}">
      <formula1>0</formula1>
      <formula2>C16</formula2>
    </dataValidation>
    <dataValidation type="whole" allowBlank="1" showErrorMessage="1" errorTitle="Invalid count" error="Value must be between 0 and the current implemented total." sqref="S142" xr:uid="{00000000-0002-0000-0100-000015000000}">
      <formula1>0</formula1>
      <formula2>C80</formula2>
    </dataValidation>
    <dataValidation type="whole" allowBlank="1" showErrorMessage="1" errorTitle="Invalid count" error="Value must be between 0 and the current implemented total." sqref="U142" xr:uid="{00000000-0002-0000-0100-000016000000}">
      <formula1>0</formula1>
      <formula2>C81</formula2>
    </dataValidation>
    <dataValidation type="whole" allowBlank="1" showErrorMessage="1" errorTitle="Invalid count" error="Value must be between 0 and the current implemented total." sqref="W142" xr:uid="{00000000-0002-0000-0100-000017000000}">
      <formula1>0</formula1>
      <formula2>C82</formula2>
    </dataValidation>
    <dataValidation type="whole" allowBlank="1" showErrorMessage="1" errorTitle="Invalid overall count" error="Overall count must be between 0 and the current implemented total." sqref="Q143" xr:uid="{00000000-0002-0000-0100-000018000000}">
      <formula1>0</formula1>
      <formula2>C16</formula2>
    </dataValidation>
    <dataValidation type="whole" allowBlank="1" showErrorMessage="1" errorTitle="Invalid count" error="Value must be between 0 and the current implemented total." sqref="S143" xr:uid="{00000000-0002-0000-0100-000019000000}">
      <formula1>0</formula1>
      <formula2>C80</formula2>
    </dataValidation>
    <dataValidation type="whole" allowBlank="1" showErrorMessage="1" errorTitle="Invalid count" error="Value must be between 0 and the current implemented total." sqref="U143" xr:uid="{00000000-0002-0000-0100-00001A000000}">
      <formula1>0</formula1>
      <formula2>C81</formula2>
    </dataValidation>
    <dataValidation type="whole" allowBlank="1" showErrorMessage="1" errorTitle="Invalid count" error="Value must be between 0 and the current implemented total." sqref="W143" xr:uid="{00000000-0002-0000-0100-00001B000000}">
      <formula1>0</formula1>
      <formula2>C82</formula2>
    </dataValidation>
    <dataValidation type="whole" allowBlank="1" showErrorMessage="1" errorTitle="Invalid overall count" error="Overall count must be between 0 and the current implemented total." sqref="Q144" xr:uid="{00000000-0002-0000-0100-00001C000000}">
      <formula1>0</formula1>
      <formula2>C16</formula2>
    </dataValidation>
    <dataValidation type="whole" allowBlank="1" showErrorMessage="1" errorTitle="Invalid count" error="Value must be between 0 and the current implemented total." sqref="S144" xr:uid="{00000000-0002-0000-0100-00001D000000}">
      <formula1>0</formula1>
      <formula2>C80</formula2>
    </dataValidation>
    <dataValidation type="whole" allowBlank="1" showErrorMessage="1" errorTitle="Invalid count" error="Value must be between 0 and the current implemented total." sqref="U144" xr:uid="{00000000-0002-0000-0100-00001E000000}">
      <formula1>0</formula1>
      <formula2>C81</formula2>
    </dataValidation>
    <dataValidation type="whole" allowBlank="1" showErrorMessage="1" errorTitle="Invalid count" error="Value must be between 0 and the current implemented total." sqref="W144" xr:uid="{00000000-0002-0000-0100-00001F000000}">
      <formula1>0</formula1>
      <formula2>C82</formula2>
    </dataValidation>
    <dataValidation type="whole" allowBlank="1" showErrorMessage="1" errorTitle="Invalid overall count" error="Overall count must be between 0 and the current implemented total." sqref="Q145" xr:uid="{00000000-0002-0000-0100-000020000000}">
      <formula1>0</formula1>
      <formula2>C16</formula2>
    </dataValidation>
    <dataValidation type="whole" allowBlank="1" showErrorMessage="1" errorTitle="Invalid count" error="Value must be between 0 and the current implemented total." sqref="S145" xr:uid="{00000000-0002-0000-0100-000021000000}">
      <formula1>0</formula1>
      <formula2>C80</formula2>
    </dataValidation>
    <dataValidation type="whole" allowBlank="1" showErrorMessage="1" errorTitle="Invalid count" error="Value must be between 0 and the current implemented total." sqref="U145" xr:uid="{00000000-0002-0000-0100-000022000000}">
      <formula1>0</formula1>
      <formula2>C81</formula2>
    </dataValidation>
    <dataValidation type="whole" allowBlank="1" showErrorMessage="1" errorTitle="Invalid count" error="Value must be between 0 and the current implemented total." sqref="W145" xr:uid="{00000000-0002-0000-0100-000023000000}">
      <formula1>0</formula1>
      <formula2>C82</formula2>
    </dataValidation>
    <dataValidation type="whole" allowBlank="1" showErrorMessage="1" errorTitle="Invalid overall count" error="Overall count must be between 0 and the current implemented total." sqref="Q146" xr:uid="{00000000-0002-0000-0100-000024000000}">
      <formula1>0</formula1>
      <formula2>C16</formula2>
    </dataValidation>
    <dataValidation type="whole" allowBlank="1" showErrorMessage="1" errorTitle="Invalid count" error="Value must be between 0 and the current implemented total." sqref="S146" xr:uid="{00000000-0002-0000-0100-000025000000}">
      <formula1>0</formula1>
      <formula2>C80</formula2>
    </dataValidation>
    <dataValidation type="whole" allowBlank="1" showErrorMessage="1" errorTitle="Invalid count" error="Value must be between 0 and the current implemented total." sqref="U146" xr:uid="{00000000-0002-0000-0100-000026000000}">
      <formula1>0</formula1>
      <formula2>C81</formula2>
    </dataValidation>
    <dataValidation type="whole" allowBlank="1" showErrorMessage="1" errorTitle="Invalid count" error="Value must be between 0 and the current implemented total." sqref="W146" xr:uid="{00000000-0002-0000-0100-000027000000}">
      <formula1>0</formula1>
      <formula2>C82</formula2>
    </dataValidation>
    <dataValidation type="whole" allowBlank="1" showErrorMessage="1" errorTitle="Invalid overall count" error="Overall count must be between 0 and the current implemented total." sqref="Q147" xr:uid="{00000000-0002-0000-0100-000028000000}">
      <formula1>0</formula1>
      <formula2>C16</formula2>
    </dataValidation>
    <dataValidation type="whole" allowBlank="1" showErrorMessage="1" errorTitle="Invalid count" error="Value must be between 0 and the current implemented total." sqref="S147" xr:uid="{00000000-0002-0000-0100-000029000000}">
      <formula1>0</formula1>
      <formula2>C80</formula2>
    </dataValidation>
    <dataValidation type="whole" allowBlank="1" showErrorMessage="1" errorTitle="Invalid count" error="Value must be between 0 and the current implemented total." sqref="U147" xr:uid="{00000000-0002-0000-0100-00002A000000}">
      <formula1>0</formula1>
      <formula2>C81</formula2>
    </dataValidation>
    <dataValidation type="whole" allowBlank="1" showErrorMessage="1" errorTitle="Invalid count" error="Value must be between 0 and the current implemented total." sqref="W147" xr:uid="{00000000-0002-0000-0100-00002B000000}">
      <formula1>0</formula1>
      <formula2>C82</formula2>
    </dataValidation>
    <dataValidation type="whole" allowBlank="1" showErrorMessage="1" errorTitle="Invalid overall count" error="Overall count must be between 0 and the current implemented total." sqref="Q148" xr:uid="{00000000-0002-0000-0100-00002C000000}">
      <formula1>0</formula1>
      <formula2>C16</formula2>
    </dataValidation>
    <dataValidation type="whole" allowBlank="1" showErrorMessage="1" errorTitle="Invalid count" error="Value must be between 0 and the current implemented total." sqref="S148" xr:uid="{00000000-0002-0000-0100-00002D000000}">
      <formula1>0</formula1>
      <formula2>C80</formula2>
    </dataValidation>
    <dataValidation type="whole" allowBlank="1" showErrorMessage="1" errorTitle="Invalid count" error="Value must be between 0 and the current implemented total." sqref="U148" xr:uid="{00000000-0002-0000-0100-00002E000000}">
      <formula1>0</formula1>
      <formula2>C81</formula2>
    </dataValidation>
    <dataValidation type="whole" allowBlank="1" showErrorMessage="1" errorTitle="Invalid count" error="Value must be between 0 and the current implemented total." sqref="W148" xr:uid="{00000000-0002-0000-0100-00002F000000}">
      <formula1>0</formula1>
      <formula2>C82</formula2>
    </dataValidation>
    <dataValidation type="whole" allowBlank="1" showErrorMessage="1" errorTitle="Invalid overall count" error="Overall count must be between 0 and the current implemented total." sqref="Q149" xr:uid="{00000000-0002-0000-0100-000030000000}">
      <formula1>0</formula1>
      <formula2>C16</formula2>
    </dataValidation>
    <dataValidation type="whole" allowBlank="1" showErrorMessage="1" errorTitle="Invalid count" error="Value must be between 0 and the current implemented total." sqref="S149" xr:uid="{00000000-0002-0000-0100-000031000000}">
      <formula1>0</formula1>
      <formula2>C80</formula2>
    </dataValidation>
    <dataValidation type="whole" allowBlank="1" showErrorMessage="1" errorTitle="Invalid count" error="Value must be between 0 and the current implemented total." sqref="U149" xr:uid="{00000000-0002-0000-0100-000032000000}">
      <formula1>0</formula1>
      <formula2>C81</formula2>
    </dataValidation>
    <dataValidation type="whole" allowBlank="1" showErrorMessage="1" errorTitle="Invalid count" error="Value must be between 0 and the current implemented total." sqref="W149" xr:uid="{00000000-0002-0000-0100-000033000000}">
      <formula1>0</formula1>
      <formula2>C82</formula2>
    </dataValidation>
    <dataValidation type="whole" allowBlank="1" showErrorMessage="1" errorTitle="Invalid overall count" error="Overall count must be between 0 and the current implemented total." sqref="Q150" xr:uid="{00000000-0002-0000-0100-000034000000}">
      <formula1>0</formula1>
      <formula2>C16</formula2>
    </dataValidation>
    <dataValidation type="whole" allowBlank="1" showErrorMessage="1" errorTitle="Invalid count" error="Value must be between 0 and the current implemented total." sqref="S150" xr:uid="{00000000-0002-0000-0100-000035000000}">
      <formula1>0</formula1>
      <formula2>C80</formula2>
    </dataValidation>
    <dataValidation type="whole" allowBlank="1" showErrorMessage="1" errorTitle="Invalid count" error="Value must be between 0 and the current implemented total." sqref="U150" xr:uid="{00000000-0002-0000-0100-000036000000}">
      <formula1>0</formula1>
      <formula2>C81</formula2>
    </dataValidation>
    <dataValidation type="whole" allowBlank="1" showErrorMessage="1" errorTitle="Invalid count" error="Value must be between 0 and the current implemented total." sqref="W150" xr:uid="{00000000-0002-0000-0100-000037000000}">
      <formula1>0</formula1>
      <formula2>C82</formula2>
    </dataValidation>
    <dataValidation type="whole" allowBlank="1" showErrorMessage="1" errorTitle="Invalid overall count" error="Overall count must be between 0 and the current implemented total." sqref="Q151" xr:uid="{00000000-0002-0000-0100-000038000000}">
      <formula1>0</formula1>
      <formula2>C16</formula2>
    </dataValidation>
    <dataValidation type="whole" allowBlank="1" showErrorMessage="1" errorTitle="Invalid count" error="Value must be between 0 and the current implemented total." sqref="S151" xr:uid="{00000000-0002-0000-0100-000039000000}">
      <formula1>0</formula1>
      <formula2>C80</formula2>
    </dataValidation>
    <dataValidation type="whole" allowBlank="1" showErrorMessage="1" errorTitle="Invalid count" error="Value must be between 0 and the current implemented total." sqref="U151" xr:uid="{00000000-0002-0000-0100-00003A000000}">
      <formula1>0</formula1>
      <formula2>C81</formula2>
    </dataValidation>
    <dataValidation type="whole" allowBlank="1" showErrorMessage="1" errorTitle="Invalid count" error="Value must be between 0 and the current implemented total." sqref="W151" xr:uid="{00000000-0002-0000-0100-00003B000000}">
      <formula1>0</formula1>
      <formula2>C82</formula2>
    </dataValidation>
    <dataValidation type="whole" allowBlank="1" showErrorMessage="1" errorTitle="Invalid overall count" error="Overall count must be between 0 and the current implemented total." sqref="Q152" xr:uid="{00000000-0002-0000-0100-00003C000000}">
      <formula1>0</formula1>
      <formula2>C16</formula2>
    </dataValidation>
    <dataValidation type="whole" allowBlank="1" showErrorMessage="1" errorTitle="Invalid count" error="Value must be between 0 and the current implemented total." sqref="S152" xr:uid="{00000000-0002-0000-0100-00003D000000}">
      <formula1>0</formula1>
      <formula2>C80</formula2>
    </dataValidation>
    <dataValidation type="whole" allowBlank="1" showErrorMessage="1" errorTitle="Invalid count" error="Value must be between 0 and the current implemented total." sqref="U152" xr:uid="{00000000-0002-0000-0100-00003E000000}">
      <formula1>0</formula1>
      <formula2>C81</formula2>
    </dataValidation>
    <dataValidation type="whole" allowBlank="1" showErrorMessage="1" errorTitle="Invalid count" error="Value must be between 0 and the current implemented total." sqref="W152" xr:uid="{00000000-0002-0000-0100-00003F000000}">
      <formula1>0</formula1>
      <formula2>C82</formula2>
    </dataValidation>
    <dataValidation type="whole" allowBlank="1" showErrorMessage="1" errorTitle="Invalid overall count" error="Overall count must be between 0 and the current implemented total." sqref="Q153" xr:uid="{00000000-0002-0000-0100-000040000000}">
      <formula1>0</formula1>
      <formula2>C16</formula2>
    </dataValidation>
    <dataValidation type="whole" allowBlank="1" showErrorMessage="1" errorTitle="Invalid count" error="Value must be between 0 and the current implemented total." sqref="S153" xr:uid="{00000000-0002-0000-0100-000041000000}">
      <formula1>0</formula1>
      <formula2>C80</formula2>
    </dataValidation>
    <dataValidation type="whole" allowBlank="1" showErrorMessage="1" errorTitle="Invalid count" error="Value must be between 0 and the current implemented total." sqref="U153" xr:uid="{00000000-0002-0000-0100-000042000000}">
      <formula1>0</formula1>
      <formula2>C81</formula2>
    </dataValidation>
    <dataValidation type="whole" allowBlank="1" showErrorMessage="1" errorTitle="Invalid count" error="Value must be between 0 and the current implemented total." sqref="W153" xr:uid="{00000000-0002-0000-0100-000043000000}">
      <formula1>0</formula1>
      <formula2>C82</formula2>
    </dataValidation>
    <dataValidation type="whole" allowBlank="1" showErrorMessage="1" errorTitle="Invalid overall count" error="Overall count must be between 0 and the current implemented total." sqref="Q154" xr:uid="{00000000-0002-0000-0100-000044000000}">
      <formula1>0</formula1>
      <formula2>C16</formula2>
    </dataValidation>
    <dataValidation type="whole" allowBlank="1" showErrorMessage="1" errorTitle="Invalid count" error="Value must be between 0 and the current implemented total." sqref="S154" xr:uid="{00000000-0002-0000-0100-000045000000}">
      <formula1>0</formula1>
      <formula2>C80</formula2>
    </dataValidation>
    <dataValidation type="whole" allowBlank="1" showErrorMessage="1" errorTitle="Invalid count" error="Value must be between 0 and the current implemented total." sqref="U154" xr:uid="{00000000-0002-0000-0100-000046000000}">
      <formula1>0</formula1>
      <formula2>C81</formula2>
    </dataValidation>
    <dataValidation type="whole" allowBlank="1" showErrorMessage="1" errorTitle="Invalid count" error="Value must be between 0 and the current implemented total." sqref="W154" xr:uid="{00000000-0002-0000-0100-000047000000}">
      <formula1>0</formula1>
      <formula2>C82</formula2>
    </dataValidation>
    <dataValidation type="whole" allowBlank="1" showErrorMessage="1" errorTitle="Invalid overall count" error="Overall count must be between 0 and the current implemented total." sqref="Q155" xr:uid="{00000000-0002-0000-0100-000048000000}">
      <formula1>0</formula1>
      <formula2>C16</formula2>
    </dataValidation>
    <dataValidation type="whole" allowBlank="1" showErrorMessage="1" errorTitle="Invalid count" error="Value must be between 0 and the current implemented total." sqref="S155" xr:uid="{00000000-0002-0000-0100-000049000000}">
      <formula1>0</formula1>
      <formula2>C80</formula2>
    </dataValidation>
    <dataValidation type="whole" allowBlank="1" showErrorMessage="1" errorTitle="Invalid count" error="Value must be between 0 and the current implemented total." sqref="U155" xr:uid="{00000000-0002-0000-0100-00004A000000}">
      <formula1>0</formula1>
      <formula2>C81</formula2>
    </dataValidation>
    <dataValidation type="whole" allowBlank="1" showErrorMessage="1" errorTitle="Invalid count" error="Value must be between 0 and the current implemented total." sqref="W155" xr:uid="{00000000-0002-0000-0100-00004B000000}">
      <formula1>0</formula1>
      <formula2>C82</formula2>
    </dataValidation>
    <dataValidation type="whole" allowBlank="1" showErrorMessage="1" errorTitle="Invalid overall count" error="Overall count must be between 0 and the current implemented total." sqref="Q156" xr:uid="{00000000-0002-0000-0100-00004C000000}">
      <formula1>0</formula1>
      <formula2>C16</formula2>
    </dataValidation>
    <dataValidation type="whole" allowBlank="1" showErrorMessage="1" errorTitle="Invalid count" error="Value must be between 0 and the current implemented total." sqref="S156" xr:uid="{00000000-0002-0000-0100-00004D000000}">
      <formula1>0</formula1>
      <formula2>C80</formula2>
    </dataValidation>
    <dataValidation type="whole" allowBlank="1" showErrorMessage="1" errorTitle="Invalid count" error="Value must be between 0 and the current implemented total." sqref="U156" xr:uid="{00000000-0002-0000-0100-00004E000000}">
      <formula1>0</formula1>
      <formula2>C81</formula2>
    </dataValidation>
    <dataValidation type="whole" allowBlank="1" showErrorMessage="1" errorTitle="Invalid count" error="Value must be between 0 and the current implemented total." sqref="W156" xr:uid="{00000000-0002-0000-0100-00004F000000}">
      <formula1>0</formula1>
      <formula2>C82</formula2>
    </dataValidation>
    <dataValidation type="whole" allowBlank="1" showErrorMessage="1" errorTitle="Invalid overall count" error="Overall count must be between 0 and the current implemented total." sqref="Q157" xr:uid="{00000000-0002-0000-0100-000050000000}">
      <formula1>0</formula1>
      <formula2>C16</formula2>
    </dataValidation>
    <dataValidation type="whole" allowBlank="1" showErrorMessage="1" errorTitle="Invalid count" error="Value must be between 0 and the current implemented total." sqref="S157" xr:uid="{00000000-0002-0000-0100-000051000000}">
      <formula1>0</formula1>
      <formula2>C80</formula2>
    </dataValidation>
    <dataValidation type="whole" allowBlank="1" showErrorMessage="1" errorTitle="Invalid count" error="Value must be between 0 and the current implemented total." sqref="U157" xr:uid="{00000000-0002-0000-0100-000052000000}">
      <formula1>0</formula1>
      <formula2>C81</formula2>
    </dataValidation>
    <dataValidation type="whole" allowBlank="1" showErrorMessage="1" errorTitle="Invalid count" error="Value must be between 0 and the current implemented total." sqref="W157" xr:uid="{00000000-0002-0000-0100-000053000000}">
      <formula1>0</formula1>
      <formula2>C82</formula2>
    </dataValidation>
    <dataValidation type="whole" allowBlank="1" showErrorMessage="1" errorTitle="Invalid overall count" error="Overall count must be between 0 and the current implemented total." sqref="Q158" xr:uid="{00000000-0002-0000-0100-000054000000}">
      <formula1>0</formula1>
      <formula2>C16</formula2>
    </dataValidation>
    <dataValidation type="whole" allowBlank="1" showErrorMessage="1" errorTitle="Invalid count" error="Value must be between 0 and the current implemented total." sqref="S158" xr:uid="{00000000-0002-0000-0100-000055000000}">
      <formula1>0</formula1>
      <formula2>C80</formula2>
    </dataValidation>
    <dataValidation type="whole" allowBlank="1" showErrorMessage="1" errorTitle="Invalid count" error="Value must be between 0 and the current implemented total." sqref="U158" xr:uid="{00000000-0002-0000-0100-000056000000}">
      <formula1>0</formula1>
      <formula2>C81</formula2>
    </dataValidation>
    <dataValidation type="whole" allowBlank="1" showErrorMessage="1" errorTitle="Invalid count" error="Value must be between 0 and the current implemented total." sqref="W158" xr:uid="{00000000-0002-0000-0100-000057000000}">
      <formula1>0</formula1>
      <formula2>C82</formula2>
    </dataValidation>
    <dataValidation type="whole" allowBlank="1" showErrorMessage="1" errorTitle="Invalid overall count" error="Overall count must be between 0 and the current implemented total." sqref="Q159" xr:uid="{00000000-0002-0000-0100-000058000000}">
      <formula1>0</formula1>
      <formula2>C16</formula2>
    </dataValidation>
    <dataValidation type="whole" allowBlank="1" showErrorMessage="1" errorTitle="Invalid count" error="Value must be between 0 and the current implemented total." sqref="S159" xr:uid="{00000000-0002-0000-0100-000059000000}">
      <formula1>0</formula1>
      <formula2>C80</formula2>
    </dataValidation>
    <dataValidation type="whole" allowBlank="1" showErrorMessage="1" errorTitle="Invalid count" error="Value must be between 0 and the current implemented total." sqref="U159" xr:uid="{00000000-0002-0000-0100-00005A000000}">
      <formula1>0</formula1>
      <formula2>C81</formula2>
    </dataValidation>
    <dataValidation type="whole" allowBlank="1" showErrorMessage="1" errorTitle="Invalid count" error="Value must be between 0 and the current implemented total." sqref="W159" xr:uid="{00000000-0002-0000-0100-00005B000000}">
      <formula1>0</formula1>
      <formula2>C82</formula2>
    </dataValidation>
    <dataValidation type="whole" allowBlank="1" showErrorMessage="1" errorTitle="Invalid overall count" error="Overall count must be between 0 and the current implemented total." sqref="Q160" xr:uid="{00000000-0002-0000-0100-00005C000000}">
      <formula1>0</formula1>
      <formula2>C16</formula2>
    </dataValidation>
    <dataValidation type="whole" allowBlank="1" showErrorMessage="1" errorTitle="Invalid count" error="Value must be between 0 and the current implemented total." sqref="S160" xr:uid="{00000000-0002-0000-0100-00005D000000}">
      <formula1>0</formula1>
      <formula2>C80</formula2>
    </dataValidation>
    <dataValidation type="whole" allowBlank="1" showErrorMessage="1" errorTitle="Invalid count" error="Value must be between 0 and the current implemented total." sqref="U160" xr:uid="{00000000-0002-0000-0100-00005E000000}">
      <formula1>0</formula1>
      <formula2>C81</formula2>
    </dataValidation>
    <dataValidation type="whole" allowBlank="1" showErrorMessage="1" errorTitle="Invalid count" error="Value must be between 0 and the current implemented total." sqref="W160" xr:uid="{00000000-0002-0000-0100-00005F000000}">
      <formula1>0</formula1>
      <formula2>C82</formula2>
    </dataValidation>
    <dataValidation type="whole" allowBlank="1" showErrorMessage="1" errorTitle="Invalid overall count" error="Overall count must be between 0 and the current implemented total." sqref="Q161" xr:uid="{00000000-0002-0000-0100-000060000000}">
      <formula1>0</formula1>
      <formula2>C16</formula2>
    </dataValidation>
    <dataValidation type="whole" allowBlank="1" showErrorMessage="1" errorTitle="Invalid count" error="Value must be between 0 and the current implemented total." sqref="S161" xr:uid="{00000000-0002-0000-0100-000061000000}">
      <formula1>0</formula1>
      <formula2>C80</formula2>
    </dataValidation>
    <dataValidation type="whole" allowBlank="1" showErrorMessage="1" errorTitle="Invalid count" error="Value must be between 0 and the current implemented total." sqref="U161" xr:uid="{00000000-0002-0000-0100-000062000000}">
      <formula1>0</formula1>
      <formula2>C81</formula2>
    </dataValidation>
    <dataValidation type="whole" allowBlank="1" showErrorMessage="1" errorTitle="Invalid count" error="Value must be between 0 and the current implemented total." sqref="W161" xr:uid="{00000000-0002-0000-0100-000063000000}">
      <formula1>0</formula1>
      <formula2>C82</formula2>
    </dataValidation>
    <dataValidation type="whole" allowBlank="1" showErrorMessage="1" errorTitle="Invalid overall count" error="Overall count must be between 0 and the current implemented total." sqref="Q162" xr:uid="{00000000-0002-0000-0100-000064000000}">
      <formula1>0</formula1>
      <formula2>C16</formula2>
    </dataValidation>
    <dataValidation type="whole" allowBlank="1" showErrorMessage="1" errorTitle="Invalid count" error="Value must be between 0 and the current implemented total." sqref="S162" xr:uid="{00000000-0002-0000-0100-000065000000}">
      <formula1>0</formula1>
      <formula2>C80</formula2>
    </dataValidation>
    <dataValidation type="whole" allowBlank="1" showErrorMessage="1" errorTitle="Invalid count" error="Value must be between 0 and the current implemented total." sqref="U162" xr:uid="{00000000-0002-0000-0100-000066000000}">
      <formula1>0</formula1>
      <formula2>C81</formula2>
    </dataValidation>
    <dataValidation type="whole" allowBlank="1" showErrorMessage="1" errorTitle="Invalid count" error="Value must be between 0 and the current implemented total." sqref="W162" xr:uid="{00000000-0002-0000-0100-000067000000}">
      <formula1>0</formula1>
      <formula2>C82</formula2>
    </dataValidation>
    <dataValidation type="whole" allowBlank="1" showErrorMessage="1" errorTitle="Invalid overall count" error="Overall count must be between 0 and the current implemented total." sqref="Q163" xr:uid="{00000000-0002-0000-0100-000068000000}">
      <formula1>0</formula1>
      <formula2>C16</formula2>
    </dataValidation>
    <dataValidation type="whole" allowBlank="1" showErrorMessage="1" errorTitle="Invalid count" error="Value must be between 0 and the current implemented total." sqref="S163" xr:uid="{00000000-0002-0000-0100-000069000000}">
      <formula1>0</formula1>
      <formula2>C80</formula2>
    </dataValidation>
    <dataValidation type="whole" allowBlank="1" showErrorMessage="1" errorTitle="Invalid count" error="Value must be between 0 and the current implemented total." sqref="U163" xr:uid="{00000000-0002-0000-0100-00006A000000}">
      <formula1>0</formula1>
      <formula2>C81</formula2>
    </dataValidation>
    <dataValidation type="whole" allowBlank="1" showErrorMessage="1" errorTitle="Invalid count" error="Value must be between 0 and the current implemented total." sqref="W163" xr:uid="{00000000-0002-0000-0100-00006B000000}">
      <formula1>0</formula1>
      <formula2>C82</formula2>
    </dataValidation>
    <dataValidation type="whole" allowBlank="1" showErrorMessage="1" errorTitle="Invalid overall count" error="Overall count must be between 0 and the current implemented total." sqref="Q164" xr:uid="{00000000-0002-0000-0100-00006C000000}">
      <formula1>0</formula1>
      <formula2>C16</formula2>
    </dataValidation>
    <dataValidation type="whole" allowBlank="1" showErrorMessage="1" errorTitle="Invalid count" error="Value must be between 0 and the current implemented total." sqref="S164" xr:uid="{00000000-0002-0000-0100-00006D000000}">
      <formula1>0</formula1>
      <formula2>C80</formula2>
    </dataValidation>
    <dataValidation type="whole" allowBlank="1" showErrorMessage="1" errorTitle="Invalid count" error="Value must be between 0 and the current implemented total." sqref="U164" xr:uid="{00000000-0002-0000-0100-00006E000000}">
      <formula1>0</formula1>
      <formula2>C81</formula2>
    </dataValidation>
    <dataValidation type="whole" allowBlank="1" showErrorMessage="1" errorTitle="Invalid count" error="Value must be between 0 and the current implemented total." sqref="W164" xr:uid="{00000000-0002-0000-0100-00006F000000}">
      <formula1>0</formula1>
      <formula2>C82</formula2>
    </dataValidation>
    <dataValidation type="whole" allowBlank="1" showErrorMessage="1" errorTitle="Invalid overall count" error="Overall count must be between 0 and the current implemented total." sqref="Q165" xr:uid="{00000000-0002-0000-0100-000070000000}">
      <formula1>0</formula1>
      <formula2>C16</formula2>
    </dataValidation>
    <dataValidation type="whole" allowBlank="1" showErrorMessage="1" errorTitle="Invalid count" error="Value must be between 0 and the current implemented total." sqref="S165" xr:uid="{00000000-0002-0000-0100-000071000000}">
      <formula1>0</formula1>
      <formula2>C80</formula2>
    </dataValidation>
    <dataValidation type="whole" allowBlank="1" showErrorMessage="1" errorTitle="Invalid count" error="Value must be between 0 and the current implemented total." sqref="U165" xr:uid="{00000000-0002-0000-0100-000072000000}">
      <formula1>0</formula1>
      <formula2>C81</formula2>
    </dataValidation>
    <dataValidation type="whole" allowBlank="1" showErrorMessage="1" errorTitle="Invalid count" error="Value must be between 0 and the current implemented total." sqref="W165" xr:uid="{00000000-0002-0000-0100-000073000000}">
      <formula1>0</formula1>
      <formula2>C82</formula2>
    </dataValidation>
    <dataValidation type="whole" allowBlank="1" showErrorMessage="1" errorTitle="Invalid overall count" error="Overall count must be between 0 and the current implemented total." sqref="Q166" xr:uid="{00000000-0002-0000-0100-000074000000}">
      <formula1>0</formula1>
      <formula2>C16</formula2>
    </dataValidation>
    <dataValidation type="whole" allowBlank="1" showErrorMessage="1" errorTitle="Invalid count" error="Value must be between 0 and the current implemented total." sqref="S166" xr:uid="{00000000-0002-0000-0100-000075000000}">
      <formula1>0</formula1>
      <formula2>C80</formula2>
    </dataValidation>
    <dataValidation type="whole" allowBlank="1" showErrorMessage="1" errorTitle="Invalid count" error="Value must be between 0 and the current implemented total." sqref="U166" xr:uid="{00000000-0002-0000-0100-000076000000}">
      <formula1>0</formula1>
      <formula2>C81</formula2>
    </dataValidation>
    <dataValidation type="whole" allowBlank="1" showErrorMessage="1" errorTitle="Invalid count" error="Value must be between 0 and the current implemented total." sqref="W166" xr:uid="{00000000-0002-0000-0100-000077000000}">
      <formula1>0</formula1>
      <formula2>C82</formula2>
    </dataValidation>
    <dataValidation type="whole" allowBlank="1" showErrorMessage="1" errorTitle="Invalid Asset Count" error="Value must be between 0 and the Total Asset Numbers above." sqref="Q179" xr:uid="{00000000-0002-0000-0100-000078000000}">
      <formula1>0</formula1>
      <formula2>$P175</formula2>
    </dataValidation>
    <dataValidation type="whole" allowBlank="1" showErrorMessage="1" errorTitle="Invalid Asset Count" error="Value must be between 0 and the Total Asset Numbers above." sqref="Q180" xr:uid="{00000000-0002-0000-0100-000079000000}">
      <formula1>0</formula1>
      <formula2>$P175</formula2>
    </dataValidation>
    <dataValidation type="whole" allowBlank="1" showErrorMessage="1" errorTitle="Invalid Asset Count" error="Value must be between 0 and the Total Asset Numbers above." sqref="Q181" xr:uid="{00000000-0002-0000-0100-00007A000000}">
      <formula1>0</formula1>
      <formula2>$P175</formula2>
    </dataValidation>
    <dataValidation type="whole" allowBlank="1" showErrorMessage="1" errorTitle="Invalid Asset Count" error="Value must be between 0 and the Total Asset Numbers above." sqref="Q182" xr:uid="{00000000-0002-0000-0100-00007B000000}">
      <formula1>0</formula1>
      <formula2>$P175</formula2>
    </dataValidation>
    <dataValidation type="whole" allowBlank="1" showErrorMessage="1" errorTitle="Invalid Asset Count" error="Value must be between 0 and the Total Asset Numbers above." sqref="Q183" xr:uid="{00000000-0002-0000-0100-00007C000000}">
      <formula1>0</formula1>
      <formula2>$P175</formula2>
    </dataValidation>
    <dataValidation type="whole" allowBlank="1" showErrorMessage="1" errorTitle="Invalid Asset Count" error="Value must be between 0 and the Total Asset Numbers above." sqref="Q184" xr:uid="{00000000-0002-0000-0100-00007D000000}">
      <formula1>0</formula1>
      <formula2>$P175</formula2>
    </dataValidation>
    <dataValidation type="whole" allowBlank="1" showErrorMessage="1" errorTitle="Invalid Asset Count" error="Value must be between 0 and the Total Asset Numbers above." sqref="Q185" xr:uid="{00000000-0002-0000-0100-00007E000000}">
      <formula1>0</formula1>
      <formula2>$P175</formula2>
    </dataValidation>
    <dataValidation type="whole" allowBlank="1" showErrorMessage="1" errorTitle="Invalid Asset Count" error="Value must be between 0 and the Total Asset Numbers above." sqref="Q186" xr:uid="{00000000-0002-0000-0100-00007F000000}">
      <formula1>0</formula1>
      <formula2>$P175</formula2>
    </dataValidation>
    <dataValidation type="whole" allowBlank="1" showErrorMessage="1" errorTitle="Invalid Asset Count" error="Value must be between 0 and the Total Asset Numbers above." sqref="Q187" xr:uid="{00000000-0002-0000-0100-000080000000}">
      <formula1>0</formula1>
      <formula2>$P175</formula2>
    </dataValidation>
    <dataValidation type="whole" allowBlank="1" showErrorMessage="1" errorTitle="Invalid Asset Count" error="Value must be between 0 and the Total Asset Numbers above." sqref="Q188" xr:uid="{00000000-0002-0000-0100-000081000000}">
      <formula1>0</formula1>
      <formula2>$P175</formula2>
    </dataValidation>
    <dataValidation type="whole" allowBlank="1" showErrorMessage="1" errorTitle="Invalid Asset Count" error="Value must be between 0 and the Total Asset Numbers above." sqref="Q189" xr:uid="{00000000-0002-0000-0100-000082000000}">
      <formula1>0</formula1>
      <formula2>$P175</formula2>
    </dataValidation>
    <dataValidation type="whole" allowBlank="1" showErrorMessage="1" errorTitle="Invalid Asset Count" error="Value must be between 0 and the Total Asset Numbers above." sqref="Q190" xr:uid="{00000000-0002-0000-0100-000083000000}">
      <formula1>0</formula1>
      <formula2>$P175</formula2>
    </dataValidation>
    <dataValidation type="whole" allowBlank="1" showErrorMessage="1" errorTitle="Invalid Asset Count" error="Value must be between 0 and the Total Asset Numbers above." sqref="Q191" xr:uid="{00000000-0002-0000-0100-000084000000}">
      <formula1>0</formula1>
      <formula2>$P175</formula2>
    </dataValidation>
    <dataValidation type="whole" allowBlank="1" showErrorMessage="1" errorTitle="Invalid Asset Count" error="Value must be between 0 and the Total Asset Numbers above." sqref="Q192" xr:uid="{00000000-0002-0000-0100-000085000000}">
      <formula1>0</formula1>
      <formula2>$P175</formula2>
    </dataValidation>
    <dataValidation type="whole" allowBlank="1" showErrorMessage="1" errorTitle="Invalid Asset Count" error="Value must be between 0 and the Total Asset Numbers above." sqref="Q193" xr:uid="{00000000-0002-0000-0100-000086000000}">
      <formula1>0</formula1>
      <formula2>$P175</formula2>
    </dataValidation>
    <dataValidation type="whole" allowBlank="1" showErrorMessage="1" errorTitle="Invalid Asset Count" error="Value must be between 0 and the Total Asset Numbers above." sqref="Q194" xr:uid="{00000000-0002-0000-0100-000087000000}">
      <formula1>0</formula1>
      <formula2>$P175</formula2>
    </dataValidation>
    <dataValidation type="whole" allowBlank="1" showErrorMessage="1" errorTitle="Invalid Asset Count" error="Value must be between 0 and the Total Asset Numbers above." sqref="Q195" xr:uid="{00000000-0002-0000-0100-000088000000}">
      <formula1>0</formula1>
      <formula2>$P175</formula2>
    </dataValidation>
    <dataValidation type="whole" allowBlank="1" showErrorMessage="1" errorTitle="Invalid Asset Count" error="Value must be between 0 and the Total Asset Numbers above." sqref="Q196" xr:uid="{00000000-0002-0000-0100-000089000000}">
      <formula1>0</formula1>
      <formula2>$P175</formula2>
    </dataValidation>
    <dataValidation type="whole" allowBlank="1" showErrorMessage="1" errorTitle="Invalid Asset Count" error="Value must be between 0 and the Total Asset Numbers above." sqref="Q197" xr:uid="{00000000-0002-0000-0100-00008A000000}">
      <formula1>0</formula1>
      <formula2>$P175</formula2>
    </dataValidation>
    <dataValidation type="whole" allowBlank="1" showErrorMessage="1" errorTitle="Invalid Asset Count" error="Value must be between 0 and the Total Asset Numbers above." sqref="Q198" xr:uid="{00000000-0002-0000-0100-00008B000000}">
      <formula1>0</formula1>
      <formula2>$P175</formula2>
    </dataValidation>
  </dataValidations>
  <hyperlinks>
    <hyperlink ref="B202"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60"/>
  <sheetViews>
    <sheetView workbookViewId="0">
      <pane xSplit="9" ySplit="1" topLeftCell="J2" activePane="bottomRight" state="frozen"/>
      <selection pane="topRight" activeCell="J1" sqref="J1"/>
      <selection pane="bottomLeft" activeCell="A2" sqref="A2"/>
      <selection pane="bottomRight"/>
    </sheetView>
  </sheetViews>
  <sheetFormatPr defaultRowHeight="14.5" outlineLevelCol="1" x14ac:dyDescent="0.35"/>
  <cols>
    <col min="1" max="1" width="35" customWidth="1" outlineLevel="1"/>
    <col min="2" max="2" width="10" customWidth="1"/>
    <col min="3" max="3" width="60" customWidth="1"/>
    <col min="4" max="4" width="12" customWidth="1" outlineLevel="1"/>
    <col min="5" max="5" width="10" customWidth="1" outlineLevel="1"/>
    <col min="6" max="6" width="12" customWidth="1" outlineLevel="1"/>
    <col min="7" max="7" width="13" customWidth="1" outlineLevel="1"/>
    <col min="8" max="8" width="10" customWidth="1" outlineLevel="1"/>
    <col min="9" max="9" width="15" customWidth="1"/>
    <col min="10" max="10" width="40" customWidth="1"/>
    <col min="11" max="12" width="50" customWidth="1"/>
    <col min="13" max="14" width="50" hidden="1" customWidth="1" outlineLevel="1" collapsed="1"/>
    <col min="15" max="15" width="30" hidden="1" customWidth="1" outlineLevel="1" collapsed="1"/>
    <col min="16" max="16" width="20" hidden="1" customWidth="1" outlineLevel="1" collapsed="1"/>
    <col min="17" max="17" width="12" customWidth="1"/>
  </cols>
  <sheetData>
    <row r="1" spans="1:17" ht="25" customHeight="1" x14ac:dyDescent="0.35">
      <c r="A1" s="15" t="s">
        <v>0</v>
      </c>
      <c r="B1" s="16" t="s">
        <v>1</v>
      </c>
      <c r="C1" s="16" t="s">
        <v>2</v>
      </c>
      <c r="D1" s="16" t="s">
        <v>3</v>
      </c>
      <c r="E1" s="16" t="s">
        <v>4</v>
      </c>
      <c r="F1" s="16" t="s">
        <v>5</v>
      </c>
      <c r="G1" s="16" t="s">
        <v>6</v>
      </c>
      <c r="H1" s="16" t="s">
        <v>7</v>
      </c>
      <c r="I1" s="16" t="s">
        <v>8</v>
      </c>
      <c r="J1" s="16" t="s">
        <v>9</v>
      </c>
      <c r="K1" s="16" t="s">
        <v>10</v>
      </c>
      <c r="L1" s="16" t="s">
        <v>11</v>
      </c>
      <c r="M1" s="16" t="s">
        <v>12</v>
      </c>
      <c r="N1" s="16" t="s">
        <v>13</v>
      </c>
      <c r="O1" s="16" t="s">
        <v>14</v>
      </c>
      <c r="P1" s="16" t="s">
        <v>15</v>
      </c>
      <c r="Q1" s="17" t="s">
        <v>16</v>
      </c>
    </row>
    <row r="2" spans="1:17" ht="60" customHeight="1" x14ac:dyDescent="0.35">
      <c r="A2" s="11" t="s">
        <v>17</v>
      </c>
      <c r="B2" s="2" t="s">
        <v>18</v>
      </c>
      <c r="C2" s="1" t="s">
        <v>19</v>
      </c>
      <c r="D2" s="3" t="s">
        <v>20</v>
      </c>
      <c r="E2" s="3" t="s">
        <v>21</v>
      </c>
      <c r="F2" s="4" t="s">
        <v>22</v>
      </c>
      <c r="G2" s="4" t="s">
        <v>23</v>
      </c>
      <c r="H2" s="4" t="s">
        <v>24</v>
      </c>
      <c r="I2" s="4" t="s">
        <v>25</v>
      </c>
      <c r="J2" s="5" t="s">
        <v>25</v>
      </c>
      <c r="K2" s="5" t="s">
        <v>26</v>
      </c>
      <c r="L2" s="5" t="s">
        <v>27</v>
      </c>
      <c r="M2" s="5" t="s">
        <v>28</v>
      </c>
      <c r="N2" s="5" t="s">
        <v>29</v>
      </c>
      <c r="O2" s="5"/>
      <c r="P2" s="4" t="str">
        <f t="shared" ref="P2:P56" si="0">IF(OR(I2="Implemented",I2="Compensated"),"Resolved",IF(OR(I2="Risk Accepted",I2="N/A"),"Excluded",IF(I2="Testing","Testing","Outstanding")))</f>
        <v>Outstanding</v>
      </c>
      <c r="Q2" s="13" t="s">
        <v>25</v>
      </c>
    </row>
    <row r="3" spans="1:17" ht="60" customHeight="1" x14ac:dyDescent="0.35">
      <c r="A3" s="11" t="s">
        <v>17</v>
      </c>
      <c r="B3" s="2" t="s">
        <v>30</v>
      </c>
      <c r="C3" s="1" t="s">
        <v>31</v>
      </c>
      <c r="D3" s="3" t="s">
        <v>20</v>
      </c>
      <c r="E3" s="3" t="s">
        <v>21</v>
      </c>
      <c r="F3" s="4" t="s">
        <v>22</v>
      </c>
      <c r="G3" s="4" t="s">
        <v>23</v>
      </c>
      <c r="H3" s="4" t="s">
        <v>24</v>
      </c>
      <c r="I3" s="4" t="s">
        <v>25</v>
      </c>
      <c r="J3" s="5" t="s">
        <v>25</v>
      </c>
      <c r="K3" s="5" t="s">
        <v>32</v>
      </c>
      <c r="L3" s="5" t="s">
        <v>33</v>
      </c>
      <c r="M3" s="5" t="s">
        <v>34</v>
      </c>
      <c r="N3" s="5" t="s">
        <v>35</v>
      </c>
      <c r="O3" s="5"/>
      <c r="P3" s="4" t="str">
        <f t="shared" si="0"/>
        <v>Outstanding</v>
      </c>
      <c r="Q3" s="13" t="s">
        <v>25</v>
      </c>
    </row>
    <row r="4" spans="1:17" ht="60" customHeight="1" x14ac:dyDescent="0.35">
      <c r="A4" s="11" t="s">
        <v>17</v>
      </c>
      <c r="B4" s="2" t="s">
        <v>36</v>
      </c>
      <c r="C4" s="1" t="s">
        <v>37</v>
      </c>
      <c r="D4" s="3" t="s">
        <v>20</v>
      </c>
      <c r="E4" s="3" t="s">
        <v>21</v>
      </c>
      <c r="F4" s="4" t="s">
        <v>22</v>
      </c>
      <c r="G4" s="4" t="s">
        <v>23</v>
      </c>
      <c r="H4" s="4" t="s">
        <v>24</v>
      </c>
      <c r="I4" s="4" t="s">
        <v>25</v>
      </c>
      <c r="J4" s="5" t="s">
        <v>25</v>
      </c>
      <c r="K4" s="5" t="s">
        <v>38</v>
      </c>
      <c r="L4" s="5" t="s">
        <v>39</v>
      </c>
      <c r="M4" s="5" t="s">
        <v>40</v>
      </c>
      <c r="N4" s="5" t="s">
        <v>41</v>
      </c>
      <c r="O4" s="5"/>
      <c r="P4" s="4" t="str">
        <f t="shared" si="0"/>
        <v>Outstanding</v>
      </c>
      <c r="Q4" s="13" t="s">
        <v>25</v>
      </c>
    </row>
    <row r="5" spans="1:17" ht="60" customHeight="1" x14ac:dyDescent="0.35">
      <c r="A5" s="11" t="s">
        <v>17</v>
      </c>
      <c r="B5" s="2" t="s">
        <v>42</v>
      </c>
      <c r="C5" s="1" t="s">
        <v>43</v>
      </c>
      <c r="D5" s="3" t="s">
        <v>20</v>
      </c>
      <c r="E5" s="3" t="s">
        <v>21</v>
      </c>
      <c r="F5" s="4" t="s">
        <v>22</v>
      </c>
      <c r="G5" s="4" t="s">
        <v>23</v>
      </c>
      <c r="H5" s="4" t="s">
        <v>24</v>
      </c>
      <c r="I5" s="4" t="s">
        <v>25</v>
      </c>
      <c r="J5" s="5" t="s">
        <v>25</v>
      </c>
      <c r="K5" s="5" t="s">
        <v>44</v>
      </c>
      <c r="L5" s="5" t="s">
        <v>45</v>
      </c>
      <c r="M5" s="5" t="s">
        <v>46</v>
      </c>
      <c r="N5" s="5" t="s">
        <v>47</v>
      </c>
      <c r="O5" s="5"/>
      <c r="P5" s="4" t="str">
        <f t="shared" si="0"/>
        <v>Outstanding</v>
      </c>
      <c r="Q5" s="13" t="s">
        <v>25</v>
      </c>
    </row>
    <row r="6" spans="1:17" ht="60" customHeight="1" x14ac:dyDescent="0.35">
      <c r="A6" s="11" t="s">
        <v>17</v>
      </c>
      <c r="B6" s="2" t="s">
        <v>48</v>
      </c>
      <c r="C6" s="1" t="s">
        <v>49</v>
      </c>
      <c r="D6" s="3" t="s">
        <v>20</v>
      </c>
      <c r="E6" s="3" t="s">
        <v>21</v>
      </c>
      <c r="F6" s="4" t="s">
        <v>22</v>
      </c>
      <c r="G6" s="4" t="s">
        <v>23</v>
      </c>
      <c r="H6" s="4" t="s">
        <v>24</v>
      </c>
      <c r="I6" s="4" t="s">
        <v>25</v>
      </c>
      <c r="J6" s="5" t="s">
        <v>25</v>
      </c>
      <c r="K6" s="5" t="s">
        <v>50</v>
      </c>
      <c r="L6" s="5" t="s">
        <v>51</v>
      </c>
      <c r="M6" s="5" t="s">
        <v>46</v>
      </c>
      <c r="N6" s="5" t="s">
        <v>52</v>
      </c>
      <c r="O6" s="5"/>
      <c r="P6" s="4" t="str">
        <f t="shared" si="0"/>
        <v>Outstanding</v>
      </c>
      <c r="Q6" s="13" t="s">
        <v>25</v>
      </c>
    </row>
    <row r="7" spans="1:17" ht="60" customHeight="1" x14ac:dyDescent="0.35">
      <c r="A7" s="11" t="s">
        <v>17</v>
      </c>
      <c r="B7" s="2" t="s">
        <v>53</v>
      </c>
      <c r="C7" s="1" t="s">
        <v>54</v>
      </c>
      <c r="D7" s="3" t="s">
        <v>20</v>
      </c>
      <c r="E7" s="3" t="s">
        <v>21</v>
      </c>
      <c r="F7" s="4" t="s">
        <v>22</v>
      </c>
      <c r="G7" s="4" t="s">
        <v>23</v>
      </c>
      <c r="H7" s="4" t="s">
        <v>24</v>
      </c>
      <c r="I7" s="4" t="s">
        <v>25</v>
      </c>
      <c r="J7" s="5" t="s">
        <v>25</v>
      </c>
      <c r="K7" s="5" t="s">
        <v>55</v>
      </c>
      <c r="L7" s="5" t="s">
        <v>56</v>
      </c>
      <c r="M7" s="5" t="s">
        <v>46</v>
      </c>
      <c r="N7" s="5" t="s">
        <v>57</v>
      </c>
      <c r="O7" s="5"/>
      <c r="P7" s="4" t="str">
        <f t="shared" si="0"/>
        <v>Outstanding</v>
      </c>
      <c r="Q7" s="13" t="s">
        <v>25</v>
      </c>
    </row>
    <row r="8" spans="1:17" ht="60" customHeight="1" x14ac:dyDescent="0.35">
      <c r="A8" s="11" t="s">
        <v>58</v>
      </c>
      <c r="B8" s="2" t="s">
        <v>59</v>
      </c>
      <c r="C8" s="1" t="s">
        <v>60</v>
      </c>
      <c r="D8" s="3" t="s">
        <v>20</v>
      </c>
      <c r="E8" s="3" t="s">
        <v>21</v>
      </c>
      <c r="F8" s="4" t="s">
        <v>22</v>
      </c>
      <c r="G8" s="4" t="s">
        <v>23</v>
      </c>
      <c r="H8" s="4" t="s">
        <v>24</v>
      </c>
      <c r="I8" s="4" t="s">
        <v>25</v>
      </c>
      <c r="J8" s="5" t="s">
        <v>25</v>
      </c>
      <c r="K8" s="5" t="s">
        <v>61</v>
      </c>
      <c r="L8" s="5" t="s">
        <v>62</v>
      </c>
      <c r="M8" s="5" t="s">
        <v>63</v>
      </c>
      <c r="N8" s="5" t="s">
        <v>64</v>
      </c>
      <c r="O8" s="5"/>
      <c r="P8" s="4" t="str">
        <f t="shared" si="0"/>
        <v>Outstanding</v>
      </c>
      <c r="Q8" s="13" t="s">
        <v>25</v>
      </c>
    </row>
    <row r="9" spans="1:17" ht="60" customHeight="1" x14ac:dyDescent="0.35">
      <c r="A9" s="11" t="s">
        <v>65</v>
      </c>
      <c r="B9" s="2" t="s">
        <v>66</v>
      </c>
      <c r="C9" s="1" t="s">
        <v>67</v>
      </c>
      <c r="D9" s="3" t="s">
        <v>20</v>
      </c>
      <c r="E9" s="3" t="s">
        <v>21</v>
      </c>
      <c r="F9" s="4" t="s">
        <v>22</v>
      </c>
      <c r="G9" s="4" t="s">
        <v>23</v>
      </c>
      <c r="H9" s="4" t="s">
        <v>24</v>
      </c>
      <c r="I9" s="4" t="s">
        <v>25</v>
      </c>
      <c r="J9" s="5" t="s">
        <v>25</v>
      </c>
      <c r="K9" s="5" t="s">
        <v>68</v>
      </c>
      <c r="L9" s="5" t="s">
        <v>69</v>
      </c>
      <c r="M9" s="5" t="s">
        <v>70</v>
      </c>
      <c r="N9" s="5" t="s">
        <v>71</v>
      </c>
      <c r="O9" s="5"/>
      <c r="P9" s="4" t="str">
        <f t="shared" si="0"/>
        <v>Outstanding</v>
      </c>
      <c r="Q9" s="13" t="s">
        <v>25</v>
      </c>
    </row>
    <row r="10" spans="1:17" ht="60" customHeight="1" x14ac:dyDescent="0.35">
      <c r="A10" s="11" t="s">
        <v>65</v>
      </c>
      <c r="B10" s="2" t="s">
        <v>72</v>
      </c>
      <c r="C10" s="1" t="s">
        <v>73</v>
      </c>
      <c r="D10" s="3" t="s">
        <v>20</v>
      </c>
      <c r="E10" s="3" t="s">
        <v>21</v>
      </c>
      <c r="F10" s="4" t="s">
        <v>22</v>
      </c>
      <c r="G10" s="4" t="s">
        <v>23</v>
      </c>
      <c r="H10" s="4" t="s">
        <v>24</v>
      </c>
      <c r="I10" s="4" t="s">
        <v>25</v>
      </c>
      <c r="J10" s="5" t="s">
        <v>25</v>
      </c>
      <c r="K10" s="5" t="s">
        <v>74</v>
      </c>
      <c r="L10" s="5" t="s">
        <v>75</v>
      </c>
      <c r="M10" s="5" t="s">
        <v>76</v>
      </c>
      <c r="N10" s="5" t="s">
        <v>77</v>
      </c>
      <c r="O10" s="5"/>
      <c r="P10" s="4" t="str">
        <f t="shared" si="0"/>
        <v>Outstanding</v>
      </c>
      <c r="Q10" s="13" t="s">
        <v>25</v>
      </c>
    </row>
    <row r="11" spans="1:17" ht="60" customHeight="1" x14ac:dyDescent="0.35">
      <c r="A11" s="11" t="s">
        <v>78</v>
      </c>
      <c r="B11" s="2" t="s">
        <v>79</v>
      </c>
      <c r="C11" s="1" t="s">
        <v>80</v>
      </c>
      <c r="D11" s="3" t="s">
        <v>20</v>
      </c>
      <c r="E11" s="3" t="s">
        <v>21</v>
      </c>
      <c r="F11" s="4" t="s">
        <v>22</v>
      </c>
      <c r="G11" s="4" t="s">
        <v>23</v>
      </c>
      <c r="H11" s="4" t="s">
        <v>24</v>
      </c>
      <c r="I11" s="4" t="s">
        <v>25</v>
      </c>
      <c r="J11" s="5" t="s">
        <v>25</v>
      </c>
      <c r="K11" s="5" t="s">
        <v>81</v>
      </c>
      <c r="L11" s="5" t="s">
        <v>82</v>
      </c>
      <c r="M11" s="5" t="s">
        <v>83</v>
      </c>
      <c r="N11" s="5" t="s">
        <v>84</v>
      </c>
      <c r="O11" s="5"/>
      <c r="P11" s="4" t="str">
        <f t="shared" si="0"/>
        <v>Outstanding</v>
      </c>
      <c r="Q11" s="13" t="s">
        <v>25</v>
      </c>
    </row>
    <row r="12" spans="1:17" ht="60" customHeight="1" x14ac:dyDescent="0.35">
      <c r="A12" s="11" t="s">
        <v>78</v>
      </c>
      <c r="B12" s="2" t="s">
        <v>85</v>
      </c>
      <c r="C12" s="1" t="s">
        <v>86</v>
      </c>
      <c r="D12" s="3" t="s">
        <v>20</v>
      </c>
      <c r="E12" s="3" t="s">
        <v>87</v>
      </c>
      <c r="F12" s="4" t="s">
        <v>22</v>
      </c>
      <c r="G12" s="4" t="s">
        <v>23</v>
      </c>
      <c r="H12" s="4" t="s">
        <v>24</v>
      </c>
      <c r="I12" s="4" t="s">
        <v>25</v>
      </c>
      <c r="J12" s="5" t="s">
        <v>25</v>
      </c>
      <c r="K12" s="5" t="s">
        <v>88</v>
      </c>
      <c r="L12" s="5" t="s">
        <v>89</v>
      </c>
      <c r="M12" s="5" t="s">
        <v>90</v>
      </c>
      <c r="N12" s="5" t="s">
        <v>91</v>
      </c>
      <c r="O12" s="5"/>
      <c r="P12" s="4" t="str">
        <f t="shared" si="0"/>
        <v>Outstanding</v>
      </c>
      <c r="Q12" s="13" t="s">
        <v>25</v>
      </c>
    </row>
    <row r="13" spans="1:17" ht="60" customHeight="1" x14ac:dyDescent="0.35">
      <c r="A13" s="11" t="s">
        <v>92</v>
      </c>
      <c r="B13" s="2" t="s">
        <v>93</v>
      </c>
      <c r="C13" s="1" t="s">
        <v>94</v>
      </c>
      <c r="D13" s="3" t="s">
        <v>20</v>
      </c>
      <c r="E13" s="3" t="s">
        <v>87</v>
      </c>
      <c r="F13" s="4" t="s">
        <v>22</v>
      </c>
      <c r="G13" s="4" t="s">
        <v>23</v>
      </c>
      <c r="H13" s="4" t="s">
        <v>24</v>
      </c>
      <c r="I13" s="4" t="s">
        <v>25</v>
      </c>
      <c r="J13" s="5" t="s">
        <v>25</v>
      </c>
      <c r="K13" s="5" t="s">
        <v>95</v>
      </c>
      <c r="L13" s="5" t="s">
        <v>96</v>
      </c>
      <c r="M13" s="5"/>
      <c r="N13" s="5" t="s">
        <v>97</v>
      </c>
      <c r="O13" s="5"/>
      <c r="P13" s="4" t="str">
        <f t="shared" si="0"/>
        <v>Outstanding</v>
      </c>
      <c r="Q13" s="13" t="s">
        <v>25</v>
      </c>
    </row>
    <row r="14" spans="1:17" ht="60" customHeight="1" x14ac:dyDescent="0.35">
      <c r="A14" s="11" t="s">
        <v>92</v>
      </c>
      <c r="B14" s="2" t="s">
        <v>98</v>
      </c>
      <c r="C14" s="1" t="s">
        <v>99</v>
      </c>
      <c r="D14" s="3" t="s">
        <v>20</v>
      </c>
      <c r="E14" s="3" t="s">
        <v>21</v>
      </c>
      <c r="F14" s="4" t="s">
        <v>22</v>
      </c>
      <c r="G14" s="4" t="s">
        <v>23</v>
      </c>
      <c r="H14" s="4" t="s">
        <v>24</v>
      </c>
      <c r="I14" s="4" t="s">
        <v>25</v>
      </c>
      <c r="J14" s="5" t="s">
        <v>25</v>
      </c>
      <c r="K14" s="5" t="s">
        <v>100</v>
      </c>
      <c r="L14" s="5" t="s">
        <v>101</v>
      </c>
      <c r="M14" s="5" t="s">
        <v>102</v>
      </c>
      <c r="N14" s="5" t="s">
        <v>103</v>
      </c>
      <c r="O14" s="5"/>
      <c r="P14" s="4" t="str">
        <f t="shared" si="0"/>
        <v>Outstanding</v>
      </c>
      <c r="Q14" s="13" t="s">
        <v>25</v>
      </c>
    </row>
    <row r="15" spans="1:17" ht="60" customHeight="1" x14ac:dyDescent="0.35">
      <c r="A15" s="11" t="s">
        <v>92</v>
      </c>
      <c r="B15" s="2" t="s">
        <v>104</v>
      </c>
      <c r="C15" s="1" t="s">
        <v>105</v>
      </c>
      <c r="D15" s="3" t="s">
        <v>20</v>
      </c>
      <c r="E15" s="3" t="s">
        <v>21</v>
      </c>
      <c r="F15" s="4" t="s">
        <v>22</v>
      </c>
      <c r="G15" s="4" t="s">
        <v>23</v>
      </c>
      <c r="H15" s="4" t="s">
        <v>24</v>
      </c>
      <c r="I15" s="4" t="s">
        <v>25</v>
      </c>
      <c r="J15" s="5" t="s">
        <v>25</v>
      </c>
      <c r="K15" s="5" t="s">
        <v>106</v>
      </c>
      <c r="L15" s="5" t="s">
        <v>107</v>
      </c>
      <c r="M15" s="5"/>
      <c r="N15" s="5" t="s">
        <v>108</v>
      </c>
      <c r="O15" s="5"/>
      <c r="P15" s="4" t="str">
        <f t="shared" si="0"/>
        <v>Outstanding</v>
      </c>
      <c r="Q15" s="13" t="s">
        <v>25</v>
      </c>
    </row>
    <row r="16" spans="1:17" ht="60" customHeight="1" x14ac:dyDescent="0.35">
      <c r="A16" s="11" t="s">
        <v>109</v>
      </c>
      <c r="B16" s="2" t="s">
        <v>110</v>
      </c>
      <c r="C16" s="1" t="s">
        <v>111</v>
      </c>
      <c r="D16" s="3" t="s">
        <v>20</v>
      </c>
      <c r="E16" s="3" t="s">
        <v>21</v>
      </c>
      <c r="F16" s="4" t="s">
        <v>22</v>
      </c>
      <c r="G16" s="4" t="s">
        <v>23</v>
      </c>
      <c r="H16" s="4" t="s">
        <v>24</v>
      </c>
      <c r="I16" s="4" t="s">
        <v>25</v>
      </c>
      <c r="J16" s="5" t="s">
        <v>25</v>
      </c>
      <c r="K16" s="5" t="s">
        <v>112</v>
      </c>
      <c r="L16" s="5" t="s">
        <v>113</v>
      </c>
      <c r="M16" s="5" t="s">
        <v>114</v>
      </c>
      <c r="N16" s="5" t="s">
        <v>115</v>
      </c>
      <c r="O16" s="5"/>
      <c r="P16" s="4" t="str">
        <f t="shared" si="0"/>
        <v>Outstanding</v>
      </c>
      <c r="Q16" s="13" t="s">
        <v>25</v>
      </c>
    </row>
    <row r="17" spans="1:17" ht="60" customHeight="1" x14ac:dyDescent="0.35">
      <c r="A17" s="11" t="s">
        <v>109</v>
      </c>
      <c r="B17" s="2" t="s">
        <v>116</v>
      </c>
      <c r="C17" s="1" t="s">
        <v>117</v>
      </c>
      <c r="D17" s="3" t="s">
        <v>20</v>
      </c>
      <c r="E17" s="3" t="s">
        <v>21</v>
      </c>
      <c r="F17" s="4" t="s">
        <v>22</v>
      </c>
      <c r="G17" s="4" t="s">
        <v>23</v>
      </c>
      <c r="H17" s="4" t="s">
        <v>24</v>
      </c>
      <c r="I17" s="4" t="s">
        <v>25</v>
      </c>
      <c r="J17" s="5" t="s">
        <v>25</v>
      </c>
      <c r="K17" s="5" t="s">
        <v>118</v>
      </c>
      <c r="L17" s="5" t="s">
        <v>119</v>
      </c>
      <c r="M17" s="5" t="s">
        <v>120</v>
      </c>
      <c r="N17" s="5" t="s">
        <v>121</v>
      </c>
      <c r="O17" s="5"/>
      <c r="P17" s="4" t="str">
        <f t="shared" si="0"/>
        <v>Outstanding</v>
      </c>
      <c r="Q17" s="13" t="s">
        <v>25</v>
      </c>
    </row>
    <row r="18" spans="1:17" ht="60" customHeight="1" x14ac:dyDescent="0.35">
      <c r="A18" s="11" t="s">
        <v>109</v>
      </c>
      <c r="B18" s="2" t="s">
        <v>122</v>
      </c>
      <c r="C18" s="1" t="s">
        <v>123</v>
      </c>
      <c r="D18" s="3" t="s">
        <v>20</v>
      </c>
      <c r="E18" s="3" t="s">
        <v>21</v>
      </c>
      <c r="F18" s="4" t="s">
        <v>22</v>
      </c>
      <c r="G18" s="4" t="s">
        <v>23</v>
      </c>
      <c r="H18" s="4" t="s">
        <v>24</v>
      </c>
      <c r="I18" s="4" t="s">
        <v>25</v>
      </c>
      <c r="J18" s="5" t="s">
        <v>25</v>
      </c>
      <c r="K18" s="5" t="s">
        <v>124</v>
      </c>
      <c r="L18" s="5" t="s">
        <v>125</v>
      </c>
      <c r="M18" s="5" t="s">
        <v>126</v>
      </c>
      <c r="N18" s="5" t="s">
        <v>127</v>
      </c>
      <c r="O18" s="5"/>
      <c r="P18" s="4" t="str">
        <f t="shared" si="0"/>
        <v>Outstanding</v>
      </c>
      <c r="Q18" s="13" t="s">
        <v>25</v>
      </c>
    </row>
    <row r="19" spans="1:17" ht="60" customHeight="1" x14ac:dyDescent="0.35">
      <c r="A19" s="11" t="s">
        <v>109</v>
      </c>
      <c r="B19" s="2" t="s">
        <v>128</v>
      </c>
      <c r="C19" s="1" t="s">
        <v>129</v>
      </c>
      <c r="D19" s="3" t="s">
        <v>20</v>
      </c>
      <c r="E19" s="3" t="s">
        <v>21</v>
      </c>
      <c r="F19" s="4" t="s">
        <v>22</v>
      </c>
      <c r="G19" s="4" t="s">
        <v>23</v>
      </c>
      <c r="H19" s="4" t="s">
        <v>24</v>
      </c>
      <c r="I19" s="4" t="s">
        <v>25</v>
      </c>
      <c r="J19" s="5" t="s">
        <v>25</v>
      </c>
      <c r="K19" s="5" t="s">
        <v>130</v>
      </c>
      <c r="L19" s="5" t="s">
        <v>131</v>
      </c>
      <c r="M19" s="5"/>
      <c r="N19" s="5" t="s">
        <v>132</v>
      </c>
      <c r="O19" s="5"/>
      <c r="P19" s="4" t="str">
        <f t="shared" si="0"/>
        <v>Outstanding</v>
      </c>
      <c r="Q19" s="13" t="s">
        <v>25</v>
      </c>
    </row>
    <row r="20" spans="1:17" ht="60" customHeight="1" x14ac:dyDescent="0.35">
      <c r="A20" s="11" t="s">
        <v>109</v>
      </c>
      <c r="B20" s="2" t="s">
        <v>133</v>
      </c>
      <c r="C20" s="1" t="s">
        <v>134</v>
      </c>
      <c r="D20" s="3" t="s">
        <v>20</v>
      </c>
      <c r="E20" s="3" t="s">
        <v>21</v>
      </c>
      <c r="F20" s="4" t="s">
        <v>22</v>
      </c>
      <c r="G20" s="4" t="s">
        <v>23</v>
      </c>
      <c r="H20" s="4" t="s">
        <v>24</v>
      </c>
      <c r="I20" s="4" t="s">
        <v>25</v>
      </c>
      <c r="J20" s="5" t="s">
        <v>25</v>
      </c>
      <c r="K20" s="5" t="s">
        <v>135</v>
      </c>
      <c r="L20" s="5" t="s">
        <v>136</v>
      </c>
      <c r="M20" s="5" t="s">
        <v>137</v>
      </c>
      <c r="N20" s="5" t="s">
        <v>138</v>
      </c>
      <c r="O20" s="5"/>
      <c r="P20" s="4" t="str">
        <f t="shared" si="0"/>
        <v>Outstanding</v>
      </c>
      <c r="Q20" s="13" t="s">
        <v>25</v>
      </c>
    </row>
    <row r="21" spans="1:17" ht="60" customHeight="1" x14ac:dyDescent="0.35">
      <c r="A21" s="11" t="s">
        <v>139</v>
      </c>
      <c r="B21" s="2" t="s">
        <v>140</v>
      </c>
      <c r="C21" s="1" t="s">
        <v>141</v>
      </c>
      <c r="D21" s="3" t="s">
        <v>20</v>
      </c>
      <c r="E21" s="3" t="s">
        <v>21</v>
      </c>
      <c r="F21" s="4" t="s">
        <v>22</v>
      </c>
      <c r="G21" s="4" t="s">
        <v>23</v>
      </c>
      <c r="H21" s="4" t="s">
        <v>24</v>
      </c>
      <c r="I21" s="4" t="s">
        <v>25</v>
      </c>
      <c r="J21" s="5" t="s">
        <v>25</v>
      </c>
      <c r="K21" s="5" t="s">
        <v>142</v>
      </c>
      <c r="L21" s="5" t="s">
        <v>143</v>
      </c>
      <c r="M21" s="5"/>
      <c r="N21" s="5" t="s">
        <v>144</v>
      </c>
      <c r="O21" s="5"/>
      <c r="P21" s="4" t="str">
        <f t="shared" si="0"/>
        <v>Outstanding</v>
      </c>
      <c r="Q21" s="13" t="s">
        <v>25</v>
      </c>
    </row>
    <row r="22" spans="1:17" ht="60" customHeight="1" x14ac:dyDescent="0.35">
      <c r="A22" s="11" t="s">
        <v>145</v>
      </c>
      <c r="B22" s="2" t="s">
        <v>146</v>
      </c>
      <c r="C22" s="1" t="s">
        <v>147</v>
      </c>
      <c r="D22" s="3" t="s">
        <v>20</v>
      </c>
      <c r="E22" s="3" t="s">
        <v>21</v>
      </c>
      <c r="F22" s="4" t="s">
        <v>22</v>
      </c>
      <c r="G22" s="4" t="s">
        <v>23</v>
      </c>
      <c r="H22" s="4" t="s">
        <v>24</v>
      </c>
      <c r="I22" s="4" t="s">
        <v>25</v>
      </c>
      <c r="J22" s="5" t="s">
        <v>25</v>
      </c>
      <c r="K22" s="5" t="s">
        <v>148</v>
      </c>
      <c r="L22" s="5" t="s">
        <v>149</v>
      </c>
      <c r="M22" s="5" t="s">
        <v>150</v>
      </c>
      <c r="N22" s="5" t="s">
        <v>151</v>
      </c>
      <c r="O22" s="5"/>
      <c r="P22" s="4" t="str">
        <f t="shared" si="0"/>
        <v>Outstanding</v>
      </c>
      <c r="Q22" s="13" t="s">
        <v>25</v>
      </c>
    </row>
    <row r="23" spans="1:17" ht="60" customHeight="1" x14ac:dyDescent="0.35">
      <c r="A23" s="11" t="s">
        <v>145</v>
      </c>
      <c r="B23" s="2" t="s">
        <v>152</v>
      </c>
      <c r="C23" s="1" t="s">
        <v>153</v>
      </c>
      <c r="D23" s="3" t="s">
        <v>20</v>
      </c>
      <c r="E23" s="3" t="s">
        <v>21</v>
      </c>
      <c r="F23" s="4" t="s">
        <v>22</v>
      </c>
      <c r="G23" s="4" t="s">
        <v>23</v>
      </c>
      <c r="H23" s="4" t="s">
        <v>24</v>
      </c>
      <c r="I23" s="4" t="s">
        <v>25</v>
      </c>
      <c r="J23" s="5" t="s">
        <v>25</v>
      </c>
      <c r="K23" s="5" t="s">
        <v>154</v>
      </c>
      <c r="L23" s="5" t="s">
        <v>155</v>
      </c>
      <c r="M23" s="5" t="s">
        <v>156</v>
      </c>
      <c r="N23" s="5" t="s">
        <v>157</v>
      </c>
      <c r="O23" s="5"/>
      <c r="P23" s="4" t="str">
        <f t="shared" si="0"/>
        <v>Outstanding</v>
      </c>
      <c r="Q23" s="13" t="s">
        <v>25</v>
      </c>
    </row>
    <row r="24" spans="1:17" ht="60" customHeight="1" x14ac:dyDescent="0.35">
      <c r="A24" s="11" t="s">
        <v>145</v>
      </c>
      <c r="B24" s="2" t="s">
        <v>158</v>
      </c>
      <c r="C24" s="1" t="s">
        <v>159</v>
      </c>
      <c r="D24" s="3" t="s">
        <v>20</v>
      </c>
      <c r="E24" s="3" t="s">
        <v>21</v>
      </c>
      <c r="F24" s="4" t="s">
        <v>22</v>
      </c>
      <c r="G24" s="4" t="s">
        <v>23</v>
      </c>
      <c r="H24" s="4" t="s">
        <v>24</v>
      </c>
      <c r="I24" s="4" t="s">
        <v>25</v>
      </c>
      <c r="J24" s="5" t="s">
        <v>25</v>
      </c>
      <c r="K24" s="5" t="s">
        <v>160</v>
      </c>
      <c r="L24" s="5" t="s">
        <v>161</v>
      </c>
      <c r="M24" s="5" t="s">
        <v>162</v>
      </c>
      <c r="N24" s="5" t="s">
        <v>163</v>
      </c>
      <c r="O24" s="5"/>
      <c r="P24" s="4" t="str">
        <f t="shared" si="0"/>
        <v>Outstanding</v>
      </c>
      <c r="Q24" s="13" t="s">
        <v>25</v>
      </c>
    </row>
    <row r="25" spans="1:17" ht="60" customHeight="1" x14ac:dyDescent="0.35">
      <c r="A25" s="11" t="s">
        <v>164</v>
      </c>
      <c r="B25" s="2" t="s">
        <v>165</v>
      </c>
      <c r="C25" s="1" t="s">
        <v>166</v>
      </c>
      <c r="D25" s="3" t="s">
        <v>20</v>
      </c>
      <c r="E25" s="3" t="s">
        <v>21</v>
      </c>
      <c r="F25" s="4" t="s">
        <v>22</v>
      </c>
      <c r="G25" s="4" t="s">
        <v>23</v>
      </c>
      <c r="H25" s="4" t="s">
        <v>24</v>
      </c>
      <c r="I25" s="4" t="s">
        <v>25</v>
      </c>
      <c r="J25" s="5" t="s">
        <v>25</v>
      </c>
      <c r="K25" s="5" t="s">
        <v>167</v>
      </c>
      <c r="L25" s="5" t="s">
        <v>168</v>
      </c>
      <c r="M25" s="5"/>
      <c r="N25" s="5" t="s">
        <v>169</v>
      </c>
      <c r="O25" s="5"/>
      <c r="P25" s="4" t="str">
        <f t="shared" si="0"/>
        <v>Outstanding</v>
      </c>
      <c r="Q25" s="13" t="s">
        <v>25</v>
      </c>
    </row>
    <row r="26" spans="1:17" ht="60" customHeight="1" x14ac:dyDescent="0.35">
      <c r="A26" s="11" t="s">
        <v>164</v>
      </c>
      <c r="B26" s="2" t="s">
        <v>170</v>
      </c>
      <c r="C26" s="1" t="s">
        <v>171</v>
      </c>
      <c r="D26" s="3" t="s">
        <v>20</v>
      </c>
      <c r="E26" s="3" t="s">
        <v>87</v>
      </c>
      <c r="F26" s="4" t="s">
        <v>22</v>
      </c>
      <c r="G26" s="4" t="s">
        <v>23</v>
      </c>
      <c r="H26" s="4" t="s">
        <v>24</v>
      </c>
      <c r="I26" s="4" t="s">
        <v>25</v>
      </c>
      <c r="J26" s="5" t="s">
        <v>25</v>
      </c>
      <c r="K26" s="5" t="s">
        <v>172</v>
      </c>
      <c r="L26" s="5" t="s">
        <v>173</v>
      </c>
      <c r="M26" s="5"/>
      <c r="N26" s="5" t="s">
        <v>174</v>
      </c>
      <c r="O26" s="5"/>
      <c r="P26" s="4" t="str">
        <f t="shared" si="0"/>
        <v>Outstanding</v>
      </c>
      <c r="Q26" s="13" t="s">
        <v>25</v>
      </c>
    </row>
    <row r="27" spans="1:17" ht="60" customHeight="1" x14ac:dyDescent="0.35">
      <c r="A27" s="11" t="s">
        <v>164</v>
      </c>
      <c r="B27" s="2" t="s">
        <v>175</v>
      </c>
      <c r="C27" s="1" t="s">
        <v>176</v>
      </c>
      <c r="D27" s="3" t="s">
        <v>20</v>
      </c>
      <c r="E27" s="3" t="s">
        <v>21</v>
      </c>
      <c r="F27" s="4" t="s">
        <v>22</v>
      </c>
      <c r="G27" s="4" t="s">
        <v>23</v>
      </c>
      <c r="H27" s="4" t="s">
        <v>24</v>
      </c>
      <c r="I27" s="4" t="s">
        <v>25</v>
      </c>
      <c r="J27" s="5" t="s">
        <v>25</v>
      </c>
      <c r="K27" s="5" t="s">
        <v>177</v>
      </c>
      <c r="L27" s="5" t="s">
        <v>178</v>
      </c>
      <c r="M27" s="5" t="s">
        <v>179</v>
      </c>
      <c r="N27" s="5" t="s">
        <v>180</v>
      </c>
      <c r="O27" s="5"/>
      <c r="P27" s="4" t="str">
        <f t="shared" si="0"/>
        <v>Outstanding</v>
      </c>
      <c r="Q27" s="13" t="s">
        <v>25</v>
      </c>
    </row>
    <row r="28" spans="1:17" ht="60" customHeight="1" x14ac:dyDescent="0.35">
      <c r="A28" s="11" t="s">
        <v>164</v>
      </c>
      <c r="B28" s="2" t="s">
        <v>181</v>
      </c>
      <c r="C28" s="1" t="s">
        <v>182</v>
      </c>
      <c r="D28" s="3" t="s">
        <v>20</v>
      </c>
      <c r="E28" s="3" t="s">
        <v>21</v>
      </c>
      <c r="F28" s="4" t="s">
        <v>22</v>
      </c>
      <c r="G28" s="4" t="s">
        <v>23</v>
      </c>
      <c r="H28" s="4" t="s">
        <v>24</v>
      </c>
      <c r="I28" s="4" t="s">
        <v>25</v>
      </c>
      <c r="J28" s="5" t="s">
        <v>25</v>
      </c>
      <c r="K28" s="5" t="s">
        <v>183</v>
      </c>
      <c r="L28" s="5" t="s">
        <v>184</v>
      </c>
      <c r="M28" s="5" t="s">
        <v>185</v>
      </c>
      <c r="N28" s="5" t="s">
        <v>186</v>
      </c>
      <c r="O28" s="5" t="s">
        <v>187</v>
      </c>
      <c r="P28" s="4" t="str">
        <f t="shared" si="0"/>
        <v>Outstanding</v>
      </c>
      <c r="Q28" s="13" t="s">
        <v>25</v>
      </c>
    </row>
    <row r="29" spans="1:17" ht="60" customHeight="1" x14ac:dyDescent="0.35">
      <c r="A29" s="11" t="s">
        <v>164</v>
      </c>
      <c r="B29" s="2" t="s">
        <v>188</v>
      </c>
      <c r="C29" s="1" t="s">
        <v>189</v>
      </c>
      <c r="D29" s="3" t="s">
        <v>20</v>
      </c>
      <c r="E29" s="3" t="s">
        <v>21</v>
      </c>
      <c r="F29" s="4" t="s">
        <v>22</v>
      </c>
      <c r="G29" s="4" t="s">
        <v>23</v>
      </c>
      <c r="H29" s="4" t="s">
        <v>24</v>
      </c>
      <c r="I29" s="4" t="s">
        <v>25</v>
      </c>
      <c r="J29" s="5" t="s">
        <v>25</v>
      </c>
      <c r="K29" s="5" t="s">
        <v>190</v>
      </c>
      <c r="L29" s="5" t="s">
        <v>191</v>
      </c>
      <c r="M29" s="5" t="s">
        <v>192</v>
      </c>
      <c r="N29" s="5" t="s">
        <v>193</v>
      </c>
      <c r="O29" s="5"/>
      <c r="P29" s="4" t="str">
        <f t="shared" si="0"/>
        <v>Outstanding</v>
      </c>
      <c r="Q29" s="13" t="s">
        <v>25</v>
      </c>
    </row>
    <row r="30" spans="1:17" ht="60" customHeight="1" x14ac:dyDescent="0.35">
      <c r="A30" s="11" t="s">
        <v>164</v>
      </c>
      <c r="B30" s="2" t="s">
        <v>194</v>
      </c>
      <c r="C30" s="1" t="s">
        <v>195</v>
      </c>
      <c r="D30" s="3" t="s">
        <v>20</v>
      </c>
      <c r="E30" s="3" t="s">
        <v>21</v>
      </c>
      <c r="F30" s="4" t="s">
        <v>22</v>
      </c>
      <c r="G30" s="4" t="s">
        <v>23</v>
      </c>
      <c r="H30" s="4" t="s">
        <v>24</v>
      </c>
      <c r="I30" s="4" t="s">
        <v>25</v>
      </c>
      <c r="J30" s="5" t="s">
        <v>25</v>
      </c>
      <c r="K30" s="5" t="s">
        <v>196</v>
      </c>
      <c r="L30" s="5" t="s">
        <v>197</v>
      </c>
      <c r="M30" s="5" t="s">
        <v>198</v>
      </c>
      <c r="N30" s="5" t="s">
        <v>199</v>
      </c>
      <c r="O30" s="5"/>
      <c r="P30" s="4" t="str">
        <f t="shared" si="0"/>
        <v>Outstanding</v>
      </c>
      <c r="Q30" s="13" t="s">
        <v>25</v>
      </c>
    </row>
    <row r="31" spans="1:17" ht="60" customHeight="1" x14ac:dyDescent="0.35">
      <c r="A31" s="11" t="s">
        <v>200</v>
      </c>
      <c r="B31" s="2" t="s">
        <v>201</v>
      </c>
      <c r="C31" s="1" t="s">
        <v>202</v>
      </c>
      <c r="D31" s="3" t="s">
        <v>20</v>
      </c>
      <c r="E31" s="3" t="s">
        <v>87</v>
      </c>
      <c r="F31" s="4" t="s">
        <v>22</v>
      </c>
      <c r="G31" s="4" t="s">
        <v>23</v>
      </c>
      <c r="H31" s="4" t="s">
        <v>24</v>
      </c>
      <c r="I31" s="4" t="s">
        <v>25</v>
      </c>
      <c r="J31" s="5" t="s">
        <v>25</v>
      </c>
      <c r="K31" s="5" t="s">
        <v>203</v>
      </c>
      <c r="L31" s="5" t="s">
        <v>204</v>
      </c>
      <c r="M31" s="5" t="s">
        <v>205</v>
      </c>
      <c r="N31" s="5" t="s">
        <v>206</v>
      </c>
      <c r="O31" s="5"/>
      <c r="P31" s="4" t="str">
        <f t="shared" si="0"/>
        <v>Outstanding</v>
      </c>
      <c r="Q31" s="13" t="s">
        <v>25</v>
      </c>
    </row>
    <row r="32" spans="1:17" ht="60" customHeight="1" x14ac:dyDescent="0.35">
      <c r="A32" s="11" t="s">
        <v>200</v>
      </c>
      <c r="B32" s="2" t="s">
        <v>207</v>
      </c>
      <c r="C32" s="1" t="s">
        <v>208</v>
      </c>
      <c r="D32" s="3" t="s">
        <v>20</v>
      </c>
      <c r="E32" s="3" t="s">
        <v>21</v>
      </c>
      <c r="F32" s="4" t="s">
        <v>22</v>
      </c>
      <c r="G32" s="4" t="s">
        <v>23</v>
      </c>
      <c r="H32" s="4" t="s">
        <v>24</v>
      </c>
      <c r="I32" s="4" t="s">
        <v>25</v>
      </c>
      <c r="J32" s="5" t="s">
        <v>25</v>
      </c>
      <c r="K32" s="5" t="s">
        <v>209</v>
      </c>
      <c r="L32" s="5" t="s">
        <v>210</v>
      </c>
      <c r="M32" s="5" t="s">
        <v>211</v>
      </c>
      <c r="N32" s="5" t="s">
        <v>212</v>
      </c>
      <c r="O32" s="5"/>
      <c r="P32" s="4" t="str">
        <f t="shared" si="0"/>
        <v>Outstanding</v>
      </c>
      <c r="Q32" s="13" t="s">
        <v>25</v>
      </c>
    </row>
    <row r="33" spans="1:17" ht="60" customHeight="1" x14ac:dyDescent="0.35">
      <c r="A33" s="11" t="s">
        <v>200</v>
      </c>
      <c r="B33" s="2" t="s">
        <v>213</v>
      </c>
      <c r="C33" s="1" t="s">
        <v>214</v>
      </c>
      <c r="D33" s="3" t="s">
        <v>20</v>
      </c>
      <c r="E33" s="3" t="s">
        <v>21</v>
      </c>
      <c r="F33" s="4" t="s">
        <v>22</v>
      </c>
      <c r="G33" s="4" t="s">
        <v>23</v>
      </c>
      <c r="H33" s="4" t="s">
        <v>24</v>
      </c>
      <c r="I33" s="4" t="s">
        <v>25</v>
      </c>
      <c r="J33" s="5" t="s">
        <v>25</v>
      </c>
      <c r="K33" s="5" t="s">
        <v>215</v>
      </c>
      <c r="L33" s="5" t="s">
        <v>216</v>
      </c>
      <c r="M33" s="5" t="s">
        <v>217</v>
      </c>
      <c r="N33" s="5" t="s">
        <v>218</v>
      </c>
      <c r="O33" s="5"/>
      <c r="P33" s="4" t="str">
        <f t="shared" si="0"/>
        <v>Outstanding</v>
      </c>
      <c r="Q33" s="13" t="s">
        <v>25</v>
      </c>
    </row>
    <row r="34" spans="1:17" ht="60" customHeight="1" x14ac:dyDescent="0.35">
      <c r="A34" s="11" t="s">
        <v>219</v>
      </c>
      <c r="B34" s="2" t="s">
        <v>220</v>
      </c>
      <c r="C34" s="1" t="s">
        <v>221</v>
      </c>
      <c r="D34" s="3" t="s">
        <v>20</v>
      </c>
      <c r="E34" s="3" t="s">
        <v>21</v>
      </c>
      <c r="F34" s="4" t="s">
        <v>22</v>
      </c>
      <c r="G34" s="4" t="s">
        <v>23</v>
      </c>
      <c r="H34" s="4" t="s">
        <v>24</v>
      </c>
      <c r="I34" s="4" t="s">
        <v>25</v>
      </c>
      <c r="J34" s="5" t="s">
        <v>25</v>
      </c>
      <c r="K34" s="5" t="s">
        <v>222</v>
      </c>
      <c r="L34" s="5" t="s">
        <v>223</v>
      </c>
      <c r="M34" s="5" t="s">
        <v>224</v>
      </c>
      <c r="N34" s="5" t="s">
        <v>225</v>
      </c>
      <c r="O34" s="5"/>
      <c r="P34" s="4" t="str">
        <f t="shared" si="0"/>
        <v>Outstanding</v>
      </c>
      <c r="Q34" s="13" t="s">
        <v>25</v>
      </c>
    </row>
    <row r="35" spans="1:17" ht="60" customHeight="1" x14ac:dyDescent="0.35">
      <c r="A35" s="11" t="s">
        <v>219</v>
      </c>
      <c r="B35" s="2" t="s">
        <v>226</v>
      </c>
      <c r="C35" s="1" t="s">
        <v>227</v>
      </c>
      <c r="D35" s="3" t="s">
        <v>20</v>
      </c>
      <c r="E35" s="3" t="s">
        <v>21</v>
      </c>
      <c r="F35" s="4" t="s">
        <v>22</v>
      </c>
      <c r="G35" s="4" t="s">
        <v>23</v>
      </c>
      <c r="H35" s="4" t="s">
        <v>24</v>
      </c>
      <c r="I35" s="4" t="s">
        <v>25</v>
      </c>
      <c r="J35" s="5" t="s">
        <v>25</v>
      </c>
      <c r="K35" s="5" t="s">
        <v>228</v>
      </c>
      <c r="L35" s="5" t="s">
        <v>229</v>
      </c>
      <c r="M35" s="5" t="s">
        <v>230</v>
      </c>
      <c r="N35" s="5" t="s">
        <v>231</v>
      </c>
      <c r="O35" s="5"/>
      <c r="P35" s="4" t="str">
        <f t="shared" si="0"/>
        <v>Outstanding</v>
      </c>
      <c r="Q35" s="13" t="s">
        <v>25</v>
      </c>
    </row>
    <row r="36" spans="1:17" ht="60" customHeight="1" x14ac:dyDescent="0.35">
      <c r="A36" s="11" t="s">
        <v>219</v>
      </c>
      <c r="B36" s="2" t="s">
        <v>232</v>
      </c>
      <c r="C36" s="1" t="s">
        <v>233</v>
      </c>
      <c r="D36" s="3" t="s">
        <v>20</v>
      </c>
      <c r="E36" s="3" t="s">
        <v>21</v>
      </c>
      <c r="F36" s="4" t="s">
        <v>22</v>
      </c>
      <c r="G36" s="4" t="s">
        <v>23</v>
      </c>
      <c r="H36" s="4" t="s">
        <v>24</v>
      </c>
      <c r="I36" s="4" t="s">
        <v>25</v>
      </c>
      <c r="J36" s="5" t="s">
        <v>25</v>
      </c>
      <c r="K36" s="5" t="s">
        <v>234</v>
      </c>
      <c r="L36" s="5" t="s">
        <v>235</v>
      </c>
      <c r="M36" s="5" t="s">
        <v>236</v>
      </c>
      <c r="N36" s="5" t="s">
        <v>237</v>
      </c>
      <c r="O36" s="5"/>
      <c r="P36" s="4" t="str">
        <f t="shared" si="0"/>
        <v>Outstanding</v>
      </c>
      <c r="Q36" s="13" t="s">
        <v>25</v>
      </c>
    </row>
    <row r="37" spans="1:17" ht="60" customHeight="1" x14ac:dyDescent="0.35">
      <c r="A37" s="11" t="s">
        <v>219</v>
      </c>
      <c r="B37" s="2" t="s">
        <v>238</v>
      </c>
      <c r="C37" s="1" t="s">
        <v>239</v>
      </c>
      <c r="D37" s="3" t="s">
        <v>20</v>
      </c>
      <c r="E37" s="3" t="s">
        <v>21</v>
      </c>
      <c r="F37" s="4" t="s">
        <v>22</v>
      </c>
      <c r="G37" s="4" t="s">
        <v>23</v>
      </c>
      <c r="H37" s="4" t="s">
        <v>24</v>
      </c>
      <c r="I37" s="4" t="s">
        <v>25</v>
      </c>
      <c r="J37" s="5" t="s">
        <v>25</v>
      </c>
      <c r="K37" s="5" t="s">
        <v>240</v>
      </c>
      <c r="L37" s="5" t="s">
        <v>241</v>
      </c>
      <c r="M37" s="5" t="s">
        <v>242</v>
      </c>
      <c r="N37" s="5" t="s">
        <v>243</v>
      </c>
      <c r="O37" s="5"/>
      <c r="P37" s="4" t="str">
        <f t="shared" si="0"/>
        <v>Outstanding</v>
      </c>
      <c r="Q37" s="13" t="s">
        <v>25</v>
      </c>
    </row>
    <row r="38" spans="1:17" ht="60" customHeight="1" x14ac:dyDescent="0.35">
      <c r="A38" s="11" t="s">
        <v>219</v>
      </c>
      <c r="B38" s="2" t="s">
        <v>244</v>
      </c>
      <c r="C38" s="1" t="s">
        <v>245</v>
      </c>
      <c r="D38" s="3" t="s">
        <v>20</v>
      </c>
      <c r="E38" s="3" t="s">
        <v>21</v>
      </c>
      <c r="F38" s="4" t="s">
        <v>22</v>
      </c>
      <c r="G38" s="4" t="s">
        <v>23</v>
      </c>
      <c r="H38" s="4" t="s">
        <v>24</v>
      </c>
      <c r="I38" s="4" t="s">
        <v>25</v>
      </c>
      <c r="J38" s="5" t="s">
        <v>25</v>
      </c>
      <c r="K38" s="5" t="s">
        <v>246</v>
      </c>
      <c r="L38" s="5" t="s">
        <v>247</v>
      </c>
      <c r="M38" s="5" t="s">
        <v>248</v>
      </c>
      <c r="N38" s="5" t="s">
        <v>249</v>
      </c>
      <c r="O38" s="5"/>
      <c r="P38" s="4" t="str">
        <f t="shared" si="0"/>
        <v>Outstanding</v>
      </c>
      <c r="Q38" s="13" t="s">
        <v>25</v>
      </c>
    </row>
    <row r="39" spans="1:17" ht="60" customHeight="1" x14ac:dyDescent="0.35">
      <c r="A39" s="11" t="s">
        <v>219</v>
      </c>
      <c r="B39" s="2" t="s">
        <v>250</v>
      </c>
      <c r="C39" s="1" t="s">
        <v>251</v>
      </c>
      <c r="D39" s="3" t="s">
        <v>20</v>
      </c>
      <c r="E39" s="3" t="s">
        <v>87</v>
      </c>
      <c r="F39" s="4" t="s">
        <v>22</v>
      </c>
      <c r="G39" s="4" t="s">
        <v>23</v>
      </c>
      <c r="H39" s="4" t="s">
        <v>24</v>
      </c>
      <c r="I39" s="4" t="s">
        <v>25</v>
      </c>
      <c r="J39" s="5" t="s">
        <v>25</v>
      </c>
      <c r="K39" s="5" t="s">
        <v>252</v>
      </c>
      <c r="L39" s="5" t="s">
        <v>253</v>
      </c>
      <c r="M39" s="5"/>
      <c r="N39" s="5" t="s">
        <v>254</v>
      </c>
      <c r="O39" s="5"/>
      <c r="P39" s="4" t="str">
        <f t="shared" si="0"/>
        <v>Outstanding</v>
      </c>
      <c r="Q39" s="13" t="s">
        <v>25</v>
      </c>
    </row>
    <row r="40" spans="1:17" ht="60" customHeight="1" x14ac:dyDescent="0.35">
      <c r="A40" s="11" t="s">
        <v>255</v>
      </c>
      <c r="B40" s="2" t="s">
        <v>256</v>
      </c>
      <c r="C40" s="1" t="s">
        <v>257</v>
      </c>
      <c r="D40" s="3" t="s">
        <v>20</v>
      </c>
      <c r="E40" s="3" t="s">
        <v>21</v>
      </c>
      <c r="F40" s="4" t="s">
        <v>22</v>
      </c>
      <c r="G40" s="4" t="s">
        <v>23</v>
      </c>
      <c r="H40" s="4" t="s">
        <v>24</v>
      </c>
      <c r="I40" s="4" t="s">
        <v>25</v>
      </c>
      <c r="J40" s="5" t="s">
        <v>25</v>
      </c>
      <c r="K40" s="5" t="s">
        <v>258</v>
      </c>
      <c r="L40" s="5" t="s">
        <v>259</v>
      </c>
      <c r="M40" s="5" t="s">
        <v>260</v>
      </c>
      <c r="N40" s="5" t="s">
        <v>261</v>
      </c>
      <c r="O40" s="5"/>
      <c r="P40" s="4" t="str">
        <f t="shared" si="0"/>
        <v>Outstanding</v>
      </c>
      <c r="Q40" s="13" t="s">
        <v>25</v>
      </c>
    </row>
    <row r="41" spans="1:17" ht="60" customHeight="1" x14ac:dyDescent="0.35">
      <c r="A41" s="11" t="s">
        <v>255</v>
      </c>
      <c r="B41" s="2" t="s">
        <v>262</v>
      </c>
      <c r="C41" s="1" t="s">
        <v>263</v>
      </c>
      <c r="D41" s="3" t="s">
        <v>20</v>
      </c>
      <c r="E41" s="3" t="s">
        <v>21</v>
      </c>
      <c r="F41" s="4" t="s">
        <v>22</v>
      </c>
      <c r="G41" s="4" t="s">
        <v>23</v>
      </c>
      <c r="H41" s="4" t="s">
        <v>24</v>
      </c>
      <c r="I41" s="4" t="s">
        <v>25</v>
      </c>
      <c r="J41" s="5" t="s">
        <v>25</v>
      </c>
      <c r="K41" s="5" t="s">
        <v>264</v>
      </c>
      <c r="L41" s="5" t="s">
        <v>265</v>
      </c>
      <c r="M41" s="5" t="s">
        <v>266</v>
      </c>
      <c r="N41" s="5" t="s">
        <v>267</v>
      </c>
      <c r="O41" s="5"/>
      <c r="P41" s="4" t="str">
        <f t="shared" si="0"/>
        <v>Outstanding</v>
      </c>
      <c r="Q41" s="13" t="s">
        <v>25</v>
      </c>
    </row>
    <row r="42" spans="1:17" ht="60" customHeight="1" x14ac:dyDescent="0.35">
      <c r="A42" s="11" t="s">
        <v>255</v>
      </c>
      <c r="B42" s="2" t="s">
        <v>268</v>
      </c>
      <c r="C42" s="1" t="s">
        <v>269</v>
      </c>
      <c r="D42" s="3" t="s">
        <v>20</v>
      </c>
      <c r="E42" s="3" t="s">
        <v>87</v>
      </c>
      <c r="F42" s="4" t="s">
        <v>22</v>
      </c>
      <c r="G42" s="4" t="s">
        <v>23</v>
      </c>
      <c r="H42" s="4" t="s">
        <v>24</v>
      </c>
      <c r="I42" s="4" t="s">
        <v>25</v>
      </c>
      <c r="J42" s="5" t="s">
        <v>25</v>
      </c>
      <c r="K42" s="5" t="s">
        <v>270</v>
      </c>
      <c r="L42" s="5" t="s">
        <v>271</v>
      </c>
      <c r="M42" s="5" t="s">
        <v>272</v>
      </c>
      <c r="N42" s="5" t="s">
        <v>273</v>
      </c>
      <c r="O42" s="5"/>
      <c r="P42" s="4" t="str">
        <f t="shared" si="0"/>
        <v>Outstanding</v>
      </c>
      <c r="Q42" s="13" t="s">
        <v>25</v>
      </c>
    </row>
    <row r="43" spans="1:17" ht="60" customHeight="1" x14ac:dyDescent="0.35">
      <c r="A43" s="11" t="s">
        <v>255</v>
      </c>
      <c r="B43" s="2" t="s">
        <v>274</v>
      </c>
      <c r="C43" s="1" t="s">
        <v>275</v>
      </c>
      <c r="D43" s="3" t="s">
        <v>20</v>
      </c>
      <c r="E43" s="3" t="s">
        <v>87</v>
      </c>
      <c r="F43" s="4" t="s">
        <v>22</v>
      </c>
      <c r="G43" s="4" t="s">
        <v>23</v>
      </c>
      <c r="H43" s="4" t="s">
        <v>24</v>
      </c>
      <c r="I43" s="4" t="s">
        <v>25</v>
      </c>
      <c r="J43" s="5" t="s">
        <v>25</v>
      </c>
      <c r="K43" s="5" t="s">
        <v>276</v>
      </c>
      <c r="L43" s="5" t="s">
        <v>277</v>
      </c>
      <c r="M43" s="5" t="s">
        <v>272</v>
      </c>
      <c r="N43" s="5" t="s">
        <v>278</v>
      </c>
      <c r="O43" s="5"/>
      <c r="P43" s="4" t="str">
        <f t="shared" si="0"/>
        <v>Outstanding</v>
      </c>
      <c r="Q43" s="13" t="s">
        <v>25</v>
      </c>
    </row>
    <row r="44" spans="1:17" ht="60" customHeight="1" x14ac:dyDescent="0.35">
      <c r="A44" s="11" t="s">
        <v>255</v>
      </c>
      <c r="B44" s="2" t="s">
        <v>279</v>
      </c>
      <c r="C44" s="1" t="s">
        <v>280</v>
      </c>
      <c r="D44" s="3" t="s">
        <v>20</v>
      </c>
      <c r="E44" s="3" t="s">
        <v>87</v>
      </c>
      <c r="F44" s="4" t="s">
        <v>22</v>
      </c>
      <c r="G44" s="4" t="s">
        <v>23</v>
      </c>
      <c r="H44" s="4" t="s">
        <v>24</v>
      </c>
      <c r="I44" s="4" t="s">
        <v>25</v>
      </c>
      <c r="J44" s="5" t="s">
        <v>25</v>
      </c>
      <c r="K44" s="5" t="s">
        <v>281</v>
      </c>
      <c r="L44" s="5" t="s">
        <v>282</v>
      </c>
      <c r="M44" s="5" t="s">
        <v>272</v>
      </c>
      <c r="N44" s="5" t="s">
        <v>283</v>
      </c>
      <c r="O44" s="5"/>
      <c r="P44" s="4" t="str">
        <f t="shared" si="0"/>
        <v>Outstanding</v>
      </c>
      <c r="Q44" s="13" t="s">
        <v>25</v>
      </c>
    </row>
    <row r="45" spans="1:17" ht="60" customHeight="1" x14ac:dyDescent="0.35">
      <c r="A45" s="11" t="s">
        <v>255</v>
      </c>
      <c r="B45" s="2" t="s">
        <v>284</v>
      </c>
      <c r="C45" s="1" t="s">
        <v>285</v>
      </c>
      <c r="D45" s="3" t="s">
        <v>20</v>
      </c>
      <c r="E45" s="3" t="s">
        <v>87</v>
      </c>
      <c r="F45" s="4" t="s">
        <v>22</v>
      </c>
      <c r="G45" s="4" t="s">
        <v>23</v>
      </c>
      <c r="H45" s="4" t="s">
        <v>24</v>
      </c>
      <c r="I45" s="4" t="s">
        <v>25</v>
      </c>
      <c r="J45" s="5" t="s">
        <v>25</v>
      </c>
      <c r="K45" s="5" t="s">
        <v>286</v>
      </c>
      <c r="L45" s="5" t="s">
        <v>287</v>
      </c>
      <c r="M45" s="5" t="s">
        <v>272</v>
      </c>
      <c r="N45" s="5" t="s">
        <v>288</v>
      </c>
      <c r="O45" s="5"/>
      <c r="P45" s="4" t="str">
        <f t="shared" si="0"/>
        <v>Outstanding</v>
      </c>
      <c r="Q45" s="13" t="s">
        <v>25</v>
      </c>
    </row>
    <row r="46" spans="1:17" ht="60" customHeight="1" x14ac:dyDescent="0.35">
      <c r="A46" s="11" t="s">
        <v>255</v>
      </c>
      <c r="B46" s="2" t="s">
        <v>289</v>
      </c>
      <c r="C46" s="1" t="s">
        <v>290</v>
      </c>
      <c r="D46" s="3" t="s">
        <v>20</v>
      </c>
      <c r="E46" s="3" t="s">
        <v>21</v>
      </c>
      <c r="F46" s="4" t="s">
        <v>22</v>
      </c>
      <c r="G46" s="4" t="s">
        <v>23</v>
      </c>
      <c r="H46" s="4" t="s">
        <v>24</v>
      </c>
      <c r="I46" s="4" t="s">
        <v>25</v>
      </c>
      <c r="J46" s="5" t="s">
        <v>25</v>
      </c>
      <c r="K46" s="5" t="s">
        <v>291</v>
      </c>
      <c r="L46" s="5" t="s">
        <v>292</v>
      </c>
      <c r="M46" s="5" t="s">
        <v>293</v>
      </c>
      <c r="N46" s="5" t="s">
        <v>294</v>
      </c>
      <c r="O46" s="5"/>
      <c r="P46" s="4" t="str">
        <f t="shared" si="0"/>
        <v>Outstanding</v>
      </c>
      <c r="Q46" s="13" t="s">
        <v>25</v>
      </c>
    </row>
    <row r="47" spans="1:17" ht="60" customHeight="1" x14ac:dyDescent="0.35">
      <c r="A47" s="11" t="s">
        <v>255</v>
      </c>
      <c r="B47" s="2" t="s">
        <v>295</v>
      </c>
      <c r="C47" s="1" t="s">
        <v>296</v>
      </c>
      <c r="D47" s="3" t="s">
        <v>20</v>
      </c>
      <c r="E47" s="3" t="s">
        <v>21</v>
      </c>
      <c r="F47" s="4" t="s">
        <v>22</v>
      </c>
      <c r="G47" s="4" t="s">
        <v>23</v>
      </c>
      <c r="H47" s="4" t="s">
        <v>24</v>
      </c>
      <c r="I47" s="4" t="s">
        <v>25</v>
      </c>
      <c r="J47" s="5" t="s">
        <v>25</v>
      </c>
      <c r="K47" s="5" t="s">
        <v>297</v>
      </c>
      <c r="L47" s="5" t="s">
        <v>298</v>
      </c>
      <c r="M47" s="5" t="s">
        <v>293</v>
      </c>
      <c r="N47" s="5" t="s">
        <v>299</v>
      </c>
      <c r="O47" s="5"/>
      <c r="P47" s="4" t="str">
        <f t="shared" si="0"/>
        <v>Outstanding</v>
      </c>
      <c r="Q47" s="13" t="s">
        <v>25</v>
      </c>
    </row>
    <row r="48" spans="1:17" ht="60" customHeight="1" x14ac:dyDescent="0.35">
      <c r="A48" s="11" t="s">
        <v>300</v>
      </c>
      <c r="B48" s="2" t="s">
        <v>301</v>
      </c>
      <c r="C48" s="1" t="s">
        <v>302</v>
      </c>
      <c r="D48" s="3" t="s">
        <v>20</v>
      </c>
      <c r="E48" s="3" t="s">
        <v>21</v>
      </c>
      <c r="F48" s="4" t="s">
        <v>22</v>
      </c>
      <c r="G48" s="4" t="s">
        <v>23</v>
      </c>
      <c r="H48" s="4" t="s">
        <v>24</v>
      </c>
      <c r="I48" s="4" t="s">
        <v>25</v>
      </c>
      <c r="J48" s="5" t="s">
        <v>25</v>
      </c>
      <c r="K48" s="5" t="s">
        <v>303</v>
      </c>
      <c r="L48" s="5" t="s">
        <v>304</v>
      </c>
      <c r="M48" s="5" t="s">
        <v>305</v>
      </c>
      <c r="N48" s="5" t="s">
        <v>306</v>
      </c>
      <c r="O48" s="5"/>
      <c r="P48" s="4" t="str">
        <f t="shared" si="0"/>
        <v>Outstanding</v>
      </c>
      <c r="Q48" s="13" t="s">
        <v>25</v>
      </c>
    </row>
    <row r="49" spans="1:17" ht="60" customHeight="1" x14ac:dyDescent="0.35">
      <c r="A49" s="11" t="s">
        <v>300</v>
      </c>
      <c r="B49" s="2" t="s">
        <v>307</v>
      </c>
      <c r="C49" s="1" t="s">
        <v>308</v>
      </c>
      <c r="D49" s="3" t="s">
        <v>20</v>
      </c>
      <c r="E49" s="3" t="s">
        <v>21</v>
      </c>
      <c r="F49" s="4" t="s">
        <v>22</v>
      </c>
      <c r="G49" s="4" t="s">
        <v>23</v>
      </c>
      <c r="H49" s="4" t="s">
        <v>24</v>
      </c>
      <c r="I49" s="4" t="s">
        <v>25</v>
      </c>
      <c r="J49" s="5" t="s">
        <v>25</v>
      </c>
      <c r="K49" s="5" t="s">
        <v>309</v>
      </c>
      <c r="L49" s="5" t="s">
        <v>310</v>
      </c>
      <c r="M49" s="5" t="s">
        <v>311</v>
      </c>
      <c r="N49" s="5" t="s">
        <v>312</v>
      </c>
      <c r="O49" s="5" t="s">
        <v>313</v>
      </c>
      <c r="P49" s="4" t="str">
        <f t="shared" si="0"/>
        <v>Outstanding</v>
      </c>
      <c r="Q49" s="13" t="s">
        <v>25</v>
      </c>
    </row>
    <row r="50" spans="1:17" ht="60" customHeight="1" x14ac:dyDescent="0.35">
      <c r="A50" s="11" t="s">
        <v>300</v>
      </c>
      <c r="B50" s="2" t="s">
        <v>314</v>
      </c>
      <c r="C50" s="1" t="s">
        <v>315</v>
      </c>
      <c r="D50" s="3" t="s">
        <v>20</v>
      </c>
      <c r="E50" s="3" t="s">
        <v>21</v>
      </c>
      <c r="F50" s="4" t="s">
        <v>22</v>
      </c>
      <c r="G50" s="4" t="s">
        <v>23</v>
      </c>
      <c r="H50" s="4" t="s">
        <v>24</v>
      </c>
      <c r="I50" s="4" t="s">
        <v>25</v>
      </c>
      <c r="J50" s="5" t="s">
        <v>25</v>
      </c>
      <c r="K50" s="5" t="s">
        <v>316</v>
      </c>
      <c r="L50" s="5" t="s">
        <v>317</v>
      </c>
      <c r="M50" s="5" t="s">
        <v>318</v>
      </c>
      <c r="N50" s="5" t="s">
        <v>319</v>
      </c>
      <c r="O50" s="5"/>
      <c r="P50" s="4" t="str">
        <f t="shared" si="0"/>
        <v>Outstanding</v>
      </c>
      <c r="Q50" s="13" t="s">
        <v>25</v>
      </c>
    </row>
    <row r="51" spans="1:17" ht="60" customHeight="1" x14ac:dyDescent="0.35">
      <c r="A51" s="11" t="s">
        <v>300</v>
      </c>
      <c r="B51" s="2" t="s">
        <v>320</v>
      </c>
      <c r="C51" s="1" t="s">
        <v>321</v>
      </c>
      <c r="D51" s="3" t="s">
        <v>20</v>
      </c>
      <c r="E51" s="3" t="s">
        <v>21</v>
      </c>
      <c r="F51" s="4" t="s">
        <v>22</v>
      </c>
      <c r="G51" s="4" t="s">
        <v>23</v>
      </c>
      <c r="H51" s="4" t="s">
        <v>24</v>
      </c>
      <c r="I51" s="4" t="s">
        <v>25</v>
      </c>
      <c r="J51" s="5" t="s">
        <v>25</v>
      </c>
      <c r="K51" s="5" t="s">
        <v>322</v>
      </c>
      <c r="L51" s="5" t="s">
        <v>323</v>
      </c>
      <c r="M51" s="5" t="s">
        <v>324</v>
      </c>
      <c r="N51" s="5" t="s">
        <v>325</v>
      </c>
      <c r="O51" s="5"/>
      <c r="P51" s="4" t="str">
        <f t="shared" si="0"/>
        <v>Outstanding</v>
      </c>
      <c r="Q51" s="13" t="s">
        <v>25</v>
      </c>
    </row>
    <row r="52" spans="1:17" ht="60" customHeight="1" x14ac:dyDescent="0.35">
      <c r="A52" s="11" t="s">
        <v>300</v>
      </c>
      <c r="B52" s="2" t="s">
        <v>326</v>
      </c>
      <c r="C52" s="1" t="s">
        <v>327</v>
      </c>
      <c r="D52" s="3" t="s">
        <v>20</v>
      </c>
      <c r="E52" s="3" t="s">
        <v>87</v>
      </c>
      <c r="F52" s="4" t="s">
        <v>22</v>
      </c>
      <c r="G52" s="4" t="s">
        <v>23</v>
      </c>
      <c r="H52" s="4" t="s">
        <v>24</v>
      </c>
      <c r="I52" s="4" t="s">
        <v>25</v>
      </c>
      <c r="J52" s="5" t="s">
        <v>25</v>
      </c>
      <c r="K52" s="5" t="s">
        <v>328</v>
      </c>
      <c r="L52" s="5" t="s">
        <v>329</v>
      </c>
      <c r="M52" s="5" t="s">
        <v>330</v>
      </c>
      <c r="N52" s="5" t="s">
        <v>331</v>
      </c>
      <c r="O52" s="5"/>
      <c r="P52" s="4" t="str">
        <f t="shared" si="0"/>
        <v>Outstanding</v>
      </c>
      <c r="Q52" s="13" t="s">
        <v>25</v>
      </c>
    </row>
    <row r="53" spans="1:17" ht="60" customHeight="1" x14ac:dyDescent="0.35">
      <c r="A53" s="11" t="s">
        <v>300</v>
      </c>
      <c r="B53" s="2" t="s">
        <v>332</v>
      </c>
      <c r="C53" s="1" t="s">
        <v>333</v>
      </c>
      <c r="D53" s="3" t="s">
        <v>20</v>
      </c>
      <c r="E53" s="3" t="s">
        <v>21</v>
      </c>
      <c r="F53" s="4" t="s">
        <v>22</v>
      </c>
      <c r="G53" s="4" t="s">
        <v>23</v>
      </c>
      <c r="H53" s="4" t="s">
        <v>24</v>
      </c>
      <c r="I53" s="4" t="s">
        <v>25</v>
      </c>
      <c r="J53" s="5" t="s">
        <v>25</v>
      </c>
      <c r="K53" s="5" t="s">
        <v>334</v>
      </c>
      <c r="L53" s="5" t="s">
        <v>335</v>
      </c>
      <c r="M53" s="5" t="s">
        <v>336</v>
      </c>
      <c r="N53" s="5" t="s">
        <v>337</v>
      </c>
      <c r="O53" s="5"/>
      <c r="P53" s="4" t="str">
        <f t="shared" si="0"/>
        <v>Outstanding</v>
      </c>
      <c r="Q53" s="13" t="s">
        <v>25</v>
      </c>
    </row>
    <row r="54" spans="1:17" ht="60" customHeight="1" x14ac:dyDescent="0.35">
      <c r="A54" s="11" t="s">
        <v>300</v>
      </c>
      <c r="B54" s="2" t="s">
        <v>338</v>
      </c>
      <c r="C54" s="1" t="s">
        <v>339</v>
      </c>
      <c r="D54" s="3" t="s">
        <v>20</v>
      </c>
      <c r="E54" s="3" t="s">
        <v>21</v>
      </c>
      <c r="F54" s="4" t="s">
        <v>22</v>
      </c>
      <c r="G54" s="4" t="s">
        <v>23</v>
      </c>
      <c r="H54" s="4" t="s">
        <v>24</v>
      </c>
      <c r="I54" s="4" t="s">
        <v>25</v>
      </c>
      <c r="J54" s="5" t="s">
        <v>25</v>
      </c>
      <c r="K54" s="5" t="s">
        <v>340</v>
      </c>
      <c r="L54" s="5" t="s">
        <v>341</v>
      </c>
      <c r="M54" s="5" t="s">
        <v>342</v>
      </c>
      <c r="N54" s="5" t="s">
        <v>343</v>
      </c>
      <c r="O54" s="5"/>
      <c r="P54" s="4" t="str">
        <f t="shared" si="0"/>
        <v>Outstanding</v>
      </c>
      <c r="Q54" s="13" t="s">
        <v>25</v>
      </c>
    </row>
    <row r="55" spans="1:17" ht="60" customHeight="1" x14ac:dyDescent="0.35">
      <c r="A55" s="11" t="s">
        <v>300</v>
      </c>
      <c r="B55" s="2" t="s">
        <v>344</v>
      </c>
      <c r="C55" s="1" t="s">
        <v>345</v>
      </c>
      <c r="D55" s="3" t="s">
        <v>20</v>
      </c>
      <c r="E55" s="3" t="s">
        <v>21</v>
      </c>
      <c r="F55" s="4" t="s">
        <v>22</v>
      </c>
      <c r="G55" s="4" t="s">
        <v>23</v>
      </c>
      <c r="H55" s="4" t="s">
        <v>24</v>
      </c>
      <c r="I55" s="4" t="s">
        <v>25</v>
      </c>
      <c r="J55" s="5" t="s">
        <v>25</v>
      </c>
      <c r="K55" s="5" t="s">
        <v>346</v>
      </c>
      <c r="L55" s="5" t="s">
        <v>347</v>
      </c>
      <c r="M55" s="5" t="s">
        <v>348</v>
      </c>
      <c r="N55" s="5" t="s">
        <v>349</v>
      </c>
      <c r="O55" s="5"/>
      <c r="P55" s="4" t="str">
        <f t="shared" si="0"/>
        <v>Outstanding</v>
      </c>
      <c r="Q55" s="13" t="s">
        <v>25</v>
      </c>
    </row>
    <row r="56" spans="1:17" ht="60" customHeight="1" x14ac:dyDescent="0.35">
      <c r="A56" s="12" t="s">
        <v>300</v>
      </c>
      <c r="B56" s="6" t="s">
        <v>350</v>
      </c>
      <c r="C56" s="7" t="s">
        <v>351</v>
      </c>
      <c r="D56" s="8" t="s">
        <v>20</v>
      </c>
      <c r="E56" s="8" t="s">
        <v>21</v>
      </c>
      <c r="F56" s="9" t="s">
        <v>22</v>
      </c>
      <c r="G56" s="9" t="s">
        <v>23</v>
      </c>
      <c r="H56" s="9" t="s">
        <v>24</v>
      </c>
      <c r="I56" s="9" t="s">
        <v>25</v>
      </c>
      <c r="J56" s="10" t="s">
        <v>25</v>
      </c>
      <c r="K56" s="10" t="s">
        <v>352</v>
      </c>
      <c r="L56" s="10" t="s">
        <v>353</v>
      </c>
      <c r="M56" s="10" t="s">
        <v>354</v>
      </c>
      <c r="N56" s="10" t="s">
        <v>355</v>
      </c>
      <c r="O56" s="10" t="s">
        <v>356</v>
      </c>
      <c r="P56" s="9" t="str">
        <f t="shared" si="0"/>
        <v>Outstanding</v>
      </c>
      <c r="Q56" s="14" t="s">
        <v>25</v>
      </c>
    </row>
    <row r="60" spans="1:17" ht="32" customHeight="1" x14ac:dyDescent="0.35">
      <c r="A60" s="288" t="s">
        <v>357</v>
      </c>
      <c r="B60" s="288"/>
      <c r="C60" s="288"/>
      <c r="D60" s="288"/>
    </row>
  </sheetData>
  <mergeCells count="1">
    <mergeCell ref="A60:D60"/>
  </mergeCells>
  <conditionalFormatting sqref="F2:F56">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G2:G56">
    <cfRule type="cellIs" dxfId="66" priority="5" operator="equal">
      <formula>"Low"</formula>
    </cfRule>
    <cfRule type="cellIs" dxfId="65" priority="6" operator="equal">
      <formula>"Medium"</formula>
    </cfRule>
    <cfRule type="cellIs" dxfId="64" priority="7" operator="equal">
      <formula>"High"</formula>
    </cfRule>
  </conditionalFormatting>
  <conditionalFormatting sqref="I2:I56">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F2:F56" xr:uid="{00000000-0002-0000-0200-000000000000}">
      <formula1>"Must,Should,Could,Won't,Unassigned"</formula1>
    </dataValidation>
    <dataValidation type="list" showErrorMessage="1" errorTitle="Invalid Value" error="Please select a value from the list: Low, Medium, High, Unassessed." sqref="G2:G56" xr:uid="{00000000-0002-0000-0200-000001000000}">
      <formula1>"Low,Medium,High,Unassessed"</formula1>
    </dataValidation>
    <dataValidation type="list" showErrorMessage="1" errorTitle="Invalid Value" error="Please select a value from the list: Phase1, Phase2, Phase3, Phase4, Phase5, Pending." sqref="H2:H56"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I2:I56" xr:uid="{00000000-0002-0000-0200-000003000000}">
      <formula1>"Implemented,Testing,Failed,Compensated,Risk Accepted,N/A"</formula1>
    </dataValidation>
  </dataValidations>
  <hyperlinks>
    <hyperlink ref="A60"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8" customWidth="1"/>
    <col min="2" max="2" width="10" style="18" customWidth="1"/>
    <col min="3" max="3" width="30" style="18" customWidth="1"/>
    <col min="4" max="6" width="12" style="18" customWidth="1"/>
    <col min="7" max="7" width="40" style="18" customWidth="1"/>
    <col min="8" max="9" width="15" style="18" customWidth="1"/>
    <col min="10" max="11" width="30" style="18" customWidth="1"/>
    <col min="12" max="12" width="13" style="18" customWidth="1"/>
    <col min="13" max="13" width="20" style="18" customWidth="1"/>
    <col min="14" max="14" width="40" style="18" customWidth="1"/>
    <col min="15" max="15" width="25" style="18" customWidth="1"/>
    <col min="16" max="16" width="20" style="18" customWidth="1"/>
    <col min="17" max="17" width="15" style="18" customWidth="1"/>
    <col min="18" max="18" width="40" style="18" customWidth="1"/>
    <col min="19" max="19" width="16" style="18" customWidth="1"/>
    <col min="20" max="20" width="40" style="18" customWidth="1"/>
    <col min="21" max="21" width="9.1796875" style="18" customWidth="1"/>
    <col min="22" max="16384" width="9.1796875" style="18"/>
  </cols>
  <sheetData>
    <row r="1" spans="2:20" ht="5" customHeight="1" x14ac:dyDescent="0.35"/>
    <row r="2" spans="2:20" ht="30" customHeight="1" x14ac:dyDescent="0.35">
      <c r="B2" s="305" t="s">
        <v>511</v>
      </c>
      <c r="C2" s="305" t="s">
        <v>511</v>
      </c>
      <c r="D2" s="305" t="s">
        <v>511</v>
      </c>
      <c r="E2" s="305" t="s">
        <v>511</v>
      </c>
      <c r="F2" s="305" t="s">
        <v>511</v>
      </c>
      <c r="G2" s="305" t="s">
        <v>511</v>
      </c>
      <c r="H2" s="309" t="s">
        <v>512</v>
      </c>
      <c r="I2" s="309" t="s">
        <v>512</v>
      </c>
      <c r="J2" s="309" t="s">
        <v>512</v>
      </c>
      <c r="K2" s="309" t="s">
        <v>512</v>
      </c>
      <c r="L2" s="309" t="s">
        <v>512</v>
      </c>
      <c r="M2" s="308" t="s">
        <v>513</v>
      </c>
      <c r="N2" s="308" t="s">
        <v>513</v>
      </c>
      <c r="O2" s="310" t="s">
        <v>514</v>
      </c>
      <c r="P2" s="310" t="s">
        <v>514</v>
      </c>
      <c r="Q2" s="306" t="s">
        <v>15</v>
      </c>
      <c r="R2" s="306" t="s">
        <v>15</v>
      </c>
      <c r="S2" s="306" t="s">
        <v>15</v>
      </c>
      <c r="T2" s="307" t="s">
        <v>515</v>
      </c>
    </row>
    <row r="3" spans="2:20" ht="35" customHeight="1" x14ac:dyDescent="0.35">
      <c r="B3" s="70" t="s">
        <v>516</v>
      </c>
      <c r="C3" s="70" t="s">
        <v>517</v>
      </c>
      <c r="D3" s="70" t="s">
        <v>518</v>
      </c>
      <c r="E3" s="70" t="s">
        <v>519</v>
      </c>
      <c r="F3" s="70" t="s">
        <v>520</v>
      </c>
      <c r="G3" s="70" t="s">
        <v>11</v>
      </c>
      <c r="H3" s="71" t="s">
        <v>521</v>
      </c>
      <c r="I3" s="71" t="s">
        <v>522</v>
      </c>
      <c r="J3" s="71" t="s">
        <v>523</v>
      </c>
      <c r="K3" s="71" t="s">
        <v>524</v>
      </c>
      <c r="L3" s="71" t="s">
        <v>455</v>
      </c>
      <c r="M3" s="72" t="s">
        <v>525</v>
      </c>
      <c r="N3" s="72" t="s">
        <v>526</v>
      </c>
      <c r="O3" s="73" t="s">
        <v>527</v>
      </c>
      <c r="P3" s="73" t="s">
        <v>528</v>
      </c>
      <c r="Q3" s="74" t="s">
        <v>15</v>
      </c>
      <c r="R3" s="74" t="s">
        <v>529</v>
      </c>
      <c r="S3" s="74" t="s">
        <v>530</v>
      </c>
      <c r="T3" s="75" t="s">
        <v>531</v>
      </c>
    </row>
    <row r="4" spans="2:20" ht="60" customHeight="1" x14ac:dyDescent="0.35">
      <c r="B4" s="76" t="s">
        <v>532</v>
      </c>
      <c r="C4" s="76" t="s">
        <v>533</v>
      </c>
      <c r="D4" s="76" t="s">
        <v>534</v>
      </c>
      <c r="E4" s="76" t="s">
        <v>535</v>
      </c>
      <c r="F4" s="76" t="s">
        <v>536</v>
      </c>
      <c r="G4" s="76" t="s">
        <v>537</v>
      </c>
      <c r="H4" s="76" t="s">
        <v>538</v>
      </c>
      <c r="I4" s="76" t="s">
        <v>539</v>
      </c>
      <c r="J4" s="76" t="s">
        <v>540</v>
      </c>
      <c r="K4" s="76" t="s">
        <v>541</v>
      </c>
      <c r="L4" s="76" t="s">
        <v>542</v>
      </c>
      <c r="M4" s="76" t="s">
        <v>543</v>
      </c>
      <c r="N4" s="76" t="s">
        <v>544</v>
      </c>
      <c r="O4" s="76" t="s">
        <v>545</v>
      </c>
      <c r="P4" s="76" t="s">
        <v>546</v>
      </c>
      <c r="Q4" s="76" t="s">
        <v>547</v>
      </c>
      <c r="R4" s="76" t="s">
        <v>548</v>
      </c>
      <c r="S4" s="76" t="s">
        <v>549</v>
      </c>
      <c r="T4" s="76" t="s">
        <v>550</v>
      </c>
    </row>
    <row r="5" spans="2:20" ht="60" customHeight="1" x14ac:dyDescent="0.35">
      <c r="B5" s="38" t="s">
        <v>551</v>
      </c>
      <c r="C5" s="77"/>
      <c r="D5" s="78"/>
      <c r="E5" s="78" t="s">
        <v>25</v>
      </c>
      <c r="F5" s="78" t="str">
        <f>IF(E5&lt;&gt;"", IFERROR(VLOOKUP(E5, Dashboard!$B44:$F49, 5, FALSE), ""), "")</f>
        <v/>
      </c>
      <c r="G5" s="79"/>
      <c r="H5" s="66"/>
      <c r="I5" s="66"/>
      <c r="J5" s="79"/>
      <c r="K5" s="79"/>
      <c r="L5" s="40"/>
      <c r="M5" s="40"/>
      <c r="N5" s="79"/>
      <c r="O5" s="79"/>
      <c r="P5" s="40"/>
      <c r="Q5" s="40" t="s">
        <v>25</v>
      </c>
      <c r="R5" s="79"/>
      <c r="S5" s="66"/>
      <c r="T5" s="79"/>
    </row>
    <row r="6" spans="2:20" ht="60" customHeight="1" x14ac:dyDescent="0.35">
      <c r="B6" s="38" t="s">
        <v>552</v>
      </c>
      <c r="C6" s="77"/>
      <c r="D6" s="78"/>
      <c r="E6" s="78" t="s">
        <v>25</v>
      </c>
      <c r="F6" s="78" t="str">
        <f>IF(E6&lt;&gt;"", IFERROR(VLOOKUP(E6, Dashboard!$B44:$F49, 5, FALSE), ""), "")</f>
        <v/>
      </c>
      <c r="G6" s="79"/>
      <c r="H6" s="66"/>
      <c r="I6" s="66"/>
      <c r="J6" s="79"/>
      <c r="K6" s="79"/>
      <c r="L6" s="40"/>
      <c r="M6" s="40"/>
      <c r="N6" s="79"/>
      <c r="O6" s="79"/>
      <c r="P6" s="40"/>
      <c r="Q6" s="40" t="s">
        <v>25</v>
      </c>
      <c r="R6" s="79"/>
      <c r="S6" s="66"/>
      <c r="T6" s="79"/>
    </row>
    <row r="7" spans="2:20" ht="60" customHeight="1" x14ac:dyDescent="0.35">
      <c r="B7" s="38" t="s">
        <v>553</v>
      </c>
      <c r="C7" s="77"/>
      <c r="D7" s="78"/>
      <c r="E7" s="78" t="s">
        <v>25</v>
      </c>
      <c r="F7" s="78" t="str">
        <f>IF(E7&lt;&gt;"", IFERROR(VLOOKUP(E7, Dashboard!$B44:$F49, 5, FALSE), ""), "")</f>
        <v/>
      </c>
      <c r="G7" s="79"/>
      <c r="H7" s="66"/>
      <c r="I7" s="66"/>
      <c r="J7" s="79"/>
      <c r="K7" s="79"/>
      <c r="L7" s="40"/>
      <c r="M7" s="40"/>
      <c r="N7" s="79"/>
      <c r="O7" s="79"/>
      <c r="P7" s="40"/>
      <c r="Q7" s="40" t="s">
        <v>25</v>
      </c>
      <c r="R7" s="79"/>
      <c r="S7" s="66"/>
      <c r="T7" s="79"/>
    </row>
    <row r="8" spans="2:20" ht="60" customHeight="1" x14ac:dyDescent="0.35">
      <c r="B8" s="38" t="s">
        <v>554</v>
      </c>
      <c r="C8" s="77"/>
      <c r="D8" s="78"/>
      <c r="E8" s="78" t="s">
        <v>25</v>
      </c>
      <c r="F8" s="78" t="str">
        <f>IF(E8&lt;&gt;"", IFERROR(VLOOKUP(E8, Dashboard!$B44:$F49, 5, FALSE), ""), "")</f>
        <v/>
      </c>
      <c r="G8" s="79"/>
      <c r="H8" s="66"/>
      <c r="I8" s="66"/>
      <c r="J8" s="79"/>
      <c r="K8" s="79"/>
      <c r="L8" s="40"/>
      <c r="M8" s="40"/>
      <c r="N8" s="79"/>
      <c r="O8" s="79"/>
      <c r="P8" s="40"/>
      <c r="Q8" s="40" t="s">
        <v>25</v>
      </c>
      <c r="R8" s="79"/>
      <c r="S8" s="66"/>
      <c r="T8" s="79"/>
    </row>
    <row r="9" spans="2:20" ht="60" customHeight="1" x14ac:dyDescent="0.35">
      <c r="B9" s="38" t="s">
        <v>555</v>
      </c>
      <c r="C9" s="77"/>
      <c r="D9" s="78"/>
      <c r="E9" s="78" t="s">
        <v>25</v>
      </c>
      <c r="F9" s="78" t="str">
        <f>IF(E9&lt;&gt;"", IFERROR(VLOOKUP(E9, Dashboard!$B44:$F49, 5, FALSE), ""), "")</f>
        <v/>
      </c>
      <c r="G9" s="79"/>
      <c r="H9" s="66"/>
      <c r="I9" s="66"/>
      <c r="J9" s="79"/>
      <c r="K9" s="79"/>
      <c r="L9" s="40"/>
      <c r="M9" s="40"/>
      <c r="N9" s="79"/>
      <c r="O9" s="79"/>
      <c r="P9" s="40"/>
      <c r="Q9" s="40" t="s">
        <v>25</v>
      </c>
      <c r="R9" s="79"/>
      <c r="S9" s="66"/>
      <c r="T9" s="79"/>
    </row>
    <row r="10" spans="2:20" ht="60" customHeight="1" x14ac:dyDescent="0.35">
      <c r="B10" s="38" t="s">
        <v>556</v>
      </c>
      <c r="C10" s="77"/>
      <c r="D10" s="78"/>
      <c r="E10" s="78" t="s">
        <v>25</v>
      </c>
      <c r="F10" s="78" t="str">
        <f>IF(E10&lt;&gt;"", IFERROR(VLOOKUP(E10, Dashboard!$B44:$F49, 5, FALSE), ""), "")</f>
        <v/>
      </c>
      <c r="G10" s="79"/>
      <c r="H10" s="66"/>
      <c r="I10" s="66"/>
      <c r="J10" s="79"/>
      <c r="K10" s="79"/>
      <c r="L10" s="40"/>
      <c r="M10" s="40"/>
      <c r="N10" s="79"/>
      <c r="O10" s="79"/>
      <c r="P10" s="40"/>
      <c r="Q10" s="40" t="s">
        <v>25</v>
      </c>
      <c r="R10" s="79"/>
      <c r="S10" s="66"/>
      <c r="T10" s="79"/>
    </row>
    <row r="11" spans="2:20" ht="60" customHeight="1" x14ac:dyDescent="0.35">
      <c r="B11" s="38" t="s">
        <v>557</v>
      </c>
      <c r="C11" s="77"/>
      <c r="D11" s="78"/>
      <c r="E11" s="78" t="s">
        <v>25</v>
      </c>
      <c r="F11" s="78" t="str">
        <f>IF(E11&lt;&gt;"", IFERROR(VLOOKUP(E11, Dashboard!$B44:$F49, 5, FALSE), ""), "")</f>
        <v/>
      </c>
      <c r="G11" s="79"/>
      <c r="H11" s="66"/>
      <c r="I11" s="66"/>
      <c r="J11" s="79"/>
      <c r="K11" s="79"/>
      <c r="L11" s="40"/>
      <c r="M11" s="40"/>
      <c r="N11" s="79"/>
      <c r="O11" s="79"/>
      <c r="P11" s="40"/>
      <c r="Q11" s="40" t="s">
        <v>25</v>
      </c>
      <c r="R11" s="79"/>
      <c r="S11" s="66"/>
      <c r="T11" s="79"/>
    </row>
    <row r="12" spans="2:20" ht="60" customHeight="1" x14ac:dyDescent="0.35">
      <c r="B12" s="38" t="s">
        <v>558</v>
      </c>
      <c r="C12" s="77"/>
      <c r="D12" s="78"/>
      <c r="E12" s="78" t="s">
        <v>25</v>
      </c>
      <c r="F12" s="78" t="str">
        <f>IF(E12&lt;&gt;"", IFERROR(VLOOKUP(E12, Dashboard!$B44:$F49, 5, FALSE), ""), "")</f>
        <v/>
      </c>
      <c r="G12" s="79"/>
      <c r="H12" s="66"/>
      <c r="I12" s="66"/>
      <c r="J12" s="79"/>
      <c r="K12" s="79"/>
      <c r="L12" s="40"/>
      <c r="M12" s="40"/>
      <c r="N12" s="79"/>
      <c r="O12" s="79"/>
      <c r="P12" s="40"/>
      <c r="Q12" s="40" t="s">
        <v>25</v>
      </c>
      <c r="R12" s="79"/>
      <c r="S12" s="66"/>
      <c r="T12" s="79"/>
    </row>
    <row r="13" spans="2:20" ht="60" customHeight="1" x14ac:dyDescent="0.35">
      <c r="B13" s="38" t="s">
        <v>559</v>
      </c>
      <c r="C13" s="77"/>
      <c r="D13" s="78"/>
      <c r="E13" s="78" t="s">
        <v>25</v>
      </c>
      <c r="F13" s="78" t="str">
        <f>IF(E13&lt;&gt;"", IFERROR(VLOOKUP(E13, Dashboard!$B44:$F49, 5, FALSE), ""), "")</f>
        <v/>
      </c>
      <c r="G13" s="79"/>
      <c r="H13" s="66"/>
      <c r="I13" s="66"/>
      <c r="J13" s="79"/>
      <c r="K13" s="79"/>
      <c r="L13" s="40"/>
      <c r="M13" s="40"/>
      <c r="N13" s="79"/>
      <c r="O13" s="79"/>
      <c r="P13" s="40"/>
      <c r="Q13" s="40" t="s">
        <v>25</v>
      </c>
      <c r="R13" s="79"/>
      <c r="S13" s="66"/>
      <c r="T13" s="79"/>
    </row>
    <row r="14" spans="2:20" ht="60" customHeight="1" x14ac:dyDescent="0.35">
      <c r="B14" s="38" t="s">
        <v>560</v>
      </c>
      <c r="C14" s="77"/>
      <c r="D14" s="78"/>
      <c r="E14" s="78" t="s">
        <v>25</v>
      </c>
      <c r="F14" s="78" t="str">
        <f>IF(E14&lt;&gt;"", IFERROR(VLOOKUP(E14, Dashboard!$B44:$F49, 5, FALSE), ""), "")</f>
        <v/>
      </c>
      <c r="G14" s="79"/>
      <c r="H14" s="66"/>
      <c r="I14" s="66"/>
      <c r="J14" s="79"/>
      <c r="K14" s="79"/>
      <c r="L14" s="40"/>
      <c r="M14" s="40"/>
      <c r="N14" s="79"/>
      <c r="O14" s="79"/>
      <c r="P14" s="40"/>
      <c r="Q14" s="40" t="s">
        <v>25</v>
      </c>
      <c r="R14" s="79"/>
      <c r="S14" s="66"/>
      <c r="T14" s="79"/>
    </row>
    <row r="15" spans="2:20" ht="60" customHeight="1" x14ac:dyDescent="0.35">
      <c r="B15" s="38" t="s">
        <v>561</v>
      </c>
      <c r="C15" s="77"/>
      <c r="D15" s="78"/>
      <c r="E15" s="78" t="s">
        <v>25</v>
      </c>
      <c r="F15" s="78" t="str">
        <f>IF(E15&lt;&gt;"", IFERROR(VLOOKUP(E15, Dashboard!$B44:$F49, 5, FALSE), ""), "")</f>
        <v/>
      </c>
      <c r="G15" s="79"/>
      <c r="H15" s="66"/>
      <c r="I15" s="66"/>
      <c r="J15" s="79"/>
      <c r="K15" s="79"/>
      <c r="L15" s="40"/>
      <c r="M15" s="40"/>
      <c r="N15" s="79"/>
      <c r="O15" s="79"/>
      <c r="P15" s="40"/>
      <c r="Q15" s="40" t="s">
        <v>25</v>
      </c>
      <c r="R15" s="79"/>
      <c r="S15" s="66"/>
      <c r="T15" s="79"/>
    </row>
    <row r="16" spans="2:20" ht="60" customHeight="1" x14ac:dyDescent="0.35">
      <c r="B16" s="38" t="s">
        <v>562</v>
      </c>
      <c r="C16" s="77"/>
      <c r="D16" s="78"/>
      <c r="E16" s="78" t="s">
        <v>25</v>
      </c>
      <c r="F16" s="78" t="str">
        <f>IF(E16&lt;&gt;"", IFERROR(VLOOKUP(E16, Dashboard!$B44:$F49, 5, FALSE), ""), "")</f>
        <v/>
      </c>
      <c r="G16" s="79"/>
      <c r="H16" s="66"/>
      <c r="I16" s="66"/>
      <c r="J16" s="79"/>
      <c r="K16" s="79"/>
      <c r="L16" s="40"/>
      <c r="M16" s="40"/>
      <c r="N16" s="79"/>
      <c r="O16" s="79"/>
      <c r="P16" s="40"/>
      <c r="Q16" s="40" t="s">
        <v>25</v>
      </c>
      <c r="R16" s="79"/>
      <c r="S16" s="66"/>
      <c r="T16" s="79"/>
    </row>
    <row r="17" spans="2:20" ht="60" customHeight="1" x14ac:dyDescent="0.35">
      <c r="B17" s="38" t="s">
        <v>563</v>
      </c>
      <c r="C17" s="77"/>
      <c r="D17" s="78"/>
      <c r="E17" s="78" t="s">
        <v>25</v>
      </c>
      <c r="F17" s="78" t="str">
        <f>IF(E17&lt;&gt;"", IFERROR(VLOOKUP(E17, Dashboard!$B44:$F49, 5, FALSE), ""), "")</f>
        <v/>
      </c>
      <c r="G17" s="79"/>
      <c r="H17" s="66"/>
      <c r="I17" s="66"/>
      <c r="J17" s="79"/>
      <c r="K17" s="79"/>
      <c r="L17" s="40"/>
      <c r="M17" s="40"/>
      <c r="N17" s="79"/>
      <c r="O17" s="79"/>
      <c r="P17" s="40"/>
      <c r="Q17" s="40" t="s">
        <v>25</v>
      </c>
      <c r="R17" s="79"/>
      <c r="S17" s="66"/>
      <c r="T17" s="79"/>
    </row>
    <row r="18" spans="2:20" ht="60" customHeight="1" x14ac:dyDescent="0.35">
      <c r="B18" s="38" t="s">
        <v>564</v>
      </c>
      <c r="C18" s="77"/>
      <c r="D18" s="78"/>
      <c r="E18" s="78" t="s">
        <v>25</v>
      </c>
      <c r="F18" s="78" t="str">
        <f>IF(E18&lt;&gt;"", IFERROR(VLOOKUP(E18, Dashboard!$B44:$F49, 5, FALSE), ""), "")</f>
        <v/>
      </c>
      <c r="G18" s="79"/>
      <c r="H18" s="66"/>
      <c r="I18" s="66"/>
      <c r="J18" s="79"/>
      <c r="K18" s="79"/>
      <c r="L18" s="40"/>
      <c r="M18" s="40"/>
      <c r="N18" s="79"/>
      <c r="O18" s="79"/>
      <c r="P18" s="40"/>
      <c r="Q18" s="40" t="s">
        <v>25</v>
      </c>
      <c r="R18" s="79"/>
      <c r="S18" s="66"/>
      <c r="T18" s="79"/>
    </row>
    <row r="19" spans="2:20" ht="60" customHeight="1" x14ac:dyDescent="0.35">
      <c r="B19" s="38" t="s">
        <v>565</v>
      </c>
      <c r="C19" s="77"/>
      <c r="D19" s="78"/>
      <c r="E19" s="78" t="s">
        <v>25</v>
      </c>
      <c r="F19" s="78" t="str">
        <f>IF(E19&lt;&gt;"", IFERROR(VLOOKUP(E19, Dashboard!$B44:$F49, 5, FALSE), ""), "")</f>
        <v/>
      </c>
      <c r="G19" s="79"/>
      <c r="H19" s="66"/>
      <c r="I19" s="66"/>
      <c r="J19" s="79"/>
      <c r="K19" s="79"/>
      <c r="L19" s="40"/>
      <c r="M19" s="40"/>
      <c r="N19" s="79"/>
      <c r="O19" s="79"/>
      <c r="P19" s="40"/>
      <c r="Q19" s="40" t="s">
        <v>25</v>
      </c>
      <c r="R19" s="79"/>
      <c r="S19" s="66"/>
      <c r="T19" s="79"/>
    </row>
    <row r="20" spans="2:20" ht="60" customHeight="1" x14ac:dyDescent="0.35">
      <c r="B20" s="38" t="s">
        <v>566</v>
      </c>
      <c r="C20" s="77"/>
      <c r="D20" s="78"/>
      <c r="E20" s="78" t="s">
        <v>25</v>
      </c>
      <c r="F20" s="78" t="str">
        <f>IF(E20&lt;&gt;"", IFERROR(VLOOKUP(E20, Dashboard!$B44:$F49, 5, FALSE), ""), "")</f>
        <v/>
      </c>
      <c r="G20" s="79"/>
      <c r="H20" s="66"/>
      <c r="I20" s="66"/>
      <c r="J20" s="79"/>
      <c r="K20" s="79"/>
      <c r="L20" s="40"/>
      <c r="M20" s="40"/>
      <c r="N20" s="79"/>
      <c r="O20" s="79"/>
      <c r="P20" s="40"/>
      <c r="Q20" s="40" t="s">
        <v>25</v>
      </c>
      <c r="R20" s="79"/>
      <c r="S20" s="66"/>
      <c r="T20" s="79"/>
    </row>
    <row r="21" spans="2:20" ht="60" customHeight="1" x14ac:dyDescent="0.35">
      <c r="B21" s="38" t="s">
        <v>567</v>
      </c>
      <c r="C21" s="77"/>
      <c r="D21" s="78"/>
      <c r="E21" s="78" t="s">
        <v>25</v>
      </c>
      <c r="F21" s="78" t="str">
        <f>IF(E21&lt;&gt;"", IFERROR(VLOOKUP(E21, Dashboard!$B44:$F49, 5, FALSE), ""), "")</f>
        <v/>
      </c>
      <c r="G21" s="79"/>
      <c r="H21" s="66"/>
      <c r="I21" s="66"/>
      <c r="J21" s="79"/>
      <c r="K21" s="79"/>
      <c r="L21" s="40"/>
      <c r="M21" s="40"/>
      <c r="N21" s="79"/>
      <c r="O21" s="79"/>
      <c r="P21" s="40"/>
      <c r="Q21" s="40" t="s">
        <v>25</v>
      </c>
      <c r="R21" s="79"/>
      <c r="S21" s="66"/>
      <c r="T21" s="79"/>
    </row>
    <row r="22" spans="2:20" ht="60" customHeight="1" x14ac:dyDescent="0.35">
      <c r="B22" s="38" t="s">
        <v>568</v>
      </c>
      <c r="C22" s="77"/>
      <c r="D22" s="78"/>
      <c r="E22" s="78" t="s">
        <v>25</v>
      </c>
      <c r="F22" s="78" t="str">
        <f>IF(E22&lt;&gt;"", IFERROR(VLOOKUP(E22, Dashboard!$B44:$F49, 5, FALSE), ""), "")</f>
        <v/>
      </c>
      <c r="G22" s="79"/>
      <c r="H22" s="66"/>
      <c r="I22" s="66"/>
      <c r="J22" s="79"/>
      <c r="K22" s="79"/>
      <c r="L22" s="40"/>
      <c r="M22" s="40"/>
      <c r="N22" s="79"/>
      <c r="O22" s="79"/>
      <c r="P22" s="40"/>
      <c r="Q22" s="40" t="s">
        <v>25</v>
      </c>
      <c r="R22" s="79"/>
      <c r="S22" s="66"/>
      <c r="T22" s="79"/>
    </row>
    <row r="23" spans="2:20" ht="60" customHeight="1" x14ac:dyDescent="0.35">
      <c r="B23" s="38" t="s">
        <v>569</v>
      </c>
      <c r="C23" s="77"/>
      <c r="D23" s="78"/>
      <c r="E23" s="78" t="s">
        <v>25</v>
      </c>
      <c r="F23" s="78" t="str">
        <f>IF(E23&lt;&gt;"", IFERROR(VLOOKUP(E23, Dashboard!$B44:$F49, 5, FALSE), ""), "")</f>
        <v/>
      </c>
      <c r="G23" s="79"/>
      <c r="H23" s="66"/>
      <c r="I23" s="66"/>
      <c r="J23" s="79"/>
      <c r="K23" s="79"/>
      <c r="L23" s="40"/>
      <c r="M23" s="40"/>
      <c r="N23" s="79"/>
      <c r="O23" s="79"/>
      <c r="P23" s="40"/>
      <c r="Q23" s="40" t="s">
        <v>25</v>
      </c>
      <c r="R23" s="79"/>
      <c r="S23" s="66"/>
      <c r="T23" s="79"/>
    </row>
    <row r="24" spans="2:20" ht="60" customHeight="1" x14ac:dyDescent="0.35">
      <c r="B24" s="38" t="s">
        <v>570</v>
      </c>
      <c r="C24" s="77"/>
      <c r="D24" s="78"/>
      <c r="E24" s="78" t="s">
        <v>25</v>
      </c>
      <c r="F24" s="78" t="str">
        <f>IF(E24&lt;&gt;"", IFERROR(VLOOKUP(E24, Dashboard!$B44:$F49, 5, FALSE), ""), "")</f>
        <v/>
      </c>
      <c r="G24" s="79"/>
      <c r="H24" s="66"/>
      <c r="I24" s="66"/>
      <c r="J24" s="79"/>
      <c r="K24" s="79"/>
      <c r="L24" s="40"/>
      <c r="M24" s="40"/>
      <c r="N24" s="79"/>
      <c r="O24" s="79"/>
      <c r="P24" s="40"/>
      <c r="Q24" s="40" t="s">
        <v>25</v>
      </c>
      <c r="R24" s="79"/>
      <c r="S24" s="66"/>
      <c r="T24" s="79"/>
    </row>
    <row r="25" spans="2:20" ht="60" customHeight="1" x14ac:dyDescent="0.35">
      <c r="B25" s="38" t="s">
        <v>571</v>
      </c>
      <c r="C25" s="77"/>
      <c r="D25" s="78"/>
      <c r="E25" s="78" t="s">
        <v>25</v>
      </c>
      <c r="F25" s="78" t="str">
        <f>IF(E25&lt;&gt;"", IFERROR(VLOOKUP(E25, Dashboard!$B44:$F49, 5, FALSE), ""), "")</f>
        <v/>
      </c>
      <c r="G25" s="79"/>
      <c r="H25" s="66"/>
      <c r="I25" s="66"/>
      <c r="J25" s="79"/>
      <c r="K25" s="79"/>
      <c r="L25" s="40"/>
      <c r="M25" s="40"/>
      <c r="N25" s="79"/>
      <c r="O25" s="79"/>
      <c r="P25" s="40"/>
      <c r="Q25" s="40" t="s">
        <v>25</v>
      </c>
      <c r="R25" s="79"/>
      <c r="S25" s="66"/>
      <c r="T25" s="79"/>
    </row>
    <row r="26" spans="2:20" ht="60" customHeight="1" x14ac:dyDescent="0.35">
      <c r="B26" s="38" t="s">
        <v>572</v>
      </c>
      <c r="C26" s="77"/>
      <c r="D26" s="78"/>
      <c r="E26" s="78" t="s">
        <v>25</v>
      </c>
      <c r="F26" s="78" t="str">
        <f>IF(E26&lt;&gt;"", IFERROR(VLOOKUP(E26, Dashboard!$B44:$F49, 5, FALSE), ""), "")</f>
        <v/>
      </c>
      <c r="G26" s="79"/>
      <c r="H26" s="66"/>
      <c r="I26" s="66"/>
      <c r="J26" s="79"/>
      <c r="K26" s="79"/>
      <c r="L26" s="40"/>
      <c r="M26" s="40"/>
      <c r="N26" s="79"/>
      <c r="O26" s="79"/>
      <c r="P26" s="40"/>
      <c r="Q26" s="40" t="s">
        <v>25</v>
      </c>
      <c r="R26" s="79"/>
      <c r="S26" s="66"/>
      <c r="T26" s="79"/>
    </row>
    <row r="27" spans="2:20" ht="60" customHeight="1" x14ac:dyDescent="0.35">
      <c r="B27" s="38" t="s">
        <v>573</v>
      </c>
      <c r="C27" s="77"/>
      <c r="D27" s="78"/>
      <c r="E27" s="78" t="s">
        <v>25</v>
      </c>
      <c r="F27" s="78" t="str">
        <f>IF(E27&lt;&gt;"", IFERROR(VLOOKUP(E27, Dashboard!$B44:$F49, 5, FALSE), ""), "")</f>
        <v/>
      </c>
      <c r="G27" s="79"/>
      <c r="H27" s="66"/>
      <c r="I27" s="66"/>
      <c r="J27" s="79"/>
      <c r="K27" s="79"/>
      <c r="L27" s="40"/>
      <c r="M27" s="40"/>
      <c r="N27" s="79"/>
      <c r="O27" s="79"/>
      <c r="P27" s="40"/>
      <c r="Q27" s="40" t="s">
        <v>25</v>
      </c>
      <c r="R27" s="79"/>
      <c r="S27" s="66"/>
      <c r="T27" s="79"/>
    </row>
    <row r="28" spans="2:20" ht="60" customHeight="1" x14ac:dyDescent="0.35">
      <c r="B28" s="38" t="s">
        <v>574</v>
      </c>
      <c r="C28" s="77"/>
      <c r="D28" s="78"/>
      <c r="E28" s="78" t="s">
        <v>25</v>
      </c>
      <c r="F28" s="78" t="str">
        <f>IF(E28&lt;&gt;"", IFERROR(VLOOKUP(E28, Dashboard!$B44:$F49, 5, FALSE), ""), "")</f>
        <v/>
      </c>
      <c r="G28" s="79"/>
      <c r="H28" s="66"/>
      <c r="I28" s="66"/>
      <c r="J28" s="79"/>
      <c r="K28" s="79"/>
      <c r="L28" s="40"/>
      <c r="M28" s="40"/>
      <c r="N28" s="79"/>
      <c r="O28" s="79"/>
      <c r="P28" s="40"/>
      <c r="Q28" s="40" t="s">
        <v>25</v>
      </c>
      <c r="R28" s="79"/>
      <c r="S28" s="66"/>
      <c r="T28" s="79"/>
    </row>
    <row r="29" spans="2:20" ht="60" customHeight="1" x14ac:dyDescent="0.35">
      <c r="B29" s="38" t="s">
        <v>575</v>
      </c>
      <c r="C29" s="77"/>
      <c r="D29" s="78"/>
      <c r="E29" s="78" t="s">
        <v>25</v>
      </c>
      <c r="F29" s="78" t="str">
        <f>IF(E29&lt;&gt;"", IFERROR(VLOOKUP(E29, Dashboard!$B44:$F49, 5, FALSE), ""), "")</f>
        <v/>
      </c>
      <c r="G29" s="79"/>
      <c r="H29" s="66"/>
      <c r="I29" s="66"/>
      <c r="J29" s="79"/>
      <c r="K29" s="79"/>
      <c r="L29" s="40"/>
      <c r="M29" s="40"/>
      <c r="N29" s="79"/>
      <c r="O29" s="79"/>
      <c r="P29" s="40"/>
      <c r="Q29" s="40" t="s">
        <v>25</v>
      </c>
      <c r="R29" s="79"/>
      <c r="S29" s="66"/>
      <c r="T29" s="79"/>
    </row>
    <row r="30" spans="2:20" ht="60" customHeight="1" x14ac:dyDescent="0.35">
      <c r="B30" s="38" t="s">
        <v>576</v>
      </c>
      <c r="C30" s="77"/>
      <c r="D30" s="78"/>
      <c r="E30" s="78" t="s">
        <v>25</v>
      </c>
      <c r="F30" s="78" t="str">
        <f>IF(E30&lt;&gt;"", IFERROR(VLOOKUP(E30, Dashboard!$B44:$F49, 5, FALSE), ""), "")</f>
        <v/>
      </c>
      <c r="G30" s="79"/>
      <c r="H30" s="66"/>
      <c r="I30" s="66"/>
      <c r="J30" s="79"/>
      <c r="K30" s="79"/>
      <c r="L30" s="40"/>
      <c r="M30" s="40"/>
      <c r="N30" s="79"/>
      <c r="O30" s="79"/>
      <c r="P30" s="40"/>
      <c r="Q30" s="40" t="s">
        <v>25</v>
      </c>
      <c r="R30" s="79"/>
      <c r="S30" s="66"/>
      <c r="T30" s="79"/>
    </row>
    <row r="31" spans="2:20" ht="60" customHeight="1" x14ac:dyDescent="0.35">
      <c r="B31" s="38" t="s">
        <v>577</v>
      </c>
      <c r="C31" s="77"/>
      <c r="D31" s="78"/>
      <c r="E31" s="78" t="s">
        <v>25</v>
      </c>
      <c r="F31" s="78" t="str">
        <f>IF(E31&lt;&gt;"", IFERROR(VLOOKUP(E31, Dashboard!$B44:$F49, 5, FALSE), ""), "")</f>
        <v/>
      </c>
      <c r="G31" s="79"/>
      <c r="H31" s="66"/>
      <c r="I31" s="66"/>
      <c r="J31" s="79"/>
      <c r="K31" s="79"/>
      <c r="L31" s="40"/>
      <c r="M31" s="40"/>
      <c r="N31" s="79"/>
      <c r="O31" s="79"/>
      <c r="P31" s="40"/>
      <c r="Q31" s="40" t="s">
        <v>25</v>
      </c>
      <c r="R31" s="79"/>
      <c r="S31" s="66"/>
      <c r="T31" s="79"/>
    </row>
    <row r="32" spans="2:20" ht="60" customHeight="1" x14ac:dyDescent="0.35">
      <c r="B32" s="38" t="s">
        <v>578</v>
      </c>
      <c r="C32" s="77"/>
      <c r="D32" s="78"/>
      <c r="E32" s="78" t="s">
        <v>25</v>
      </c>
      <c r="F32" s="78" t="str">
        <f>IF(E32&lt;&gt;"", IFERROR(VLOOKUP(E32, Dashboard!$B44:$F49, 5, FALSE), ""), "")</f>
        <v/>
      </c>
      <c r="G32" s="79"/>
      <c r="H32" s="66"/>
      <c r="I32" s="66"/>
      <c r="J32" s="79"/>
      <c r="K32" s="79"/>
      <c r="L32" s="40"/>
      <c r="M32" s="40"/>
      <c r="N32" s="79"/>
      <c r="O32" s="79"/>
      <c r="P32" s="40"/>
      <c r="Q32" s="40" t="s">
        <v>25</v>
      </c>
      <c r="R32" s="79"/>
      <c r="S32" s="66"/>
      <c r="T32" s="79"/>
    </row>
    <row r="33" spans="2:20" ht="60" customHeight="1" x14ac:dyDescent="0.35">
      <c r="B33" s="38" t="s">
        <v>579</v>
      </c>
      <c r="C33" s="77"/>
      <c r="D33" s="78"/>
      <c r="E33" s="78" t="s">
        <v>25</v>
      </c>
      <c r="F33" s="78" t="str">
        <f>IF(E33&lt;&gt;"", IFERROR(VLOOKUP(E33, Dashboard!$B44:$F49, 5, FALSE), ""), "")</f>
        <v/>
      </c>
      <c r="G33" s="79"/>
      <c r="H33" s="66"/>
      <c r="I33" s="66"/>
      <c r="J33" s="79"/>
      <c r="K33" s="79"/>
      <c r="L33" s="40"/>
      <c r="M33" s="40"/>
      <c r="N33" s="79"/>
      <c r="O33" s="79"/>
      <c r="P33" s="40"/>
      <c r="Q33" s="40" t="s">
        <v>25</v>
      </c>
      <c r="R33" s="79"/>
      <c r="S33" s="66"/>
      <c r="T33" s="79"/>
    </row>
    <row r="34" spans="2:20" ht="60" customHeight="1" x14ac:dyDescent="0.35">
      <c r="B34" s="38" t="s">
        <v>580</v>
      </c>
      <c r="C34" s="77"/>
      <c r="D34" s="78"/>
      <c r="E34" s="78" t="s">
        <v>25</v>
      </c>
      <c r="F34" s="78" t="str">
        <f>IF(E34&lt;&gt;"", IFERROR(VLOOKUP(E34, Dashboard!$B44:$F49, 5, FALSE), ""), "")</f>
        <v/>
      </c>
      <c r="G34" s="79"/>
      <c r="H34" s="66"/>
      <c r="I34" s="66"/>
      <c r="J34" s="79"/>
      <c r="K34" s="79"/>
      <c r="L34" s="40"/>
      <c r="M34" s="40"/>
      <c r="N34" s="79"/>
      <c r="O34" s="79"/>
      <c r="P34" s="40"/>
      <c r="Q34" s="40" t="s">
        <v>25</v>
      </c>
      <c r="R34" s="79"/>
      <c r="S34" s="66"/>
      <c r="T34" s="79"/>
    </row>
    <row r="35" spans="2:20" ht="60" customHeight="1" x14ac:dyDescent="0.35">
      <c r="B35" s="38" t="s">
        <v>581</v>
      </c>
      <c r="C35" s="77"/>
      <c r="D35" s="78"/>
      <c r="E35" s="78" t="s">
        <v>25</v>
      </c>
      <c r="F35" s="78" t="str">
        <f>IF(E35&lt;&gt;"", IFERROR(VLOOKUP(E35, Dashboard!$B44:$F49, 5, FALSE), ""), "")</f>
        <v/>
      </c>
      <c r="G35" s="79"/>
      <c r="H35" s="66"/>
      <c r="I35" s="66"/>
      <c r="J35" s="79"/>
      <c r="K35" s="79"/>
      <c r="L35" s="40"/>
      <c r="M35" s="40"/>
      <c r="N35" s="79"/>
      <c r="O35" s="79"/>
      <c r="P35" s="40"/>
      <c r="Q35" s="40" t="s">
        <v>25</v>
      </c>
      <c r="R35" s="79"/>
      <c r="S35" s="66"/>
      <c r="T35" s="79"/>
    </row>
    <row r="36" spans="2:20" ht="60" customHeight="1" x14ac:dyDescent="0.35">
      <c r="B36" s="38" t="s">
        <v>582</v>
      </c>
      <c r="C36" s="77"/>
      <c r="D36" s="78"/>
      <c r="E36" s="78" t="s">
        <v>25</v>
      </c>
      <c r="F36" s="78" t="str">
        <f>IF(E36&lt;&gt;"", IFERROR(VLOOKUP(E36, Dashboard!$B44:$F49, 5, FALSE), ""), "")</f>
        <v/>
      </c>
      <c r="G36" s="79"/>
      <c r="H36" s="66"/>
      <c r="I36" s="66"/>
      <c r="J36" s="79"/>
      <c r="K36" s="79"/>
      <c r="L36" s="40"/>
      <c r="M36" s="40"/>
      <c r="N36" s="79"/>
      <c r="O36" s="79"/>
      <c r="P36" s="40"/>
      <c r="Q36" s="40" t="s">
        <v>25</v>
      </c>
      <c r="R36" s="79"/>
      <c r="S36" s="66"/>
      <c r="T36" s="79"/>
    </row>
    <row r="37" spans="2:20" ht="60" customHeight="1" x14ac:dyDescent="0.35">
      <c r="B37" s="38" t="s">
        <v>583</v>
      </c>
      <c r="C37" s="77"/>
      <c r="D37" s="78"/>
      <c r="E37" s="78" t="s">
        <v>25</v>
      </c>
      <c r="F37" s="78" t="str">
        <f>IF(E37&lt;&gt;"", IFERROR(VLOOKUP(E37, Dashboard!$B44:$F49, 5, FALSE), ""), "")</f>
        <v/>
      </c>
      <c r="G37" s="79"/>
      <c r="H37" s="66"/>
      <c r="I37" s="66"/>
      <c r="J37" s="79"/>
      <c r="K37" s="79"/>
      <c r="L37" s="40"/>
      <c r="M37" s="40"/>
      <c r="N37" s="79"/>
      <c r="O37" s="79"/>
      <c r="P37" s="40"/>
      <c r="Q37" s="40" t="s">
        <v>25</v>
      </c>
      <c r="R37" s="79"/>
      <c r="S37" s="66"/>
      <c r="T37" s="79"/>
    </row>
    <row r="38" spans="2:20" ht="60" customHeight="1" x14ac:dyDescent="0.35">
      <c r="B38" s="38" t="s">
        <v>584</v>
      </c>
      <c r="C38" s="77"/>
      <c r="D38" s="78"/>
      <c r="E38" s="78" t="s">
        <v>25</v>
      </c>
      <c r="F38" s="78" t="str">
        <f>IF(E38&lt;&gt;"", IFERROR(VLOOKUP(E38, Dashboard!$B44:$F49, 5, FALSE), ""), "")</f>
        <v/>
      </c>
      <c r="G38" s="79"/>
      <c r="H38" s="66"/>
      <c r="I38" s="66"/>
      <c r="J38" s="79"/>
      <c r="K38" s="79"/>
      <c r="L38" s="40"/>
      <c r="M38" s="40"/>
      <c r="N38" s="79"/>
      <c r="O38" s="79"/>
      <c r="P38" s="40"/>
      <c r="Q38" s="40" t="s">
        <v>25</v>
      </c>
      <c r="R38" s="79"/>
      <c r="S38" s="66"/>
      <c r="T38" s="79"/>
    </row>
    <row r="39" spans="2:20" ht="60" customHeight="1" x14ac:dyDescent="0.35">
      <c r="B39" s="38" t="s">
        <v>585</v>
      </c>
      <c r="C39" s="77"/>
      <c r="D39" s="78"/>
      <c r="E39" s="78" t="s">
        <v>25</v>
      </c>
      <c r="F39" s="78" t="str">
        <f>IF(E39&lt;&gt;"", IFERROR(VLOOKUP(E39, Dashboard!$B44:$F49, 5, FALSE), ""), "")</f>
        <v/>
      </c>
      <c r="G39" s="79"/>
      <c r="H39" s="66"/>
      <c r="I39" s="66"/>
      <c r="J39" s="79"/>
      <c r="K39" s="79"/>
      <c r="L39" s="40"/>
      <c r="M39" s="40"/>
      <c r="N39" s="79"/>
      <c r="O39" s="79"/>
      <c r="P39" s="40"/>
      <c r="Q39" s="40" t="s">
        <v>25</v>
      </c>
      <c r="R39" s="79"/>
      <c r="S39" s="66"/>
      <c r="T39" s="79"/>
    </row>
    <row r="40" spans="2:20" ht="60" customHeight="1" x14ac:dyDescent="0.35">
      <c r="B40" s="38" t="s">
        <v>586</v>
      </c>
      <c r="C40" s="77"/>
      <c r="D40" s="78"/>
      <c r="E40" s="78" t="s">
        <v>25</v>
      </c>
      <c r="F40" s="78" t="str">
        <f>IF(E40&lt;&gt;"", IFERROR(VLOOKUP(E40, Dashboard!$B44:$F49, 5, FALSE), ""), "")</f>
        <v/>
      </c>
      <c r="G40" s="79"/>
      <c r="H40" s="66"/>
      <c r="I40" s="66"/>
      <c r="J40" s="79"/>
      <c r="K40" s="79"/>
      <c r="L40" s="40"/>
      <c r="M40" s="40"/>
      <c r="N40" s="79"/>
      <c r="O40" s="79"/>
      <c r="P40" s="40"/>
      <c r="Q40" s="40" t="s">
        <v>25</v>
      </c>
      <c r="R40" s="79"/>
      <c r="S40" s="66"/>
      <c r="T40" s="79"/>
    </row>
    <row r="41" spans="2:20" ht="60" customHeight="1" x14ac:dyDescent="0.35">
      <c r="B41" s="38" t="s">
        <v>587</v>
      </c>
      <c r="C41" s="77"/>
      <c r="D41" s="78"/>
      <c r="E41" s="78" t="s">
        <v>25</v>
      </c>
      <c r="F41" s="78" t="str">
        <f>IF(E41&lt;&gt;"", IFERROR(VLOOKUP(E41, Dashboard!$B44:$F49, 5, FALSE), ""), "")</f>
        <v/>
      </c>
      <c r="G41" s="79"/>
      <c r="H41" s="66"/>
      <c r="I41" s="66"/>
      <c r="J41" s="79"/>
      <c r="K41" s="79"/>
      <c r="L41" s="40"/>
      <c r="M41" s="40"/>
      <c r="N41" s="79"/>
      <c r="O41" s="79"/>
      <c r="P41" s="40"/>
      <c r="Q41" s="40" t="s">
        <v>25</v>
      </c>
      <c r="R41" s="79"/>
      <c r="S41" s="66"/>
      <c r="T41" s="79"/>
    </row>
    <row r="42" spans="2:20" ht="60" customHeight="1" x14ac:dyDescent="0.35">
      <c r="B42" s="38" t="s">
        <v>588</v>
      </c>
      <c r="C42" s="77"/>
      <c r="D42" s="78"/>
      <c r="E42" s="78" t="s">
        <v>25</v>
      </c>
      <c r="F42" s="78" t="str">
        <f>IF(E42&lt;&gt;"", IFERROR(VLOOKUP(E42, Dashboard!$B44:$F49, 5, FALSE), ""), "")</f>
        <v/>
      </c>
      <c r="G42" s="79"/>
      <c r="H42" s="66"/>
      <c r="I42" s="66"/>
      <c r="J42" s="79"/>
      <c r="K42" s="79"/>
      <c r="L42" s="40"/>
      <c r="M42" s="40"/>
      <c r="N42" s="79"/>
      <c r="O42" s="79"/>
      <c r="P42" s="40"/>
      <c r="Q42" s="40" t="s">
        <v>25</v>
      </c>
      <c r="R42" s="79"/>
      <c r="S42" s="66"/>
      <c r="T42" s="79"/>
    </row>
    <row r="43" spans="2:20" ht="60" customHeight="1" x14ac:dyDescent="0.35">
      <c r="B43" s="38" t="s">
        <v>589</v>
      </c>
      <c r="C43" s="77"/>
      <c r="D43" s="78"/>
      <c r="E43" s="78" t="s">
        <v>25</v>
      </c>
      <c r="F43" s="78" t="str">
        <f>IF(E43&lt;&gt;"", IFERROR(VLOOKUP(E43, Dashboard!$B44:$F49, 5, FALSE), ""), "")</f>
        <v/>
      </c>
      <c r="G43" s="79"/>
      <c r="H43" s="66"/>
      <c r="I43" s="66"/>
      <c r="J43" s="79"/>
      <c r="K43" s="79"/>
      <c r="L43" s="40"/>
      <c r="M43" s="40"/>
      <c r="N43" s="79"/>
      <c r="O43" s="79"/>
      <c r="P43" s="40"/>
      <c r="Q43" s="40" t="s">
        <v>25</v>
      </c>
      <c r="R43" s="79"/>
      <c r="S43" s="66"/>
      <c r="T43" s="79"/>
    </row>
    <row r="44" spans="2:20" ht="60" customHeight="1" x14ac:dyDescent="0.35">
      <c r="B44" s="38" t="s">
        <v>590</v>
      </c>
      <c r="C44" s="77"/>
      <c r="D44" s="78"/>
      <c r="E44" s="78" t="s">
        <v>25</v>
      </c>
      <c r="F44" s="78" t="str">
        <f>IF(E44&lt;&gt;"", IFERROR(VLOOKUP(E44, Dashboard!$B44:$F49, 5, FALSE), ""), "")</f>
        <v/>
      </c>
      <c r="G44" s="79"/>
      <c r="H44" s="66"/>
      <c r="I44" s="66"/>
      <c r="J44" s="79"/>
      <c r="K44" s="79"/>
      <c r="L44" s="40"/>
      <c r="M44" s="40"/>
      <c r="N44" s="79"/>
      <c r="O44" s="79"/>
      <c r="P44" s="40"/>
      <c r="Q44" s="40" t="s">
        <v>25</v>
      </c>
      <c r="R44" s="79"/>
      <c r="S44" s="66"/>
      <c r="T44" s="79"/>
    </row>
    <row r="45" spans="2:20" ht="60" customHeight="1" x14ac:dyDescent="0.35">
      <c r="B45" s="38" t="s">
        <v>591</v>
      </c>
      <c r="C45" s="77"/>
      <c r="D45" s="78"/>
      <c r="E45" s="78" t="s">
        <v>25</v>
      </c>
      <c r="F45" s="78" t="str">
        <f>IF(E45&lt;&gt;"", IFERROR(VLOOKUP(E45, Dashboard!$B44:$F49, 5, FALSE), ""), "")</f>
        <v/>
      </c>
      <c r="G45" s="79"/>
      <c r="H45" s="66"/>
      <c r="I45" s="66"/>
      <c r="J45" s="79"/>
      <c r="K45" s="79"/>
      <c r="L45" s="40"/>
      <c r="M45" s="40"/>
      <c r="N45" s="79"/>
      <c r="O45" s="79"/>
      <c r="P45" s="40"/>
      <c r="Q45" s="40" t="s">
        <v>25</v>
      </c>
      <c r="R45" s="79"/>
      <c r="S45" s="66"/>
      <c r="T45" s="79"/>
    </row>
    <row r="46" spans="2:20" ht="60" customHeight="1" x14ac:dyDescent="0.35">
      <c r="B46" s="38" t="s">
        <v>592</v>
      </c>
      <c r="C46" s="77"/>
      <c r="D46" s="78"/>
      <c r="E46" s="78" t="s">
        <v>25</v>
      </c>
      <c r="F46" s="78" t="str">
        <f>IF(E46&lt;&gt;"", IFERROR(VLOOKUP(E46, Dashboard!$B44:$F49, 5, FALSE), ""), "")</f>
        <v/>
      </c>
      <c r="G46" s="79"/>
      <c r="H46" s="66"/>
      <c r="I46" s="66"/>
      <c r="J46" s="79"/>
      <c r="K46" s="79"/>
      <c r="L46" s="40"/>
      <c r="M46" s="40"/>
      <c r="N46" s="79"/>
      <c r="O46" s="79"/>
      <c r="P46" s="40"/>
      <c r="Q46" s="40" t="s">
        <v>25</v>
      </c>
      <c r="R46" s="79"/>
      <c r="S46" s="66"/>
      <c r="T46" s="79"/>
    </row>
    <row r="47" spans="2:20" ht="60" customHeight="1" x14ac:dyDescent="0.35">
      <c r="B47" s="38" t="s">
        <v>593</v>
      </c>
      <c r="C47" s="77"/>
      <c r="D47" s="78"/>
      <c r="E47" s="78" t="s">
        <v>25</v>
      </c>
      <c r="F47" s="78" t="str">
        <f>IF(E47&lt;&gt;"", IFERROR(VLOOKUP(E47, Dashboard!$B44:$F49, 5, FALSE), ""), "")</f>
        <v/>
      </c>
      <c r="G47" s="79"/>
      <c r="H47" s="66"/>
      <c r="I47" s="66"/>
      <c r="J47" s="79"/>
      <c r="K47" s="79"/>
      <c r="L47" s="40"/>
      <c r="M47" s="40"/>
      <c r="N47" s="79"/>
      <c r="O47" s="79"/>
      <c r="P47" s="40"/>
      <c r="Q47" s="40" t="s">
        <v>25</v>
      </c>
      <c r="R47" s="79"/>
      <c r="S47" s="66"/>
      <c r="T47" s="79"/>
    </row>
    <row r="48" spans="2:20" ht="60" customHeight="1" x14ac:dyDescent="0.35">
      <c r="B48" s="38" t="s">
        <v>594</v>
      </c>
      <c r="C48" s="77"/>
      <c r="D48" s="78"/>
      <c r="E48" s="78" t="s">
        <v>25</v>
      </c>
      <c r="F48" s="78" t="str">
        <f>IF(E48&lt;&gt;"", IFERROR(VLOOKUP(E48, Dashboard!$B44:$F49, 5, FALSE), ""), "")</f>
        <v/>
      </c>
      <c r="G48" s="79"/>
      <c r="H48" s="66"/>
      <c r="I48" s="66"/>
      <c r="J48" s="79"/>
      <c r="K48" s="79"/>
      <c r="L48" s="40"/>
      <c r="M48" s="40"/>
      <c r="N48" s="79"/>
      <c r="O48" s="79"/>
      <c r="P48" s="40"/>
      <c r="Q48" s="40" t="s">
        <v>25</v>
      </c>
      <c r="R48" s="79"/>
      <c r="S48" s="66"/>
      <c r="T48" s="79"/>
    </row>
    <row r="49" spans="2:20" ht="60" customHeight="1" x14ac:dyDescent="0.35">
      <c r="B49" s="38" t="s">
        <v>595</v>
      </c>
      <c r="C49" s="77"/>
      <c r="D49" s="78"/>
      <c r="E49" s="78" t="s">
        <v>25</v>
      </c>
      <c r="F49" s="78" t="str">
        <f>IF(E49&lt;&gt;"", IFERROR(VLOOKUP(E49, Dashboard!$B44:$F49, 5, FALSE), ""), "")</f>
        <v/>
      </c>
      <c r="G49" s="79"/>
      <c r="H49" s="66"/>
      <c r="I49" s="66"/>
      <c r="J49" s="79"/>
      <c r="K49" s="79"/>
      <c r="L49" s="40"/>
      <c r="M49" s="40"/>
      <c r="N49" s="79"/>
      <c r="O49" s="79"/>
      <c r="P49" s="40"/>
      <c r="Q49" s="40" t="s">
        <v>25</v>
      </c>
      <c r="R49" s="79"/>
      <c r="S49" s="66"/>
      <c r="T49" s="79"/>
    </row>
    <row r="50" spans="2:20" ht="60" customHeight="1" x14ac:dyDescent="0.35">
      <c r="B50" s="38" t="s">
        <v>596</v>
      </c>
      <c r="C50" s="77"/>
      <c r="D50" s="78"/>
      <c r="E50" s="78" t="s">
        <v>25</v>
      </c>
      <c r="F50" s="78" t="str">
        <f>IF(E50&lt;&gt;"", IFERROR(VLOOKUP(E50, Dashboard!$B44:$F49, 5, FALSE), ""), "")</f>
        <v/>
      </c>
      <c r="G50" s="79"/>
      <c r="H50" s="66"/>
      <c r="I50" s="66"/>
      <c r="J50" s="79"/>
      <c r="K50" s="79"/>
      <c r="L50" s="40"/>
      <c r="M50" s="40"/>
      <c r="N50" s="79"/>
      <c r="O50" s="79"/>
      <c r="P50" s="40"/>
      <c r="Q50" s="40" t="s">
        <v>25</v>
      </c>
      <c r="R50" s="79"/>
      <c r="S50" s="66"/>
      <c r="T50" s="79"/>
    </row>
    <row r="51" spans="2:20" ht="60" customHeight="1" x14ac:dyDescent="0.35">
      <c r="B51" s="38" t="s">
        <v>597</v>
      </c>
      <c r="C51" s="77"/>
      <c r="D51" s="78"/>
      <c r="E51" s="78" t="s">
        <v>25</v>
      </c>
      <c r="F51" s="78" t="str">
        <f>IF(E51&lt;&gt;"", IFERROR(VLOOKUP(E51, Dashboard!$B44:$F49, 5, FALSE), ""), "")</f>
        <v/>
      </c>
      <c r="G51" s="79"/>
      <c r="H51" s="66"/>
      <c r="I51" s="66"/>
      <c r="J51" s="79"/>
      <c r="K51" s="79"/>
      <c r="L51" s="40"/>
      <c r="M51" s="40"/>
      <c r="N51" s="79"/>
      <c r="O51" s="79"/>
      <c r="P51" s="40"/>
      <c r="Q51" s="40" t="s">
        <v>25</v>
      </c>
      <c r="R51" s="79"/>
      <c r="S51" s="66"/>
      <c r="T51" s="79"/>
    </row>
    <row r="52" spans="2:20" ht="60" customHeight="1" x14ac:dyDescent="0.35">
      <c r="B52" s="38" t="s">
        <v>598</v>
      </c>
      <c r="C52" s="77"/>
      <c r="D52" s="78"/>
      <c r="E52" s="78" t="s">
        <v>25</v>
      </c>
      <c r="F52" s="78" t="str">
        <f>IF(E52&lt;&gt;"", IFERROR(VLOOKUP(E52, Dashboard!$B44:$F49, 5, FALSE), ""), "")</f>
        <v/>
      </c>
      <c r="G52" s="79"/>
      <c r="H52" s="66"/>
      <c r="I52" s="66"/>
      <c r="J52" s="79"/>
      <c r="K52" s="79"/>
      <c r="L52" s="40"/>
      <c r="M52" s="40"/>
      <c r="N52" s="79"/>
      <c r="O52" s="79"/>
      <c r="P52" s="40"/>
      <c r="Q52" s="40" t="s">
        <v>25</v>
      </c>
      <c r="R52" s="79"/>
      <c r="S52" s="66"/>
      <c r="T52" s="79"/>
    </row>
    <row r="53" spans="2:20" ht="60" customHeight="1" x14ac:dyDescent="0.35">
      <c r="B53" s="38" t="s">
        <v>599</v>
      </c>
      <c r="C53" s="77"/>
      <c r="D53" s="78"/>
      <c r="E53" s="78" t="s">
        <v>25</v>
      </c>
      <c r="F53" s="78" t="str">
        <f>IF(E53&lt;&gt;"", IFERROR(VLOOKUP(E53, Dashboard!$B44:$F49, 5, FALSE), ""), "")</f>
        <v/>
      </c>
      <c r="G53" s="79"/>
      <c r="H53" s="66"/>
      <c r="I53" s="66"/>
      <c r="J53" s="79"/>
      <c r="K53" s="79"/>
      <c r="L53" s="40"/>
      <c r="M53" s="40"/>
      <c r="N53" s="79"/>
      <c r="O53" s="79"/>
      <c r="P53" s="40"/>
      <c r="Q53" s="40" t="s">
        <v>25</v>
      </c>
      <c r="R53" s="79"/>
      <c r="S53" s="66"/>
      <c r="T53" s="79"/>
    </row>
    <row r="54" spans="2:20" ht="60" customHeight="1" x14ac:dyDescent="0.35">
      <c r="B54" s="38" t="s">
        <v>600</v>
      </c>
      <c r="C54" s="77"/>
      <c r="D54" s="78"/>
      <c r="E54" s="78" t="s">
        <v>25</v>
      </c>
      <c r="F54" s="78" t="str">
        <f>IF(E54&lt;&gt;"", IFERROR(VLOOKUP(E54, Dashboard!$B44:$F49, 5, FALSE), ""), "")</f>
        <v/>
      </c>
      <c r="G54" s="79"/>
      <c r="H54" s="66"/>
      <c r="I54" s="66"/>
      <c r="J54" s="79"/>
      <c r="K54" s="79"/>
      <c r="L54" s="40"/>
      <c r="M54" s="40"/>
      <c r="N54" s="79"/>
      <c r="O54" s="79"/>
      <c r="P54" s="40"/>
      <c r="Q54" s="40" t="s">
        <v>25</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357</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601</v>
      </c>
      <c r="B1" s="104" t="s">
        <v>1</v>
      </c>
      <c r="C1" s="104" t="s">
        <v>602</v>
      </c>
      <c r="D1" s="104" t="s">
        <v>11</v>
      </c>
      <c r="E1" s="104" t="s">
        <v>603</v>
      </c>
      <c r="F1" s="104" t="s">
        <v>604</v>
      </c>
      <c r="G1" s="104" t="s">
        <v>605</v>
      </c>
      <c r="H1" s="104" t="s">
        <v>606</v>
      </c>
      <c r="I1" s="104" t="s">
        <v>607</v>
      </c>
      <c r="J1" s="104" t="s">
        <v>608</v>
      </c>
      <c r="K1" s="104" t="s">
        <v>609</v>
      </c>
      <c r="L1" s="104" t="s">
        <v>610</v>
      </c>
      <c r="M1" s="104" t="s">
        <v>611</v>
      </c>
      <c r="N1" s="104" t="s">
        <v>612</v>
      </c>
      <c r="O1" s="104" t="s">
        <v>613</v>
      </c>
      <c r="P1" s="104" t="s">
        <v>614</v>
      </c>
      <c r="Q1" s="104" t="s">
        <v>615</v>
      </c>
      <c r="R1" s="104" t="s">
        <v>616</v>
      </c>
      <c r="S1" s="104" t="s">
        <v>617</v>
      </c>
      <c r="T1" s="104" t="s">
        <v>618</v>
      </c>
      <c r="U1" s="104" t="s">
        <v>619</v>
      </c>
      <c r="V1" s="104" t="s">
        <v>620</v>
      </c>
      <c r="W1" s="104" t="s">
        <v>621</v>
      </c>
      <c r="X1" s="104" t="s">
        <v>622</v>
      </c>
      <c r="Y1" s="104" t="s">
        <v>623</v>
      </c>
      <c r="Z1" s="104" t="s">
        <v>624</v>
      </c>
      <c r="AA1" s="104" t="s">
        <v>625</v>
      </c>
      <c r="AB1" s="104" t="s">
        <v>626</v>
      </c>
      <c r="AC1" s="104" t="s">
        <v>627</v>
      </c>
      <c r="AD1" s="104" t="s">
        <v>628</v>
      </c>
      <c r="AE1" s="104" t="s">
        <v>629</v>
      </c>
      <c r="AF1" s="104" t="s">
        <v>630</v>
      </c>
      <c r="AG1" s="104" t="s">
        <v>631</v>
      </c>
      <c r="AH1" s="104" t="s">
        <v>632</v>
      </c>
      <c r="AI1" s="104" t="s">
        <v>633</v>
      </c>
      <c r="AJ1" s="104" t="s">
        <v>634</v>
      </c>
      <c r="AK1" s="104" t="s">
        <v>635</v>
      </c>
      <c r="AL1" s="104" t="s">
        <v>636</v>
      </c>
      <c r="AM1" s="104" t="s">
        <v>637</v>
      </c>
      <c r="AN1" s="104" t="s">
        <v>638</v>
      </c>
      <c r="AO1" s="104" t="s">
        <v>639</v>
      </c>
      <c r="AP1" s="104" t="s">
        <v>640</v>
      </c>
      <c r="AQ1" s="104" t="s">
        <v>641</v>
      </c>
      <c r="AR1" s="104" t="s">
        <v>642</v>
      </c>
      <c r="AS1" s="104" t="s">
        <v>643</v>
      </c>
      <c r="AT1" s="104" t="s">
        <v>644</v>
      </c>
      <c r="AU1" s="104" t="s">
        <v>645</v>
      </c>
      <c r="AV1" s="104" t="s">
        <v>646</v>
      </c>
      <c r="AW1" s="105" t="s">
        <v>647</v>
      </c>
    </row>
    <row r="2" spans="1:49" ht="60" customHeight="1" outlineLevel="1" x14ac:dyDescent="0.35">
      <c r="A2" s="97" t="s">
        <v>648</v>
      </c>
      <c r="B2" s="80">
        <v>1</v>
      </c>
      <c r="C2" s="82" t="s">
        <v>25</v>
      </c>
      <c r="D2" s="84" t="s">
        <v>649</v>
      </c>
      <c r="E2" s="84" t="s">
        <v>25</v>
      </c>
      <c r="F2" s="80" t="s">
        <v>25</v>
      </c>
      <c r="G2" s="80" t="s">
        <v>25</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648</v>
      </c>
      <c r="B3" s="81" t="s">
        <v>18</v>
      </c>
      <c r="C3" s="83" t="s">
        <v>650</v>
      </c>
      <c r="D3" s="85" t="s">
        <v>651</v>
      </c>
      <c r="E3" s="85" t="s">
        <v>652</v>
      </c>
      <c r="F3" s="86" t="s">
        <v>653</v>
      </c>
      <c r="G3" s="86" t="s">
        <v>654</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648</v>
      </c>
      <c r="B4" s="81" t="s">
        <v>30</v>
      </c>
      <c r="C4" s="83" t="s">
        <v>655</v>
      </c>
      <c r="D4" s="85" t="s">
        <v>656</v>
      </c>
      <c r="E4" s="85" t="s">
        <v>657</v>
      </c>
      <c r="F4" s="86" t="s">
        <v>653</v>
      </c>
      <c r="G4" s="86" t="s">
        <v>658</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648</v>
      </c>
      <c r="B5" s="81" t="s">
        <v>36</v>
      </c>
      <c r="C5" s="83" t="s">
        <v>659</v>
      </c>
      <c r="D5" s="85" t="s">
        <v>660</v>
      </c>
      <c r="E5" s="85" t="s">
        <v>661</v>
      </c>
      <c r="F5" s="86" t="s">
        <v>653</v>
      </c>
      <c r="G5" s="86" t="s">
        <v>662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648</v>
      </c>
      <c r="B6" s="81" t="s">
        <v>42</v>
      </c>
      <c r="C6" s="83" t="s">
        <v>663</v>
      </c>
      <c r="D6" s="85" t="s">
        <v>664</v>
      </c>
      <c r="E6" s="85" t="s">
        <v>665</v>
      </c>
      <c r="F6" s="86" t="s">
        <v>653</v>
      </c>
      <c r="G6" s="86" t="s">
        <v>654</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648</v>
      </c>
      <c r="B7" s="81" t="s">
        <v>48</v>
      </c>
      <c r="C7" s="83" t="s">
        <v>666</v>
      </c>
      <c r="D7" s="85" t="s">
        <v>667</v>
      </c>
      <c r="E7" s="85" t="s">
        <v>668</v>
      </c>
      <c r="F7" s="86" t="s">
        <v>653</v>
      </c>
      <c r="G7" s="86" t="s">
        <v>662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669</v>
      </c>
      <c r="B8" s="80">
        <v>2</v>
      </c>
      <c r="C8" s="82" t="s">
        <v>25</v>
      </c>
      <c r="D8" s="84" t="s">
        <v>670</v>
      </c>
      <c r="E8" s="84" t="s">
        <v>25</v>
      </c>
      <c r="F8" s="80" t="s">
        <v>25</v>
      </c>
      <c r="G8" s="80" t="s">
        <v>25</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669</v>
      </c>
      <c r="B9" s="81" t="s">
        <v>671</v>
      </c>
      <c r="C9" s="83" t="s">
        <v>672</v>
      </c>
      <c r="D9" s="85" t="s">
        <v>673</v>
      </c>
      <c r="E9" s="85" t="s">
        <v>674</v>
      </c>
      <c r="F9" s="86" t="s">
        <v>675</v>
      </c>
      <c r="G9" s="86" t="s">
        <v>654</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669</v>
      </c>
      <c r="B10" s="81" t="s">
        <v>676</v>
      </c>
      <c r="C10" s="83" t="s">
        <v>677</v>
      </c>
      <c r="D10" s="85" t="s">
        <v>678</v>
      </c>
      <c r="E10" s="85" t="s">
        <v>679</v>
      </c>
      <c r="F10" s="86" t="s">
        <v>675</v>
      </c>
      <c r="G10" s="86" t="s">
        <v>654</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669</v>
      </c>
      <c r="B11" s="81" t="s">
        <v>680</v>
      </c>
      <c r="C11" s="83" t="s">
        <v>681</v>
      </c>
      <c r="D11" s="85" t="s">
        <v>682</v>
      </c>
      <c r="E11" s="85" t="s">
        <v>683</v>
      </c>
      <c r="F11" s="86" t="s">
        <v>675</v>
      </c>
      <c r="G11" s="86" t="s">
        <v>658</v>
      </c>
      <c r="H11" s="86">
        <v>1</v>
      </c>
      <c r="I11" s="88">
        <f>IF(COUNTIF(J11:AW11,"&lt;&gt;")=0,"",SUMPRODUCT(((Recommendations[ImplStatus]="Implemented")+(Recommendations[ImplStatus]="Compensated"))*ISNUMBER(MATCH(Recommendations[Id],J11:AW11,0)))/COUNTIF(J11:AW11,"&lt;&gt;"))</f>
        <v>0</v>
      </c>
      <c r="J11" s="90" t="s">
        <v>350</v>
      </c>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669</v>
      </c>
      <c r="B12" s="81" t="s">
        <v>684</v>
      </c>
      <c r="C12" s="83" t="s">
        <v>685</v>
      </c>
      <c r="D12" s="85" t="s">
        <v>686</v>
      </c>
      <c r="E12" s="85" t="s">
        <v>687</v>
      </c>
      <c r="F12" s="86" t="s">
        <v>675</v>
      </c>
      <c r="G12" s="86" t="s">
        <v>662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669</v>
      </c>
      <c r="B13" s="81" t="s">
        <v>688</v>
      </c>
      <c r="C13" s="83" t="s">
        <v>689</v>
      </c>
      <c r="D13" s="85" t="s">
        <v>690</v>
      </c>
      <c r="E13" s="85" t="s">
        <v>691</v>
      </c>
      <c r="F13" s="86" t="s">
        <v>675</v>
      </c>
      <c r="G13" s="86" t="s">
        <v>692</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669</v>
      </c>
      <c r="B14" s="81" t="s">
        <v>693</v>
      </c>
      <c r="C14" s="83" t="s">
        <v>694</v>
      </c>
      <c r="D14" s="85" t="s">
        <v>695</v>
      </c>
      <c r="E14" s="85" t="s">
        <v>696</v>
      </c>
      <c r="F14" s="86" t="s">
        <v>675</v>
      </c>
      <c r="G14" s="86" t="s">
        <v>692</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669</v>
      </c>
      <c r="B15" s="81" t="s">
        <v>697</v>
      </c>
      <c r="C15" s="83" t="s">
        <v>698</v>
      </c>
      <c r="D15" s="85" t="s">
        <v>699</v>
      </c>
      <c r="E15" s="85" t="s">
        <v>700</v>
      </c>
      <c r="F15" s="86" t="s">
        <v>675</v>
      </c>
      <c r="G15" s="86" t="s">
        <v>692</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701</v>
      </c>
      <c r="B16" s="80">
        <v>3</v>
      </c>
      <c r="C16" s="82" t="s">
        <v>25</v>
      </c>
      <c r="D16" s="84" t="s">
        <v>702</v>
      </c>
      <c r="E16" s="84" t="s">
        <v>25</v>
      </c>
      <c r="F16" s="80" t="s">
        <v>25</v>
      </c>
      <c r="G16" s="80" t="s">
        <v>25</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701</v>
      </c>
      <c r="B17" s="81" t="s">
        <v>165</v>
      </c>
      <c r="C17" s="83" t="s">
        <v>703</v>
      </c>
      <c r="D17" s="85" t="s">
        <v>704</v>
      </c>
      <c r="E17" s="85" t="s">
        <v>705</v>
      </c>
      <c r="F17" s="86" t="s">
        <v>706</v>
      </c>
      <c r="G17" s="86" t="s">
        <v>707</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701</v>
      </c>
      <c r="B18" s="81" t="s">
        <v>170</v>
      </c>
      <c r="C18" s="83" t="s">
        <v>708</v>
      </c>
      <c r="D18" s="85" t="s">
        <v>709</v>
      </c>
      <c r="E18" s="85" t="s">
        <v>710</v>
      </c>
      <c r="F18" s="86" t="s">
        <v>706</v>
      </c>
      <c r="G18" s="86" t="s">
        <v>654</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701</v>
      </c>
      <c r="B19" s="81" t="s">
        <v>175</v>
      </c>
      <c r="C19" s="83" t="s">
        <v>711</v>
      </c>
      <c r="D19" s="85" t="s">
        <v>712</v>
      </c>
      <c r="E19" s="85" t="s">
        <v>713</v>
      </c>
      <c r="F19" s="86" t="s">
        <v>706</v>
      </c>
      <c r="G19" s="86" t="s">
        <v>692</v>
      </c>
      <c r="H19" s="86">
        <v>1</v>
      </c>
      <c r="I19" s="88">
        <f>IF(COUNTIF(J19:AW19,"&lt;&gt;")=0,"",SUMPRODUCT(((Recommendations[ImplStatus]="Implemented")+(Recommendations[ImplStatus]="Compensated"))*ISNUMBER(MATCH(Recommendations[Id],J19:AW19,0)))/COUNTIF(J19:AW19,"&lt;&gt;"))</f>
        <v>0</v>
      </c>
      <c r="J19" s="90" t="s">
        <v>152</v>
      </c>
      <c r="K19" s="90" t="s">
        <v>188</v>
      </c>
      <c r="L19" s="90" t="s">
        <v>220</v>
      </c>
      <c r="M19" s="90" t="s">
        <v>238</v>
      </c>
      <c r="N19" s="90" t="s">
        <v>244</v>
      </c>
      <c r="O19" s="90" t="s">
        <v>250</v>
      </c>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701</v>
      </c>
      <c r="B20" s="81" t="s">
        <v>181</v>
      </c>
      <c r="C20" s="83" t="s">
        <v>714</v>
      </c>
      <c r="D20" s="85" t="s">
        <v>715</v>
      </c>
      <c r="E20" s="85" t="s">
        <v>716</v>
      </c>
      <c r="F20" s="86" t="s">
        <v>706</v>
      </c>
      <c r="G20" s="86" t="s">
        <v>692</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701</v>
      </c>
      <c r="B21" s="81" t="s">
        <v>188</v>
      </c>
      <c r="C21" s="83" t="s">
        <v>717</v>
      </c>
      <c r="D21" s="85" t="s">
        <v>718</v>
      </c>
      <c r="E21" s="85" t="s">
        <v>719</v>
      </c>
      <c r="F21" s="86" t="s">
        <v>706</v>
      </c>
      <c r="G21" s="86" t="s">
        <v>692</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701</v>
      </c>
      <c r="B22" s="81" t="s">
        <v>194</v>
      </c>
      <c r="C22" s="83" t="s">
        <v>720</v>
      </c>
      <c r="D22" s="85" t="s">
        <v>721</v>
      </c>
      <c r="E22" s="85" t="s">
        <v>722</v>
      </c>
      <c r="F22" s="86" t="s">
        <v>706</v>
      </c>
      <c r="G22" s="86" t="s">
        <v>692</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701</v>
      </c>
      <c r="B23" s="81" t="s">
        <v>723</v>
      </c>
      <c r="C23" s="83" t="s">
        <v>724</v>
      </c>
      <c r="D23" s="85" t="s">
        <v>725</v>
      </c>
      <c r="E23" s="85" t="s">
        <v>726</v>
      </c>
      <c r="F23" s="86" t="s">
        <v>706</v>
      </c>
      <c r="G23" s="86" t="s">
        <v>654</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701</v>
      </c>
      <c r="B24" s="81" t="s">
        <v>727</v>
      </c>
      <c r="C24" s="83" t="s">
        <v>728</v>
      </c>
      <c r="D24" s="85" t="s">
        <v>729</v>
      </c>
      <c r="E24" s="85" t="s">
        <v>730</v>
      </c>
      <c r="F24" s="86" t="s">
        <v>706</v>
      </c>
      <c r="G24" s="86" t="s">
        <v>654</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701</v>
      </c>
      <c r="B25" s="81" t="s">
        <v>731</v>
      </c>
      <c r="C25" s="83" t="s">
        <v>732</v>
      </c>
      <c r="D25" s="85" t="s">
        <v>733</v>
      </c>
      <c r="E25" s="85" t="s">
        <v>734</v>
      </c>
      <c r="F25" s="86" t="s">
        <v>706</v>
      </c>
      <c r="G25" s="86" t="s">
        <v>692</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701</v>
      </c>
      <c r="B26" s="81" t="s">
        <v>735</v>
      </c>
      <c r="C26" s="83" t="s">
        <v>736</v>
      </c>
      <c r="D26" s="85" t="s">
        <v>737</v>
      </c>
      <c r="E26" s="85" t="s">
        <v>738</v>
      </c>
      <c r="F26" s="86" t="s">
        <v>706</v>
      </c>
      <c r="G26" s="86" t="s">
        <v>692</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701</v>
      </c>
      <c r="B27" s="81" t="s">
        <v>739</v>
      </c>
      <c r="C27" s="83" t="s">
        <v>740</v>
      </c>
      <c r="D27" s="85" t="s">
        <v>741</v>
      </c>
      <c r="E27" s="85" t="s">
        <v>742</v>
      </c>
      <c r="F27" s="86" t="s">
        <v>706</v>
      </c>
      <c r="G27" s="86" t="s">
        <v>692</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701</v>
      </c>
      <c r="B28" s="81" t="s">
        <v>743</v>
      </c>
      <c r="C28" s="83" t="s">
        <v>744</v>
      </c>
      <c r="D28" s="85" t="s">
        <v>745</v>
      </c>
      <c r="E28" s="85" t="s">
        <v>746</v>
      </c>
      <c r="F28" s="86" t="s">
        <v>706</v>
      </c>
      <c r="G28" s="86" t="s">
        <v>692</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701</v>
      </c>
      <c r="B29" s="81" t="s">
        <v>747</v>
      </c>
      <c r="C29" s="83" t="s">
        <v>748</v>
      </c>
      <c r="D29" s="85" t="s">
        <v>749</v>
      </c>
      <c r="E29" s="85" t="s">
        <v>750</v>
      </c>
      <c r="F29" s="86" t="s">
        <v>706</v>
      </c>
      <c r="G29" s="86" t="s">
        <v>692</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701</v>
      </c>
      <c r="B30" s="81" t="s">
        <v>751</v>
      </c>
      <c r="C30" s="83" t="s">
        <v>752</v>
      </c>
      <c r="D30" s="85" t="s">
        <v>753</v>
      </c>
      <c r="E30" s="85" t="s">
        <v>754</v>
      </c>
      <c r="F30" s="86" t="s">
        <v>706</v>
      </c>
      <c r="G30" s="86" t="s">
        <v>662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755</v>
      </c>
      <c r="B31" s="80">
        <v>4</v>
      </c>
      <c r="C31" s="82" t="s">
        <v>25</v>
      </c>
      <c r="D31" s="84" t="s">
        <v>756</v>
      </c>
      <c r="E31" s="84" t="s">
        <v>25</v>
      </c>
      <c r="F31" s="80" t="s">
        <v>25</v>
      </c>
      <c r="G31" s="80" t="s">
        <v>25</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755</v>
      </c>
      <c r="B32" s="81" t="s">
        <v>201</v>
      </c>
      <c r="C32" s="83" t="s">
        <v>757</v>
      </c>
      <c r="D32" s="85" t="s">
        <v>758</v>
      </c>
      <c r="E32" s="85" t="s">
        <v>759</v>
      </c>
      <c r="F32" s="86" t="s">
        <v>760</v>
      </c>
      <c r="G32" s="86" t="s">
        <v>707</v>
      </c>
      <c r="H32" s="86">
        <v>1</v>
      </c>
      <c r="I32" s="88">
        <f>IF(COUNTIF(J32:AW32,"&lt;&gt;")=0,"",SUMPRODUCT(((Recommendations[ImplStatus]="Implemented")+(Recommendations[ImplStatus]="Compensated"))*ISNUMBER(MATCH(Recommendations[Id],J32:AW32,0)))/COUNTIF(J32:AW32,"&lt;&gt;"))</f>
        <v>0</v>
      </c>
      <c r="J32" s="90" t="s">
        <v>122</v>
      </c>
      <c r="K32" s="90" t="s">
        <v>128</v>
      </c>
      <c r="L32" s="90" t="s">
        <v>133</v>
      </c>
      <c r="M32" s="90" t="s">
        <v>158</v>
      </c>
      <c r="N32" s="90" t="s">
        <v>326</v>
      </c>
      <c r="O32" s="90" t="s">
        <v>332</v>
      </c>
      <c r="P32" s="90" t="s">
        <v>344</v>
      </c>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755</v>
      </c>
      <c r="B33" s="81" t="s">
        <v>207</v>
      </c>
      <c r="C33" s="83" t="s">
        <v>761</v>
      </c>
      <c r="D33" s="85" t="s">
        <v>762</v>
      </c>
      <c r="E33" s="85" t="s">
        <v>763</v>
      </c>
      <c r="F33" s="86" t="s">
        <v>760</v>
      </c>
      <c r="G33" s="86" t="s">
        <v>707</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755</v>
      </c>
      <c r="B34" s="81" t="s">
        <v>213</v>
      </c>
      <c r="C34" s="83" t="s">
        <v>764</v>
      </c>
      <c r="D34" s="85" t="s">
        <v>765</v>
      </c>
      <c r="E34" s="85" t="s">
        <v>766</v>
      </c>
      <c r="F34" s="86" t="s">
        <v>653</v>
      </c>
      <c r="G34" s="86" t="s">
        <v>692</v>
      </c>
      <c r="H34" s="86">
        <v>1</v>
      </c>
      <c r="I34" s="88">
        <f>IF(COUNTIF(J34:AW34,"&lt;&gt;")=0,"",SUMPRODUCT(((Recommendations[ImplStatus]="Implemented")+(Recommendations[ImplStatus]="Compensated"))*ISNUMBER(MATCH(Recommendations[Id],J34:AW34,0)))/COUNTIF(J34:AW34,"&lt;&gt;"))</f>
        <v>0</v>
      </c>
      <c r="J34" s="90" t="s">
        <v>110</v>
      </c>
      <c r="K34" s="90" t="s">
        <v>116</v>
      </c>
      <c r="L34" s="90" t="s">
        <v>301</v>
      </c>
      <c r="M34" s="90" t="s">
        <v>307</v>
      </c>
      <c r="N34" s="90" t="s">
        <v>320</v>
      </c>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755</v>
      </c>
      <c r="B35" s="81" t="s">
        <v>767</v>
      </c>
      <c r="C35" s="83" t="s">
        <v>768</v>
      </c>
      <c r="D35" s="85" t="s">
        <v>769</v>
      </c>
      <c r="E35" s="85" t="s">
        <v>770</v>
      </c>
      <c r="F35" s="86" t="s">
        <v>653</v>
      </c>
      <c r="G35" s="86" t="s">
        <v>692</v>
      </c>
      <c r="H35" s="86">
        <v>1</v>
      </c>
      <c r="I35" s="88" t="str">
        <f>IF(COUNTIF(J35:AW35,"&lt;&gt;")=0,"",SUMPRODUCT(((Recommendations[ImplStatus]="Implemented")+(Recommendations[ImplStatus]="Compensated"))*ISNUMBER(MATCH(Recommendations[Id],J35:AW35,0)))/COUNTIF(J35:AW35,"&lt;&gt;"))</f>
        <v/>
      </c>
      <c r="J35" s="90"/>
      <c r="K35" s="90"/>
      <c r="L35" s="90"/>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755</v>
      </c>
      <c r="B36" s="81" t="s">
        <v>771</v>
      </c>
      <c r="C36" s="83" t="s">
        <v>772</v>
      </c>
      <c r="D36" s="85" t="s">
        <v>773</v>
      </c>
      <c r="E36" s="85" t="s">
        <v>774</v>
      </c>
      <c r="F36" s="86" t="s">
        <v>653</v>
      </c>
      <c r="G36" s="86" t="s">
        <v>692</v>
      </c>
      <c r="H36" s="86">
        <v>1</v>
      </c>
      <c r="I36" s="88">
        <f>IF(COUNTIF(J36:AW36,"&lt;&gt;")=0,"",SUMPRODUCT(((Recommendations[ImplStatus]="Implemented")+(Recommendations[ImplStatus]="Compensated"))*ISNUMBER(MATCH(Recommendations[Id],J36:AW36,0)))/COUNTIF(J36:AW36,"&lt;&gt;"))</f>
        <v>0</v>
      </c>
      <c r="J36" s="90" t="s">
        <v>59</v>
      </c>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755</v>
      </c>
      <c r="B37" s="81" t="s">
        <v>775</v>
      </c>
      <c r="C37" s="83" t="s">
        <v>776</v>
      </c>
      <c r="D37" s="85" t="s">
        <v>777</v>
      </c>
      <c r="E37" s="85" t="s">
        <v>778</v>
      </c>
      <c r="F37" s="86" t="s">
        <v>653</v>
      </c>
      <c r="G37" s="86" t="s">
        <v>692</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755</v>
      </c>
      <c r="B38" s="81" t="s">
        <v>779</v>
      </c>
      <c r="C38" s="83" t="s">
        <v>780</v>
      </c>
      <c r="D38" s="85" t="s">
        <v>781</v>
      </c>
      <c r="E38" s="85" t="s">
        <v>782</v>
      </c>
      <c r="F38" s="86" t="s">
        <v>783</v>
      </c>
      <c r="G38" s="86" t="s">
        <v>692</v>
      </c>
      <c r="H38" s="86">
        <v>1</v>
      </c>
      <c r="I38" s="88">
        <f>IF(COUNTIF(J38:AW38,"&lt;&gt;")=0,"",SUMPRODUCT(((Recommendations[ImplStatus]="Implemented")+(Recommendations[ImplStatus]="Compensated"))*ISNUMBER(MATCH(Recommendations[Id],J38:AW38,0)))/COUNTIF(J38:AW38,"&lt;&gt;"))</f>
        <v>0</v>
      </c>
      <c r="J38" s="90" t="s">
        <v>116</v>
      </c>
      <c r="K38" s="90" t="s">
        <v>146</v>
      </c>
      <c r="L38" s="90" t="s">
        <v>152</v>
      </c>
      <c r="M38" s="90" t="s">
        <v>158</v>
      </c>
      <c r="N38" s="90" t="s">
        <v>332</v>
      </c>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755</v>
      </c>
      <c r="B39" s="81" t="s">
        <v>784</v>
      </c>
      <c r="C39" s="83" t="s">
        <v>785</v>
      </c>
      <c r="D39" s="85" t="s">
        <v>786</v>
      </c>
      <c r="E39" s="85" t="s">
        <v>787</v>
      </c>
      <c r="F39" s="86" t="s">
        <v>653</v>
      </c>
      <c r="G39" s="86" t="s">
        <v>692</v>
      </c>
      <c r="H39" s="86">
        <v>2</v>
      </c>
      <c r="I39" s="88">
        <f>IF(COUNTIF(J39:AW39,"&lt;&gt;")=0,"",SUMPRODUCT(((Recommendations[ImplStatus]="Implemented")+(Recommendations[ImplStatus]="Compensated"))*ISNUMBER(MATCH(Recommendations[Id],J39:AW39,0)))/COUNTIF(J39:AW39,"&lt;&gt;"))</f>
        <v>0</v>
      </c>
      <c r="J39" s="90" t="s">
        <v>79</v>
      </c>
      <c r="K39" s="90" t="s">
        <v>85</v>
      </c>
      <c r="L39" s="90" t="s">
        <v>93</v>
      </c>
      <c r="M39" s="90" t="s">
        <v>98</v>
      </c>
      <c r="N39" s="90" t="s">
        <v>201</v>
      </c>
      <c r="O39" s="90" t="s">
        <v>207</v>
      </c>
      <c r="P39" s="90" t="s">
        <v>213</v>
      </c>
      <c r="Q39" s="90" t="s">
        <v>344</v>
      </c>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755</v>
      </c>
      <c r="B40" s="81" t="s">
        <v>788</v>
      </c>
      <c r="C40" s="83" t="s">
        <v>789</v>
      </c>
      <c r="D40" s="85" t="s">
        <v>790</v>
      </c>
      <c r="E40" s="85" t="s">
        <v>791</v>
      </c>
      <c r="F40" s="86" t="s">
        <v>653</v>
      </c>
      <c r="G40" s="86" t="s">
        <v>692</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755</v>
      </c>
      <c r="B41" s="81" t="s">
        <v>792</v>
      </c>
      <c r="C41" s="83" t="s">
        <v>793</v>
      </c>
      <c r="D41" s="85" t="s">
        <v>794</v>
      </c>
      <c r="E41" s="85" t="s">
        <v>795</v>
      </c>
      <c r="F41" s="86" t="s">
        <v>653</v>
      </c>
      <c r="G41" s="86" t="s">
        <v>692</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755</v>
      </c>
      <c r="B42" s="81" t="s">
        <v>796</v>
      </c>
      <c r="C42" s="83" t="s">
        <v>797</v>
      </c>
      <c r="D42" s="85" t="s">
        <v>798</v>
      </c>
      <c r="E42" s="85" t="s">
        <v>799</v>
      </c>
      <c r="F42" s="86" t="s">
        <v>706</v>
      </c>
      <c r="G42" s="86" t="s">
        <v>692</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755</v>
      </c>
      <c r="B43" s="81" t="s">
        <v>800</v>
      </c>
      <c r="C43" s="83" t="s">
        <v>801</v>
      </c>
      <c r="D43" s="85" t="s">
        <v>802</v>
      </c>
      <c r="E43" s="85" t="s">
        <v>803</v>
      </c>
      <c r="F43" s="86" t="s">
        <v>706</v>
      </c>
      <c r="G43" s="86" t="s">
        <v>692</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804</v>
      </c>
      <c r="B44" s="80">
        <v>5</v>
      </c>
      <c r="C44" s="82" t="s">
        <v>25</v>
      </c>
      <c r="D44" s="84" t="s">
        <v>805</v>
      </c>
      <c r="E44" s="84" t="s">
        <v>25</v>
      </c>
      <c r="F44" s="80" t="s">
        <v>25</v>
      </c>
      <c r="G44" s="80" t="s">
        <v>25</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804</v>
      </c>
      <c r="B45" s="81" t="s">
        <v>806</v>
      </c>
      <c r="C45" s="83" t="s">
        <v>807</v>
      </c>
      <c r="D45" s="85" t="s">
        <v>808</v>
      </c>
      <c r="E45" s="85" t="s">
        <v>809</v>
      </c>
      <c r="F45" s="86" t="s">
        <v>783</v>
      </c>
      <c r="G45" s="86" t="s">
        <v>654</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804</v>
      </c>
      <c r="B46" s="81" t="s">
        <v>810</v>
      </c>
      <c r="C46" s="83" t="s">
        <v>811</v>
      </c>
      <c r="D46" s="85" t="s">
        <v>812</v>
      </c>
      <c r="E46" s="85" t="s">
        <v>813</v>
      </c>
      <c r="F46" s="86" t="s">
        <v>783</v>
      </c>
      <c r="G46" s="86" t="s">
        <v>692</v>
      </c>
      <c r="H46" s="86">
        <v>1</v>
      </c>
      <c r="I46" s="88">
        <f>IF(COUNTIF(J46:AW46,"&lt;&gt;")=0,"",SUMPRODUCT(((Recommendations[ImplStatus]="Implemented")+(Recommendations[ImplStatus]="Compensated"))*ISNUMBER(MATCH(Recommendations[Id],J46:AW46,0)))/COUNTIF(J46:AW46,"&lt;&gt;"))</f>
        <v>0</v>
      </c>
      <c r="J46" s="90" t="s">
        <v>128</v>
      </c>
      <c r="K46" s="90" t="s">
        <v>133</v>
      </c>
      <c r="L46" s="90" t="s">
        <v>140</v>
      </c>
      <c r="M46" s="90" t="s">
        <v>256</v>
      </c>
      <c r="N46" s="90" t="s">
        <v>262</v>
      </c>
      <c r="O46" s="90" t="s">
        <v>268</v>
      </c>
      <c r="P46" s="90" t="s">
        <v>274</v>
      </c>
      <c r="Q46" s="90" t="s">
        <v>279</v>
      </c>
      <c r="R46" s="90" t="s">
        <v>284</v>
      </c>
      <c r="S46" s="90" t="s">
        <v>289</v>
      </c>
      <c r="T46" s="90" t="s">
        <v>295</v>
      </c>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804</v>
      </c>
      <c r="B47" s="81" t="s">
        <v>301</v>
      </c>
      <c r="C47" s="83" t="s">
        <v>814</v>
      </c>
      <c r="D47" s="85" t="s">
        <v>815</v>
      </c>
      <c r="E47" s="85" t="s">
        <v>816</v>
      </c>
      <c r="F47" s="86" t="s">
        <v>783</v>
      </c>
      <c r="G47" s="86" t="s">
        <v>692</v>
      </c>
      <c r="H47" s="86">
        <v>1</v>
      </c>
      <c r="I47" s="88">
        <f>IF(COUNTIF(J47:AW47,"&lt;&gt;")=0,"",SUMPRODUCT(((Recommendations[ImplStatus]="Implemented")+(Recommendations[ImplStatus]="Compensated"))*ISNUMBER(MATCH(Recommendations[Id],J47:AW47,0)))/COUNTIF(J47:AW47,"&lt;&gt;"))</f>
        <v>0</v>
      </c>
      <c r="J47" s="90" t="s">
        <v>289</v>
      </c>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804</v>
      </c>
      <c r="B48" s="81" t="s">
        <v>307</v>
      </c>
      <c r="C48" s="83" t="s">
        <v>817</v>
      </c>
      <c r="D48" s="85" t="s">
        <v>818</v>
      </c>
      <c r="E48" s="85" t="s">
        <v>819</v>
      </c>
      <c r="F48" s="86" t="s">
        <v>783</v>
      </c>
      <c r="G48" s="86" t="s">
        <v>692</v>
      </c>
      <c r="H48" s="86">
        <v>1</v>
      </c>
      <c r="I48" s="88">
        <f>IF(COUNTIF(J48:AW48,"&lt;&gt;")=0,"",SUMPRODUCT(((Recommendations[ImplStatus]="Implemented")+(Recommendations[ImplStatus]="Compensated"))*ISNUMBER(MATCH(Recommendations[Id],J48:AW48,0)))/COUNTIF(J48:AW48,"&lt;&gt;"))</f>
        <v>0</v>
      </c>
      <c r="J48" s="90" t="s">
        <v>301</v>
      </c>
      <c r="K48" s="90" t="s">
        <v>307</v>
      </c>
      <c r="L48" s="90" t="s">
        <v>314</v>
      </c>
      <c r="M48" s="90" t="s">
        <v>320</v>
      </c>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804</v>
      </c>
      <c r="B49" s="81" t="s">
        <v>314</v>
      </c>
      <c r="C49" s="83" t="s">
        <v>820</v>
      </c>
      <c r="D49" s="85" t="s">
        <v>821</v>
      </c>
      <c r="E49" s="85" t="s">
        <v>822</v>
      </c>
      <c r="F49" s="86" t="s">
        <v>783</v>
      </c>
      <c r="G49" s="86" t="s">
        <v>654</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804</v>
      </c>
      <c r="B50" s="81" t="s">
        <v>320</v>
      </c>
      <c r="C50" s="83" t="s">
        <v>823</v>
      </c>
      <c r="D50" s="85" t="s">
        <v>824</v>
      </c>
      <c r="E50" s="85" t="s">
        <v>825</v>
      </c>
      <c r="F50" s="86" t="s">
        <v>783</v>
      </c>
      <c r="G50" s="86" t="s">
        <v>707</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826</v>
      </c>
      <c r="B51" s="80">
        <v>6</v>
      </c>
      <c r="C51" s="82" t="s">
        <v>25</v>
      </c>
      <c r="D51" s="84" t="s">
        <v>827</v>
      </c>
      <c r="E51" s="84" t="s">
        <v>25</v>
      </c>
      <c r="F51" s="80" t="s">
        <v>25</v>
      </c>
      <c r="G51" s="80" t="s">
        <v>25</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826</v>
      </c>
      <c r="B52" s="81" t="s">
        <v>828</v>
      </c>
      <c r="C52" s="83" t="s">
        <v>829</v>
      </c>
      <c r="D52" s="85" t="s">
        <v>830</v>
      </c>
      <c r="E52" s="85" t="s">
        <v>831</v>
      </c>
      <c r="F52" s="86" t="s">
        <v>760</v>
      </c>
      <c r="G52" s="86" t="s">
        <v>707</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826</v>
      </c>
      <c r="B53" s="81" t="s">
        <v>832</v>
      </c>
      <c r="C53" s="83" t="s">
        <v>833</v>
      </c>
      <c r="D53" s="85" t="s">
        <v>834</v>
      </c>
      <c r="E53" s="85" t="s">
        <v>835</v>
      </c>
      <c r="F53" s="86" t="s">
        <v>760</v>
      </c>
      <c r="G53" s="86" t="s">
        <v>707</v>
      </c>
      <c r="H53" s="86">
        <v>1</v>
      </c>
      <c r="I53" s="88">
        <f>IF(COUNTIF(J53:AW53,"&lt;&gt;")=0,"",SUMPRODUCT(((Recommendations[ImplStatus]="Implemented")+(Recommendations[ImplStatus]="Compensated"))*ISNUMBER(MATCH(Recommendations[Id],J53:AW53,0)))/COUNTIF(J53:AW53,"&lt;&gt;"))</f>
        <v>0</v>
      </c>
      <c r="J53" s="90" t="s">
        <v>256</v>
      </c>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826</v>
      </c>
      <c r="B54" s="81" t="s">
        <v>836</v>
      </c>
      <c r="C54" s="83" t="s">
        <v>837</v>
      </c>
      <c r="D54" s="85" t="s">
        <v>838</v>
      </c>
      <c r="E54" s="85" t="s">
        <v>839</v>
      </c>
      <c r="F54" s="86" t="s">
        <v>783</v>
      </c>
      <c r="G54" s="86" t="s">
        <v>692</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826</v>
      </c>
      <c r="B55" s="81" t="s">
        <v>840</v>
      </c>
      <c r="C55" s="83" t="s">
        <v>841</v>
      </c>
      <c r="D55" s="85" t="s">
        <v>842</v>
      </c>
      <c r="E55" s="85" t="s">
        <v>843</v>
      </c>
      <c r="F55" s="86" t="s">
        <v>783</v>
      </c>
      <c r="G55" s="86" t="s">
        <v>692</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826</v>
      </c>
      <c r="B56" s="81" t="s">
        <v>844</v>
      </c>
      <c r="C56" s="83" t="s">
        <v>845</v>
      </c>
      <c r="D56" s="85" t="s">
        <v>846</v>
      </c>
      <c r="E56" s="85" t="s">
        <v>847</v>
      </c>
      <c r="F56" s="86" t="s">
        <v>783</v>
      </c>
      <c r="G56" s="86" t="s">
        <v>692</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826</v>
      </c>
      <c r="B57" s="81" t="s">
        <v>848</v>
      </c>
      <c r="C57" s="83" t="s">
        <v>849</v>
      </c>
      <c r="D57" s="85" t="s">
        <v>850</v>
      </c>
      <c r="E57" s="85" t="s">
        <v>851</v>
      </c>
      <c r="F57" s="86" t="s">
        <v>675</v>
      </c>
      <c r="G57" s="86" t="s">
        <v>654</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826</v>
      </c>
      <c r="B58" s="81" t="s">
        <v>852</v>
      </c>
      <c r="C58" s="83" t="s">
        <v>853</v>
      </c>
      <c r="D58" s="85" t="s">
        <v>854</v>
      </c>
      <c r="E58" s="85" t="s">
        <v>855</v>
      </c>
      <c r="F58" s="86" t="s">
        <v>783</v>
      </c>
      <c r="G58" s="86" t="s">
        <v>692</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826</v>
      </c>
      <c r="B59" s="81" t="s">
        <v>856</v>
      </c>
      <c r="C59" s="83" t="s">
        <v>857</v>
      </c>
      <c r="D59" s="85" t="s">
        <v>858</v>
      </c>
      <c r="E59" s="85" t="s">
        <v>859</v>
      </c>
      <c r="F59" s="86" t="s">
        <v>783</v>
      </c>
      <c r="G59" s="86" t="s">
        <v>707</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860</v>
      </c>
      <c r="B60" s="80">
        <v>7</v>
      </c>
      <c r="C60" s="82" t="s">
        <v>25</v>
      </c>
      <c r="D60" s="84" t="s">
        <v>861</v>
      </c>
      <c r="E60" s="84" t="s">
        <v>25</v>
      </c>
      <c r="F60" s="80" t="s">
        <v>25</v>
      </c>
      <c r="G60" s="80" t="s">
        <v>25</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860</v>
      </c>
      <c r="B61" s="81" t="s">
        <v>862</v>
      </c>
      <c r="C61" s="83" t="s">
        <v>863</v>
      </c>
      <c r="D61" s="85" t="s">
        <v>864</v>
      </c>
      <c r="E61" s="85" t="s">
        <v>865</v>
      </c>
      <c r="F61" s="86" t="s">
        <v>760</v>
      </c>
      <c r="G61" s="86" t="s">
        <v>707</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860</v>
      </c>
      <c r="B62" s="81" t="s">
        <v>866</v>
      </c>
      <c r="C62" s="83" t="s">
        <v>867</v>
      </c>
      <c r="D62" s="85" t="s">
        <v>868</v>
      </c>
      <c r="E62" s="85" t="s">
        <v>869</v>
      </c>
      <c r="F62" s="86" t="s">
        <v>760</v>
      </c>
      <c r="G62" s="86" t="s">
        <v>707</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860</v>
      </c>
      <c r="B63" s="81" t="s">
        <v>870</v>
      </c>
      <c r="C63" s="83" t="s">
        <v>871</v>
      </c>
      <c r="D63" s="85" t="s">
        <v>872</v>
      </c>
      <c r="E63" s="85" t="s">
        <v>873</v>
      </c>
      <c r="F63" s="86" t="s">
        <v>675</v>
      </c>
      <c r="G63" s="86" t="s">
        <v>692</v>
      </c>
      <c r="H63" s="86">
        <v>1</v>
      </c>
      <c r="I63" s="88">
        <f>IF(COUNTIF(J63:AW63,"&lt;&gt;")=0,"",SUMPRODUCT(((Recommendations[ImplStatus]="Implemented")+(Recommendations[ImplStatus]="Compensated"))*ISNUMBER(MATCH(Recommendations[Id],J63:AW63,0)))/COUNTIF(J63:AW63,"&lt;&gt;"))</f>
        <v>0</v>
      </c>
      <c r="J63" s="90" t="s">
        <v>30</v>
      </c>
      <c r="K63" s="90" t="s">
        <v>36</v>
      </c>
      <c r="L63" s="90" t="s">
        <v>48</v>
      </c>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860</v>
      </c>
      <c r="B64" s="81" t="s">
        <v>874</v>
      </c>
      <c r="C64" s="83" t="s">
        <v>875</v>
      </c>
      <c r="D64" s="85" t="s">
        <v>876</v>
      </c>
      <c r="E64" s="85" t="s">
        <v>877</v>
      </c>
      <c r="F64" s="86" t="s">
        <v>675</v>
      </c>
      <c r="G64" s="86" t="s">
        <v>692</v>
      </c>
      <c r="H64" s="86">
        <v>1</v>
      </c>
      <c r="I64" s="88">
        <f>IF(COUNTIF(J64:AW64,"&lt;&gt;")=0,"",SUMPRODUCT(((Recommendations[ImplStatus]="Implemented")+(Recommendations[ImplStatus]="Compensated"))*ISNUMBER(MATCH(Recommendations[Id],J64:AW64,0)))/COUNTIF(J64:AW64,"&lt;&gt;"))</f>
        <v>0</v>
      </c>
      <c r="J64" s="90" t="s">
        <v>53</v>
      </c>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860</v>
      </c>
      <c r="B65" s="81" t="s">
        <v>878</v>
      </c>
      <c r="C65" s="83" t="s">
        <v>879</v>
      </c>
      <c r="D65" s="85" t="s">
        <v>880</v>
      </c>
      <c r="E65" s="85" t="s">
        <v>881</v>
      </c>
      <c r="F65" s="86" t="s">
        <v>675</v>
      </c>
      <c r="G65" s="86" t="s">
        <v>654</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860</v>
      </c>
      <c r="B66" s="81" t="s">
        <v>882</v>
      </c>
      <c r="C66" s="83" t="s">
        <v>883</v>
      </c>
      <c r="D66" s="85" t="s">
        <v>884</v>
      </c>
      <c r="E66" s="85" t="s">
        <v>885</v>
      </c>
      <c r="F66" s="86" t="s">
        <v>675</v>
      </c>
      <c r="G66" s="86" t="s">
        <v>654</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860</v>
      </c>
      <c r="B67" s="81" t="s">
        <v>886</v>
      </c>
      <c r="C67" s="83" t="s">
        <v>887</v>
      </c>
      <c r="D67" s="85" t="s">
        <v>888</v>
      </c>
      <c r="E67" s="85" t="s">
        <v>889</v>
      </c>
      <c r="F67" s="86" t="s">
        <v>675</v>
      </c>
      <c r="G67" s="86" t="s">
        <v>658</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890</v>
      </c>
      <c r="B68" s="80">
        <v>8</v>
      </c>
      <c r="C68" s="82" t="s">
        <v>25</v>
      </c>
      <c r="D68" s="84" t="s">
        <v>891</v>
      </c>
      <c r="E68" s="84" t="s">
        <v>25</v>
      </c>
      <c r="F68" s="80" t="s">
        <v>25</v>
      </c>
      <c r="G68" s="80" t="s">
        <v>25</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890</v>
      </c>
      <c r="B69" s="81" t="s">
        <v>892</v>
      </c>
      <c r="C69" s="83" t="s">
        <v>893</v>
      </c>
      <c r="D69" s="85" t="s">
        <v>894</v>
      </c>
      <c r="E69" s="85" t="s">
        <v>895</v>
      </c>
      <c r="F69" s="86" t="s">
        <v>760</v>
      </c>
      <c r="G69" s="86" t="s">
        <v>707</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890</v>
      </c>
      <c r="B70" s="81" t="s">
        <v>896</v>
      </c>
      <c r="C70" s="83" t="s">
        <v>897</v>
      </c>
      <c r="D70" s="85" t="s">
        <v>898</v>
      </c>
      <c r="E70" s="85" t="s">
        <v>899</v>
      </c>
      <c r="F70" s="86" t="s">
        <v>706</v>
      </c>
      <c r="G70" s="86" t="s">
        <v>662</v>
      </c>
      <c r="H70" s="86">
        <v>1</v>
      </c>
      <c r="I70" s="88">
        <f>IF(COUNTIF(J70:AW70,"&lt;&gt;")=0,"",SUMPRODUCT(((Recommendations[ImplStatus]="Implemented")+(Recommendations[ImplStatus]="Compensated"))*ISNUMBER(MATCH(Recommendations[Id],J70:AW70,0)))/COUNTIF(J70:AW70,"&lt;&gt;"))</f>
        <v>0</v>
      </c>
      <c r="J70" s="90" t="s">
        <v>165</v>
      </c>
      <c r="K70" s="90" t="s">
        <v>194</v>
      </c>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890</v>
      </c>
      <c r="B71" s="81" t="s">
        <v>900</v>
      </c>
      <c r="C71" s="83" t="s">
        <v>901</v>
      </c>
      <c r="D71" s="85" t="s">
        <v>902</v>
      </c>
      <c r="E71" s="85" t="s">
        <v>903</v>
      </c>
      <c r="F71" s="86" t="s">
        <v>706</v>
      </c>
      <c r="G71" s="86" t="s">
        <v>692</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890</v>
      </c>
      <c r="B72" s="81" t="s">
        <v>904</v>
      </c>
      <c r="C72" s="83" t="s">
        <v>905</v>
      </c>
      <c r="D72" s="85" t="s">
        <v>906</v>
      </c>
      <c r="E72" s="85" t="s">
        <v>907</v>
      </c>
      <c r="F72" s="86" t="s">
        <v>58</v>
      </c>
      <c r="G72" s="86" t="s">
        <v>692</v>
      </c>
      <c r="H72" s="86">
        <v>2</v>
      </c>
      <c r="I72" s="88">
        <f>IF(COUNTIF(J72:AW72,"&lt;&gt;")=0,"",SUMPRODUCT(((Recommendations[ImplStatus]="Implemented")+(Recommendations[ImplStatus]="Compensated"))*ISNUMBER(MATCH(Recommendations[Id],J72:AW72,0)))/COUNTIF(J72:AW72,"&lt;&gt;"))</f>
        <v>0</v>
      </c>
      <c r="J72" s="90" t="s">
        <v>66</v>
      </c>
      <c r="K72" s="90" t="s">
        <v>72</v>
      </c>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890</v>
      </c>
      <c r="B73" s="81" t="s">
        <v>908</v>
      </c>
      <c r="C73" s="83" t="s">
        <v>909</v>
      </c>
      <c r="D73" s="85" t="s">
        <v>910</v>
      </c>
      <c r="E73" s="85" t="s">
        <v>911</v>
      </c>
      <c r="F73" s="86" t="s">
        <v>706</v>
      </c>
      <c r="G73" s="86" t="s">
        <v>662</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890</v>
      </c>
      <c r="B74" s="81" t="s">
        <v>912</v>
      </c>
      <c r="C74" s="83" t="s">
        <v>913</v>
      </c>
      <c r="D74" s="85" t="s">
        <v>914</v>
      </c>
      <c r="E74" s="85" t="s">
        <v>915</v>
      </c>
      <c r="F74" s="86" t="s">
        <v>706</v>
      </c>
      <c r="G74" s="86" t="s">
        <v>662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890</v>
      </c>
      <c r="B75" s="81" t="s">
        <v>916</v>
      </c>
      <c r="C75" s="83" t="s">
        <v>917</v>
      </c>
      <c r="D75" s="85" t="s">
        <v>918</v>
      </c>
      <c r="E75" s="85" t="s">
        <v>919</v>
      </c>
      <c r="F75" s="86" t="s">
        <v>706</v>
      </c>
      <c r="G75" s="86" t="s">
        <v>662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890</v>
      </c>
      <c r="B76" s="81" t="s">
        <v>920</v>
      </c>
      <c r="C76" s="83" t="s">
        <v>921</v>
      </c>
      <c r="D76" s="85" t="s">
        <v>922</v>
      </c>
      <c r="E76" s="85" t="s">
        <v>923</v>
      </c>
      <c r="F76" s="86" t="s">
        <v>706</v>
      </c>
      <c r="G76" s="86" t="s">
        <v>662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890</v>
      </c>
      <c r="B77" s="81" t="s">
        <v>924</v>
      </c>
      <c r="C77" s="83" t="s">
        <v>925</v>
      </c>
      <c r="D77" s="85" t="s">
        <v>926</v>
      </c>
      <c r="E77" s="85" t="s">
        <v>927</v>
      </c>
      <c r="F77" s="86" t="s">
        <v>706</v>
      </c>
      <c r="G77" s="86" t="s">
        <v>662</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890</v>
      </c>
      <c r="B78" s="81" t="s">
        <v>928</v>
      </c>
      <c r="C78" s="83" t="s">
        <v>929</v>
      </c>
      <c r="D78" s="85" t="s">
        <v>930</v>
      </c>
      <c r="E78" s="85" t="s">
        <v>931</v>
      </c>
      <c r="F78" s="86" t="s">
        <v>706</v>
      </c>
      <c r="G78" s="86" t="s">
        <v>692</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890</v>
      </c>
      <c r="B79" s="81" t="s">
        <v>932</v>
      </c>
      <c r="C79" s="83" t="s">
        <v>933</v>
      </c>
      <c r="D79" s="85" t="s">
        <v>934</v>
      </c>
      <c r="E79" s="85" t="s">
        <v>935</v>
      </c>
      <c r="F79" s="86" t="s">
        <v>706</v>
      </c>
      <c r="G79" s="86" t="s">
        <v>662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890</v>
      </c>
      <c r="B80" s="81" t="s">
        <v>936</v>
      </c>
      <c r="C80" s="83" t="s">
        <v>937</v>
      </c>
      <c r="D80" s="85" t="s">
        <v>938</v>
      </c>
      <c r="E80" s="85" t="s">
        <v>939</v>
      </c>
      <c r="F80" s="86" t="s">
        <v>706</v>
      </c>
      <c r="G80" s="86" t="s">
        <v>662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940</v>
      </c>
      <c r="B81" s="80">
        <v>9</v>
      </c>
      <c r="C81" s="82" t="s">
        <v>25</v>
      </c>
      <c r="D81" s="84" t="s">
        <v>941</v>
      </c>
      <c r="E81" s="84" t="s">
        <v>25</v>
      </c>
      <c r="F81" s="80" t="s">
        <v>25</v>
      </c>
      <c r="G81" s="80" t="s">
        <v>25</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940</v>
      </c>
      <c r="B82" s="81" t="s">
        <v>942</v>
      </c>
      <c r="C82" s="83" t="s">
        <v>943</v>
      </c>
      <c r="D82" s="85" t="s">
        <v>944</v>
      </c>
      <c r="E82" s="85" t="s">
        <v>945</v>
      </c>
      <c r="F82" s="86" t="s">
        <v>675</v>
      </c>
      <c r="G82" s="86" t="s">
        <v>692</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940</v>
      </c>
      <c r="B83" s="81" t="s">
        <v>946</v>
      </c>
      <c r="C83" s="83" t="s">
        <v>947</v>
      </c>
      <c r="D83" s="85" t="s">
        <v>948</v>
      </c>
      <c r="E83" s="85" t="s">
        <v>949</v>
      </c>
      <c r="F83" s="86" t="s">
        <v>653</v>
      </c>
      <c r="G83" s="86" t="s">
        <v>692</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940</v>
      </c>
      <c r="B84" s="81" t="s">
        <v>950</v>
      </c>
      <c r="C84" s="83" t="s">
        <v>951</v>
      </c>
      <c r="D84" s="85" t="s">
        <v>952</v>
      </c>
      <c r="E84" s="85" t="s">
        <v>953</v>
      </c>
      <c r="F84" s="86" t="s">
        <v>58</v>
      </c>
      <c r="G84" s="86" t="s">
        <v>692</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940</v>
      </c>
      <c r="B85" s="81" t="s">
        <v>954</v>
      </c>
      <c r="C85" s="83" t="s">
        <v>955</v>
      </c>
      <c r="D85" s="85" t="s">
        <v>956</v>
      </c>
      <c r="E85" s="85" t="s">
        <v>957</v>
      </c>
      <c r="F85" s="86" t="s">
        <v>675</v>
      </c>
      <c r="G85" s="86" t="s">
        <v>692</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940</v>
      </c>
      <c r="B86" s="81" t="s">
        <v>958</v>
      </c>
      <c r="C86" s="83" t="s">
        <v>959</v>
      </c>
      <c r="D86" s="85" t="s">
        <v>960</v>
      </c>
      <c r="E86" s="85" t="s">
        <v>961</v>
      </c>
      <c r="F86" s="86" t="s">
        <v>58</v>
      </c>
      <c r="G86" s="86" t="s">
        <v>692</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940</v>
      </c>
      <c r="B87" s="81" t="s">
        <v>962</v>
      </c>
      <c r="C87" s="83" t="s">
        <v>963</v>
      </c>
      <c r="D87" s="85" t="s">
        <v>964</v>
      </c>
      <c r="E87" s="85" t="s">
        <v>965</v>
      </c>
      <c r="F87" s="86" t="s">
        <v>58</v>
      </c>
      <c r="G87" s="86" t="s">
        <v>692</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940</v>
      </c>
      <c r="B88" s="81" t="s">
        <v>966</v>
      </c>
      <c r="C88" s="83" t="s">
        <v>967</v>
      </c>
      <c r="D88" s="85" t="s">
        <v>968</v>
      </c>
      <c r="E88" s="85" t="s">
        <v>969</v>
      </c>
      <c r="F88" s="86" t="s">
        <v>58</v>
      </c>
      <c r="G88" s="86" t="s">
        <v>692</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970</v>
      </c>
      <c r="B89" s="80">
        <v>10</v>
      </c>
      <c r="C89" s="82" t="s">
        <v>25</v>
      </c>
      <c r="D89" s="84" t="s">
        <v>971</v>
      </c>
      <c r="E89" s="84" t="s">
        <v>25</v>
      </c>
      <c r="F89" s="80" t="s">
        <v>25</v>
      </c>
      <c r="G89" s="80" t="s">
        <v>25</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970</v>
      </c>
      <c r="B90" s="81" t="s">
        <v>972</v>
      </c>
      <c r="C90" s="83" t="s">
        <v>973</v>
      </c>
      <c r="D90" s="85" t="s">
        <v>974</v>
      </c>
      <c r="E90" s="85" t="s">
        <v>975</v>
      </c>
      <c r="F90" s="86" t="s">
        <v>653</v>
      </c>
      <c r="G90" s="86" t="s">
        <v>662</v>
      </c>
      <c r="H90" s="86">
        <v>1</v>
      </c>
      <c r="I90" s="88">
        <f>IF(COUNTIF(J90:AW90,"&lt;&gt;")=0,"",SUMPRODUCT(((Recommendations[ImplStatus]="Implemented")+(Recommendations[ImplStatus]="Compensated"))*ISNUMBER(MATCH(Recommendations[Id],J90:AW90,0)))/COUNTIF(J90:AW90,"&lt;&gt;"))</f>
        <v>0</v>
      </c>
      <c r="J90" s="90" t="s">
        <v>226</v>
      </c>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970</v>
      </c>
      <c r="B91" s="81" t="s">
        <v>976</v>
      </c>
      <c r="C91" s="83" t="s">
        <v>977</v>
      </c>
      <c r="D91" s="85" t="s">
        <v>978</v>
      </c>
      <c r="E91" s="85" t="s">
        <v>979</v>
      </c>
      <c r="F91" s="86" t="s">
        <v>653</v>
      </c>
      <c r="G91" s="86" t="s">
        <v>692</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970</v>
      </c>
      <c r="B92" s="81" t="s">
        <v>980</v>
      </c>
      <c r="C92" s="83" t="s">
        <v>981</v>
      </c>
      <c r="D92" s="85" t="s">
        <v>982</v>
      </c>
      <c r="E92" s="85" t="s">
        <v>983</v>
      </c>
      <c r="F92" s="86" t="s">
        <v>653</v>
      </c>
      <c r="G92" s="86" t="s">
        <v>692</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970</v>
      </c>
      <c r="B93" s="81" t="s">
        <v>984</v>
      </c>
      <c r="C93" s="83" t="s">
        <v>985</v>
      </c>
      <c r="D93" s="85" t="s">
        <v>986</v>
      </c>
      <c r="E93" s="85" t="s">
        <v>987</v>
      </c>
      <c r="F93" s="86" t="s">
        <v>653</v>
      </c>
      <c r="G93" s="86" t="s">
        <v>662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970</v>
      </c>
      <c r="B94" s="81" t="s">
        <v>988</v>
      </c>
      <c r="C94" s="83" t="s">
        <v>989</v>
      </c>
      <c r="D94" s="85" t="s">
        <v>990</v>
      </c>
      <c r="E94" s="85" t="s">
        <v>991</v>
      </c>
      <c r="F94" s="86" t="s">
        <v>653</v>
      </c>
      <c r="G94" s="86" t="s">
        <v>692</v>
      </c>
      <c r="H94" s="86">
        <v>2</v>
      </c>
      <c r="I94" s="88">
        <f>IF(COUNTIF(J94:AW94,"&lt;&gt;")=0,"",SUMPRODUCT(((Recommendations[ImplStatus]="Implemented")+(Recommendations[ImplStatus]="Compensated"))*ISNUMBER(MATCH(Recommendations[Id],J94:AW94,0)))/COUNTIF(J94:AW94,"&lt;&gt;"))</f>
        <v>0</v>
      </c>
      <c r="J94" s="90" t="s">
        <v>232</v>
      </c>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970</v>
      </c>
      <c r="B95" s="81" t="s">
        <v>992</v>
      </c>
      <c r="C95" s="83" t="s">
        <v>993</v>
      </c>
      <c r="D95" s="85" t="s">
        <v>994</v>
      </c>
      <c r="E95" s="85" t="s">
        <v>995</v>
      </c>
      <c r="F95" s="86" t="s">
        <v>653</v>
      </c>
      <c r="G95" s="86" t="s">
        <v>692</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970</v>
      </c>
      <c r="B96" s="81" t="s">
        <v>996</v>
      </c>
      <c r="C96" s="83" t="s">
        <v>997</v>
      </c>
      <c r="D96" s="85" t="s">
        <v>998</v>
      </c>
      <c r="E96" s="85" t="s">
        <v>999</v>
      </c>
      <c r="F96" s="86" t="s">
        <v>653</v>
      </c>
      <c r="G96" s="86" t="s">
        <v>662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1000</v>
      </c>
      <c r="B97" s="80">
        <v>11</v>
      </c>
      <c r="C97" s="82" t="s">
        <v>25</v>
      </c>
      <c r="D97" s="84" t="s">
        <v>1001</v>
      </c>
      <c r="E97" s="84" t="s">
        <v>25</v>
      </c>
      <c r="F97" s="80" t="s">
        <v>25</v>
      </c>
      <c r="G97" s="80" t="s">
        <v>25</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1000</v>
      </c>
      <c r="B98" s="81" t="s">
        <v>1002</v>
      </c>
      <c r="C98" s="83" t="s">
        <v>1003</v>
      </c>
      <c r="D98" s="85" t="s">
        <v>1004</v>
      </c>
      <c r="E98" s="85" t="s">
        <v>1005</v>
      </c>
      <c r="F98" s="86" t="s">
        <v>760</v>
      </c>
      <c r="G98" s="86" t="s">
        <v>707</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1000</v>
      </c>
      <c r="B99" s="81" t="s">
        <v>1006</v>
      </c>
      <c r="C99" s="83" t="s">
        <v>1007</v>
      </c>
      <c r="D99" s="85" t="s">
        <v>1008</v>
      </c>
      <c r="E99" s="85" t="s">
        <v>1009</v>
      </c>
      <c r="F99" s="86" t="s">
        <v>706</v>
      </c>
      <c r="G99" s="86" t="s">
        <v>1010</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1000</v>
      </c>
      <c r="B100" s="81" t="s">
        <v>1011</v>
      </c>
      <c r="C100" s="83" t="s">
        <v>1012</v>
      </c>
      <c r="D100" s="85" t="s">
        <v>1013</v>
      </c>
      <c r="E100" s="85" t="s">
        <v>1014</v>
      </c>
      <c r="F100" s="86" t="s">
        <v>706</v>
      </c>
      <c r="G100" s="86" t="s">
        <v>692</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1000</v>
      </c>
      <c r="B101" s="81" t="s">
        <v>1015</v>
      </c>
      <c r="C101" s="83" t="s">
        <v>1016</v>
      </c>
      <c r="D101" s="85" t="s">
        <v>1017</v>
      </c>
      <c r="E101" s="85" t="s">
        <v>1018</v>
      </c>
      <c r="F101" s="86" t="s">
        <v>706</v>
      </c>
      <c r="G101" s="86" t="s">
        <v>1010</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1000</v>
      </c>
      <c r="B102" s="81" t="s">
        <v>1019</v>
      </c>
      <c r="C102" s="83" t="s">
        <v>1020</v>
      </c>
      <c r="D102" s="85" t="s">
        <v>1021</v>
      </c>
      <c r="E102" s="85" t="s">
        <v>1022</v>
      </c>
      <c r="F102" s="86" t="s">
        <v>706</v>
      </c>
      <c r="G102" s="86" t="s">
        <v>1010</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1023</v>
      </c>
      <c r="B103" s="80">
        <v>12</v>
      </c>
      <c r="C103" s="82" t="s">
        <v>25</v>
      </c>
      <c r="D103" s="84" t="s">
        <v>1024</v>
      </c>
      <c r="E103" s="84" t="s">
        <v>25</v>
      </c>
      <c r="F103" s="80" t="s">
        <v>25</v>
      </c>
      <c r="G103" s="80" t="s">
        <v>25</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1023</v>
      </c>
      <c r="B104" s="81" t="s">
        <v>1025</v>
      </c>
      <c r="C104" s="83" t="s">
        <v>1026</v>
      </c>
      <c r="D104" s="85" t="s">
        <v>1027</v>
      </c>
      <c r="E104" s="85" t="s">
        <v>1028</v>
      </c>
      <c r="F104" s="86" t="s">
        <v>58</v>
      </c>
      <c r="G104" s="86" t="s">
        <v>692</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1023</v>
      </c>
      <c r="B105" s="81" t="s">
        <v>1029</v>
      </c>
      <c r="C105" s="83" t="s">
        <v>1030</v>
      </c>
      <c r="D105" s="85" t="s">
        <v>1031</v>
      </c>
      <c r="E105" s="85" t="s">
        <v>1032</v>
      </c>
      <c r="F105" s="86" t="s">
        <v>58</v>
      </c>
      <c r="G105" s="86" t="s">
        <v>692</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1023</v>
      </c>
      <c r="B106" s="81" t="s">
        <v>1033</v>
      </c>
      <c r="C106" s="83" t="s">
        <v>1034</v>
      </c>
      <c r="D106" s="85" t="s">
        <v>1035</v>
      </c>
      <c r="E106" s="85" t="s">
        <v>1036</v>
      </c>
      <c r="F106" s="86" t="s">
        <v>58</v>
      </c>
      <c r="G106" s="86" t="s">
        <v>692</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1023</v>
      </c>
      <c r="B107" s="81" t="s">
        <v>1037</v>
      </c>
      <c r="C107" s="83" t="s">
        <v>1038</v>
      </c>
      <c r="D107" s="85" t="s">
        <v>1039</v>
      </c>
      <c r="E107" s="85" t="s">
        <v>1040</v>
      </c>
      <c r="F107" s="86" t="s">
        <v>760</v>
      </c>
      <c r="G107" s="86" t="s">
        <v>707</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1023</v>
      </c>
      <c r="B108" s="81" t="s">
        <v>1041</v>
      </c>
      <c r="C108" s="83" t="s">
        <v>1042</v>
      </c>
      <c r="D108" s="85" t="s">
        <v>1043</v>
      </c>
      <c r="E108" s="85" t="s">
        <v>1044</v>
      </c>
      <c r="F108" s="86" t="s">
        <v>58</v>
      </c>
      <c r="G108" s="86" t="s">
        <v>692</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1023</v>
      </c>
      <c r="B109" s="81" t="s">
        <v>1045</v>
      </c>
      <c r="C109" s="83" t="s">
        <v>1046</v>
      </c>
      <c r="D109" s="85" t="s">
        <v>1047</v>
      </c>
      <c r="E109" s="85" t="s">
        <v>1048</v>
      </c>
      <c r="F109" s="86" t="s">
        <v>58</v>
      </c>
      <c r="G109" s="86" t="s">
        <v>692</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1023</v>
      </c>
      <c r="B110" s="81" t="s">
        <v>1049</v>
      </c>
      <c r="C110" s="83" t="s">
        <v>1050</v>
      </c>
      <c r="D110" s="85" t="s">
        <v>1051</v>
      </c>
      <c r="E110" s="85" t="s">
        <v>1052</v>
      </c>
      <c r="F110" s="86" t="s">
        <v>653</v>
      </c>
      <c r="G110" s="86" t="s">
        <v>692</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1023</v>
      </c>
      <c r="B111" s="81" t="s">
        <v>1053</v>
      </c>
      <c r="C111" s="83" t="s">
        <v>1054</v>
      </c>
      <c r="D111" s="85" t="s">
        <v>1055</v>
      </c>
      <c r="E111" s="85" t="s">
        <v>1056</v>
      </c>
      <c r="F111" s="86" t="s">
        <v>653</v>
      </c>
      <c r="G111" s="86" t="s">
        <v>692</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1057</v>
      </c>
      <c r="B112" s="80">
        <v>13</v>
      </c>
      <c r="C112" s="82" t="s">
        <v>25</v>
      </c>
      <c r="D112" s="84" t="s">
        <v>1058</v>
      </c>
      <c r="E112" s="84" t="s">
        <v>25</v>
      </c>
      <c r="F112" s="80" t="s">
        <v>25</v>
      </c>
      <c r="G112" s="80" t="s">
        <v>25</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1057</v>
      </c>
      <c r="B113" s="81" t="s">
        <v>1059</v>
      </c>
      <c r="C113" s="83" t="s">
        <v>1060</v>
      </c>
      <c r="D113" s="85" t="s">
        <v>1061</v>
      </c>
      <c r="E113" s="85" t="s">
        <v>1062</v>
      </c>
      <c r="F113" s="86" t="s">
        <v>58</v>
      </c>
      <c r="G113" s="86" t="s">
        <v>662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1057</v>
      </c>
      <c r="B114" s="81" t="s">
        <v>1063</v>
      </c>
      <c r="C114" s="83" t="s">
        <v>1064</v>
      </c>
      <c r="D114" s="85" t="s">
        <v>1065</v>
      </c>
      <c r="E114" s="85" t="s">
        <v>1066</v>
      </c>
      <c r="F114" s="86" t="s">
        <v>653</v>
      </c>
      <c r="G114" s="86" t="s">
        <v>662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1057</v>
      </c>
      <c r="B115" s="81" t="s">
        <v>1067</v>
      </c>
      <c r="C115" s="83" t="s">
        <v>1068</v>
      </c>
      <c r="D115" s="85" t="s">
        <v>1069</v>
      </c>
      <c r="E115" s="85" t="s">
        <v>1070</v>
      </c>
      <c r="F115" s="86" t="s">
        <v>58</v>
      </c>
      <c r="G115" s="86" t="s">
        <v>662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1057</v>
      </c>
      <c r="B116" s="81" t="s">
        <v>1071</v>
      </c>
      <c r="C116" s="83" t="s">
        <v>1072</v>
      </c>
      <c r="D116" s="85" t="s">
        <v>1073</v>
      </c>
      <c r="E116" s="85" t="s">
        <v>1074</v>
      </c>
      <c r="F116" s="86" t="s">
        <v>58</v>
      </c>
      <c r="G116" s="86" t="s">
        <v>692</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1057</v>
      </c>
      <c r="B117" s="81" t="s">
        <v>1075</v>
      </c>
      <c r="C117" s="83" t="s">
        <v>1076</v>
      </c>
      <c r="D117" s="85" t="s">
        <v>1077</v>
      </c>
      <c r="E117" s="85" t="s">
        <v>1078</v>
      </c>
      <c r="F117" s="86" t="s">
        <v>653</v>
      </c>
      <c r="G117" s="86" t="s">
        <v>692</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1057</v>
      </c>
      <c r="B118" s="81" t="s">
        <v>1079</v>
      </c>
      <c r="C118" s="83" t="s">
        <v>1080</v>
      </c>
      <c r="D118" s="85" t="s">
        <v>1081</v>
      </c>
      <c r="E118" s="85" t="s">
        <v>1082</v>
      </c>
      <c r="F118" s="86" t="s">
        <v>58</v>
      </c>
      <c r="G118" s="86" t="s">
        <v>662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1057</v>
      </c>
      <c r="B119" s="81" t="s">
        <v>1083</v>
      </c>
      <c r="C119" s="83" t="s">
        <v>1084</v>
      </c>
      <c r="D119" s="85" t="s">
        <v>1085</v>
      </c>
      <c r="E119" s="85" t="s">
        <v>1086</v>
      </c>
      <c r="F119" s="86" t="s">
        <v>653</v>
      </c>
      <c r="G119" s="86" t="s">
        <v>692</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1057</v>
      </c>
      <c r="B120" s="81" t="s">
        <v>1087</v>
      </c>
      <c r="C120" s="83" t="s">
        <v>1088</v>
      </c>
      <c r="D120" s="85" t="s">
        <v>1089</v>
      </c>
      <c r="E120" s="85" t="s">
        <v>1090</v>
      </c>
      <c r="F120" s="86" t="s">
        <v>58</v>
      </c>
      <c r="G120" s="86" t="s">
        <v>692</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1057</v>
      </c>
      <c r="B121" s="81" t="s">
        <v>1091</v>
      </c>
      <c r="C121" s="83" t="s">
        <v>1092</v>
      </c>
      <c r="D121" s="85" t="s">
        <v>1093</v>
      </c>
      <c r="E121" s="85" t="s">
        <v>1094</v>
      </c>
      <c r="F121" s="86" t="s">
        <v>58</v>
      </c>
      <c r="G121" s="86" t="s">
        <v>692</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1057</v>
      </c>
      <c r="B122" s="81" t="s">
        <v>1095</v>
      </c>
      <c r="C122" s="83" t="s">
        <v>1096</v>
      </c>
      <c r="D122" s="85" t="s">
        <v>1097</v>
      </c>
      <c r="E122" s="85" t="s">
        <v>1098</v>
      </c>
      <c r="F122" s="86" t="s">
        <v>58</v>
      </c>
      <c r="G122" s="86" t="s">
        <v>692</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1057</v>
      </c>
      <c r="B123" s="81" t="s">
        <v>1099</v>
      </c>
      <c r="C123" s="83" t="s">
        <v>1100</v>
      </c>
      <c r="D123" s="85" t="s">
        <v>1101</v>
      </c>
      <c r="E123" s="85" t="s">
        <v>1102</v>
      </c>
      <c r="F123" s="86" t="s">
        <v>58</v>
      </c>
      <c r="G123" s="86" t="s">
        <v>662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1103</v>
      </c>
      <c r="B124" s="80">
        <v>14</v>
      </c>
      <c r="C124" s="82" t="s">
        <v>25</v>
      </c>
      <c r="D124" s="84" t="s">
        <v>1104</v>
      </c>
      <c r="E124" s="84" t="s">
        <v>25</v>
      </c>
      <c r="F124" s="80" t="s">
        <v>25</v>
      </c>
      <c r="G124" s="80" t="s">
        <v>25</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1103</v>
      </c>
      <c r="B125" s="81" t="s">
        <v>1105</v>
      </c>
      <c r="C125" s="83" t="s">
        <v>1106</v>
      </c>
      <c r="D125" s="85" t="s">
        <v>1107</v>
      </c>
      <c r="E125" s="85" t="s">
        <v>1108</v>
      </c>
      <c r="F125" s="86" t="s">
        <v>760</v>
      </c>
      <c r="G125" s="86" t="s">
        <v>707</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1103</v>
      </c>
      <c r="B126" s="81" t="s">
        <v>1109</v>
      </c>
      <c r="C126" s="83" t="s">
        <v>1110</v>
      </c>
      <c r="D126" s="85" t="s">
        <v>1111</v>
      </c>
      <c r="E126" s="85" t="s">
        <v>1112</v>
      </c>
      <c r="F126" s="86" t="s">
        <v>783</v>
      </c>
      <c r="G126" s="86" t="s">
        <v>692</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1103</v>
      </c>
      <c r="B127" s="81" t="s">
        <v>1113</v>
      </c>
      <c r="C127" s="83" t="s">
        <v>1114</v>
      </c>
      <c r="D127" s="85" t="s">
        <v>1115</v>
      </c>
      <c r="E127" s="85" t="s">
        <v>1116</v>
      </c>
      <c r="F127" s="86" t="s">
        <v>783</v>
      </c>
      <c r="G127" s="86" t="s">
        <v>692</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1103</v>
      </c>
      <c r="B128" s="81" t="s">
        <v>1117</v>
      </c>
      <c r="C128" s="83" t="s">
        <v>1118</v>
      </c>
      <c r="D128" s="85" t="s">
        <v>1119</v>
      </c>
      <c r="E128" s="85" t="s">
        <v>1120</v>
      </c>
      <c r="F128" s="86" t="s">
        <v>783</v>
      </c>
      <c r="G128" s="86" t="s">
        <v>692</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1103</v>
      </c>
      <c r="B129" s="81" t="s">
        <v>1121</v>
      </c>
      <c r="C129" s="83" t="s">
        <v>1122</v>
      </c>
      <c r="D129" s="85" t="s">
        <v>1123</v>
      </c>
      <c r="E129" s="85" t="s">
        <v>1124</v>
      </c>
      <c r="F129" s="86" t="s">
        <v>783</v>
      </c>
      <c r="G129" s="86" t="s">
        <v>692</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1103</v>
      </c>
      <c r="B130" s="81" t="s">
        <v>1125</v>
      </c>
      <c r="C130" s="83" t="s">
        <v>1126</v>
      </c>
      <c r="D130" s="85" t="s">
        <v>1127</v>
      </c>
      <c r="E130" s="85" t="s">
        <v>1128</v>
      </c>
      <c r="F130" s="86" t="s">
        <v>783</v>
      </c>
      <c r="G130" s="86" t="s">
        <v>692</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1103</v>
      </c>
      <c r="B131" s="81" t="s">
        <v>1129</v>
      </c>
      <c r="C131" s="83" t="s">
        <v>1130</v>
      </c>
      <c r="D131" s="85" t="s">
        <v>1131</v>
      </c>
      <c r="E131" s="85" t="s">
        <v>1132</v>
      </c>
      <c r="F131" s="86" t="s">
        <v>783</v>
      </c>
      <c r="G131" s="86" t="s">
        <v>692</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1103</v>
      </c>
      <c r="B132" s="81" t="s">
        <v>1133</v>
      </c>
      <c r="C132" s="83" t="s">
        <v>1134</v>
      </c>
      <c r="D132" s="85" t="s">
        <v>1135</v>
      </c>
      <c r="E132" s="85" t="s">
        <v>1136</v>
      </c>
      <c r="F132" s="86" t="s">
        <v>783</v>
      </c>
      <c r="G132" s="86" t="s">
        <v>692</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1103</v>
      </c>
      <c r="B133" s="81" t="s">
        <v>1137</v>
      </c>
      <c r="C133" s="83" t="s">
        <v>1138</v>
      </c>
      <c r="D133" s="85" t="s">
        <v>1139</v>
      </c>
      <c r="E133" s="85" t="s">
        <v>1140</v>
      </c>
      <c r="F133" s="86" t="s">
        <v>783</v>
      </c>
      <c r="G133" s="86" t="s">
        <v>692</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1141</v>
      </c>
      <c r="B134" s="80">
        <v>15</v>
      </c>
      <c r="C134" s="82" t="s">
        <v>25</v>
      </c>
      <c r="D134" s="84" t="s">
        <v>1142</v>
      </c>
      <c r="E134" s="84" t="s">
        <v>25</v>
      </c>
      <c r="F134" s="80" t="s">
        <v>25</v>
      </c>
      <c r="G134" s="80" t="s">
        <v>25</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1141</v>
      </c>
      <c r="B135" s="81" t="s">
        <v>1143</v>
      </c>
      <c r="C135" s="83" t="s">
        <v>1144</v>
      </c>
      <c r="D135" s="85" t="s">
        <v>1145</v>
      </c>
      <c r="E135" s="85" t="s">
        <v>1146</v>
      </c>
      <c r="F135" s="86" t="s">
        <v>783</v>
      </c>
      <c r="G135" s="86" t="s">
        <v>654</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1141</v>
      </c>
      <c r="B136" s="81" t="s">
        <v>1147</v>
      </c>
      <c r="C136" s="83" t="s">
        <v>1148</v>
      </c>
      <c r="D136" s="85" t="s">
        <v>1149</v>
      </c>
      <c r="E136" s="85" t="s">
        <v>1150</v>
      </c>
      <c r="F136" s="86" t="s">
        <v>760</v>
      </c>
      <c r="G136" s="86" t="s">
        <v>707</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1141</v>
      </c>
      <c r="B137" s="81" t="s">
        <v>1151</v>
      </c>
      <c r="C137" s="83" t="s">
        <v>1152</v>
      </c>
      <c r="D137" s="85" t="s">
        <v>1153</v>
      </c>
      <c r="E137" s="85" t="s">
        <v>1154</v>
      </c>
      <c r="F137" s="86" t="s">
        <v>783</v>
      </c>
      <c r="G137" s="86" t="s">
        <v>707</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1141</v>
      </c>
      <c r="B138" s="81" t="s">
        <v>1155</v>
      </c>
      <c r="C138" s="83" t="s">
        <v>1156</v>
      </c>
      <c r="D138" s="85" t="s">
        <v>1157</v>
      </c>
      <c r="E138" s="85" t="s">
        <v>1158</v>
      </c>
      <c r="F138" s="86" t="s">
        <v>760</v>
      </c>
      <c r="G138" s="86" t="s">
        <v>707</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1141</v>
      </c>
      <c r="B139" s="81" t="s">
        <v>1159</v>
      </c>
      <c r="C139" s="83" t="s">
        <v>1160</v>
      </c>
      <c r="D139" s="85" t="s">
        <v>1161</v>
      </c>
      <c r="E139" s="85" t="s">
        <v>1162</v>
      </c>
      <c r="F139" s="86" t="s">
        <v>783</v>
      </c>
      <c r="G139" s="86" t="s">
        <v>707</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1141</v>
      </c>
      <c r="B140" s="81" t="s">
        <v>1163</v>
      </c>
      <c r="C140" s="83" t="s">
        <v>1164</v>
      </c>
      <c r="D140" s="85" t="s">
        <v>1165</v>
      </c>
      <c r="E140" s="85" t="s">
        <v>1166</v>
      </c>
      <c r="F140" s="86" t="s">
        <v>706</v>
      </c>
      <c r="G140" s="86" t="s">
        <v>707</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1141</v>
      </c>
      <c r="B141" s="81" t="s">
        <v>1167</v>
      </c>
      <c r="C141" s="83" t="s">
        <v>1168</v>
      </c>
      <c r="D141" s="85" t="s">
        <v>1169</v>
      </c>
      <c r="E141" s="85" t="s">
        <v>1170</v>
      </c>
      <c r="F141" s="86" t="s">
        <v>706</v>
      </c>
      <c r="G141" s="86" t="s">
        <v>692</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1171</v>
      </c>
      <c r="B142" s="80">
        <v>16</v>
      </c>
      <c r="C142" s="82" t="s">
        <v>25</v>
      </c>
      <c r="D142" s="84" t="s">
        <v>1172</v>
      </c>
      <c r="E142" s="84" t="s">
        <v>25</v>
      </c>
      <c r="F142" s="80" t="s">
        <v>25</v>
      </c>
      <c r="G142" s="80" t="s">
        <v>25</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1171</v>
      </c>
      <c r="B143" s="81" t="s">
        <v>1173</v>
      </c>
      <c r="C143" s="83" t="s">
        <v>1174</v>
      </c>
      <c r="D143" s="85" t="s">
        <v>1175</v>
      </c>
      <c r="E143" s="85" t="s">
        <v>1176</v>
      </c>
      <c r="F143" s="86" t="s">
        <v>760</v>
      </c>
      <c r="G143" s="86" t="s">
        <v>707</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1171</v>
      </c>
      <c r="B144" s="81" t="s">
        <v>1177</v>
      </c>
      <c r="C144" s="83" t="s">
        <v>1178</v>
      </c>
      <c r="D144" s="85" t="s">
        <v>1179</v>
      </c>
      <c r="E144" s="85" t="s">
        <v>1180</v>
      </c>
      <c r="F144" s="86" t="s">
        <v>760</v>
      </c>
      <c r="G144" s="86" t="s">
        <v>707</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1171</v>
      </c>
      <c r="B145" s="81" t="s">
        <v>1181</v>
      </c>
      <c r="C145" s="83" t="s">
        <v>1182</v>
      </c>
      <c r="D145" s="85" t="s">
        <v>1183</v>
      </c>
      <c r="E145" s="85" t="s">
        <v>1184</v>
      </c>
      <c r="F145" s="86" t="s">
        <v>675</v>
      </c>
      <c r="G145" s="86" t="s">
        <v>662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1171</v>
      </c>
      <c r="B146" s="81" t="s">
        <v>1185</v>
      </c>
      <c r="C146" s="83" t="s">
        <v>1186</v>
      </c>
      <c r="D146" s="85" t="s">
        <v>1187</v>
      </c>
      <c r="E146" s="85" t="s">
        <v>1188</v>
      </c>
      <c r="F146" s="86" t="s">
        <v>675</v>
      </c>
      <c r="G146" s="86" t="s">
        <v>654</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1171</v>
      </c>
      <c r="B147" s="81" t="s">
        <v>1189</v>
      </c>
      <c r="C147" s="83" t="s">
        <v>1190</v>
      </c>
      <c r="D147" s="85" t="s">
        <v>1191</v>
      </c>
      <c r="E147" s="85" t="s">
        <v>1192</v>
      </c>
      <c r="F147" s="86" t="s">
        <v>675</v>
      </c>
      <c r="G147" s="86" t="s">
        <v>692</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1171</v>
      </c>
      <c r="B148" s="81" t="s">
        <v>1193</v>
      </c>
      <c r="C148" s="83" t="s">
        <v>1194</v>
      </c>
      <c r="D148" s="85" t="s">
        <v>1195</v>
      </c>
      <c r="E148" s="85" t="s">
        <v>1196</v>
      </c>
      <c r="F148" s="86" t="s">
        <v>760</v>
      </c>
      <c r="G148" s="86" t="s">
        <v>707</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1171</v>
      </c>
      <c r="B149" s="81" t="s">
        <v>1197</v>
      </c>
      <c r="C149" s="83" t="s">
        <v>1198</v>
      </c>
      <c r="D149" s="85" t="s">
        <v>1199</v>
      </c>
      <c r="E149" s="85" t="s">
        <v>1200</v>
      </c>
      <c r="F149" s="86" t="s">
        <v>675</v>
      </c>
      <c r="G149" s="86" t="s">
        <v>692</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1171</v>
      </c>
      <c r="B150" s="81" t="s">
        <v>1201</v>
      </c>
      <c r="C150" s="83" t="s">
        <v>1202</v>
      </c>
      <c r="D150" s="85" t="s">
        <v>1203</v>
      </c>
      <c r="E150" s="85" t="s">
        <v>1204</v>
      </c>
      <c r="F150" s="86" t="s">
        <v>58</v>
      </c>
      <c r="G150" s="86" t="s">
        <v>692</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1171</v>
      </c>
      <c r="B151" s="81" t="s">
        <v>1205</v>
      </c>
      <c r="C151" s="83" t="s">
        <v>1206</v>
      </c>
      <c r="D151" s="85" t="s">
        <v>1207</v>
      </c>
      <c r="E151" s="85" t="s">
        <v>1208</v>
      </c>
      <c r="F151" s="86" t="s">
        <v>783</v>
      </c>
      <c r="G151" s="86" t="s">
        <v>692</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1171</v>
      </c>
      <c r="B152" s="81" t="s">
        <v>1209</v>
      </c>
      <c r="C152" s="83" t="s">
        <v>1210</v>
      </c>
      <c r="D152" s="85" t="s">
        <v>1211</v>
      </c>
      <c r="E152" s="85" t="s">
        <v>1212</v>
      </c>
      <c r="F152" s="86" t="s">
        <v>675</v>
      </c>
      <c r="G152" s="86" t="s">
        <v>692</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1171</v>
      </c>
      <c r="B153" s="81" t="s">
        <v>1213</v>
      </c>
      <c r="C153" s="83" t="s">
        <v>1214</v>
      </c>
      <c r="D153" s="85" t="s">
        <v>1215</v>
      </c>
      <c r="E153" s="85" t="s">
        <v>1216</v>
      </c>
      <c r="F153" s="86" t="s">
        <v>675</v>
      </c>
      <c r="G153" s="86" t="s">
        <v>692</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1171</v>
      </c>
      <c r="B154" s="81" t="s">
        <v>1217</v>
      </c>
      <c r="C154" s="83" t="s">
        <v>1218</v>
      </c>
      <c r="D154" s="85" t="s">
        <v>1219</v>
      </c>
      <c r="E154" s="85" t="s">
        <v>1220</v>
      </c>
      <c r="F154" s="86" t="s">
        <v>675</v>
      </c>
      <c r="G154" s="86" t="s">
        <v>692</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1171</v>
      </c>
      <c r="B155" s="81" t="s">
        <v>1221</v>
      </c>
      <c r="C155" s="83" t="s">
        <v>1222</v>
      </c>
      <c r="D155" s="85" t="s">
        <v>1223</v>
      </c>
      <c r="E155" s="85" t="s">
        <v>1224</v>
      </c>
      <c r="F155" s="86" t="s">
        <v>675</v>
      </c>
      <c r="G155" s="86" t="s">
        <v>662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1171</v>
      </c>
      <c r="B156" s="81" t="s">
        <v>1225</v>
      </c>
      <c r="C156" s="83" t="s">
        <v>1226</v>
      </c>
      <c r="D156" s="85" t="s">
        <v>1227</v>
      </c>
      <c r="E156" s="85" t="s">
        <v>1228</v>
      </c>
      <c r="F156" s="86" t="s">
        <v>675</v>
      </c>
      <c r="G156" s="86" t="s">
        <v>692</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1229</v>
      </c>
      <c r="B157" s="80">
        <v>17</v>
      </c>
      <c r="C157" s="82" t="s">
        <v>25</v>
      </c>
      <c r="D157" s="84" t="s">
        <v>1230</v>
      </c>
      <c r="E157" s="84" t="s">
        <v>25</v>
      </c>
      <c r="F157" s="80" t="s">
        <v>25</v>
      </c>
      <c r="G157" s="80" t="s">
        <v>25</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1229</v>
      </c>
      <c r="B158" s="81" t="s">
        <v>1231</v>
      </c>
      <c r="C158" s="83" t="s">
        <v>1232</v>
      </c>
      <c r="D158" s="85" t="s">
        <v>1233</v>
      </c>
      <c r="E158" s="85" t="s">
        <v>1234</v>
      </c>
      <c r="F158" s="86" t="s">
        <v>783</v>
      </c>
      <c r="G158" s="86" t="s">
        <v>658</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1229</v>
      </c>
      <c r="B159" s="81" t="s">
        <v>1235</v>
      </c>
      <c r="C159" s="83" t="s">
        <v>1236</v>
      </c>
      <c r="D159" s="85" t="s">
        <v>1237</v>
      </c>
      <c r="E159" s="85" t="s">
        <v>1238</v>
      </c>
      <c r="F159" s="86" t="s">
        <v>760</v>
      </c>
      <c r="G159" s="86" t="s">
        <v>707</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1229</v>
      </c>
      <c r="B160" s="81" t="s">
        <v>1239</v>
      </c>
      <c r="C160" s="83" t="s">
        <v>1240</v>
      </c>
      <c r="D160" s="85" t="s">
        <v>1241</v>
      </c>
      <c r="E160" s="85" t="s">
        <v>1242</v>
      </c>
      <c r="F160" s="86" t="s">
        <v>760</v>
      </c>
      <c r="G160" s="86" t="s">
        <v>707</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1229</v>
      </c>
      <c r="B161" s="81" t="s">
        <v>1243</v>
      </c>
      <c r="C161" s="83" t="s">
        <v>1244</v>
      </c>
      <c r="D161" s="85" t="s">
        <v>1245</v>
      </c>
      <c r="E161" s="85" t="s">
        <v>1246</v>
      </c>
      <c r="F161" s="86" t="s">
        <v>760</v>
      </c>
      <c r="G161" s="86" t="s">
        <v>707</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1229</v>
      </c>
      <c r="B162" s="81" t="s">
        <v>1247</v>
      </c>
      <c r="C162" s="83" t="s">
        <v>1248</v>
      </c>
      <c r="D162" s="85" t="s">
        <v>1249</v>
      </c>
      <c r="E162" s="85" t="s">
        <v>1250</v>
      </c>
      <c r="F162" s="86" t="s">
        <v>783</v>
      </c>
      <c r="G162" s="86" t="s">
        <v>658</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1229</v>
      </c>
      <c r="B163" s="81" t="s">
        <v>1251</v>
      </c>
      <c r="C163" s="83" t="s">
        <v>1252</v>
      </c>
      <c r="D163" s="85" t="s">
        <v>1253</v>
      </c>
      <c r="E163" s="85" t="s">
        <v>1254</v>
      </c>
      <c r="F163" s="86" t="s">
        <v>783</v>
      </c>
      <c r="G163" s="86" t="s">
        <v>658</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1229</v>
      </c>
      <c r="B164" s="81" t="s">
        <v>1255</v>
      </c>
      <c r="C164" s="83" t="s">
        <v>1256</v>
      </c>
      <c r="D164" s="85" t="s">
        <v>1257</v>
      </c>
      <c r="E164" s="85" t="s">
        <v>1258</v>
      </c>
      <c r="F164" s="86" t="s">
        <v>783</v>
      </c>
      <c r="G164" s="86" t="s">
        <v>1010</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1229</v>
      </c>
      <c r="B165" s="81" t="s">
        <v>1259</v>
      </c>
      <c r="C165" s="83" t="s">
        <v>1260</v>
      </c>
      <c r="D165" s="85" t="s">
        <v>1261</v>
      </c>
      <c r="E165" s="85" t="s">
        <v>1262</v>
      </c>
      <c r="F165" s="86" t="s">
        <v>783</v>
      </c>
      <c r="G165" s="86" t="s">
        <v>1010</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1229</v>
      </c>
      <c r="B166" s="81" t="s">
        <v>1263</v>
      </c>
      <c r="C166" s="83" t="s">
        <v>1264</v>
      </c>
      <c r="D166" s="85" t="s">
        <v>1265</v>
      </c>
      <c r="E166" s="85" t="s">
        <v>1266</v>
      </c>
      <c r="F166" s="86" t="s">
        <v>760</v>
      </c>
      <c r="G166" s="86" t="s">
        <v>1010</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1267</v>
      </c>
      <c r="B167" s="80">
        <v>18</v>
      </c>
      <c r="C167" s="82" t="s">
        <v>25</v>
      </c>
      <c r="D167" s="84" t="s">
        <v>1268</v>
      </c>
      <c r="E167" s="84" t="s">
        <v>25</v>
      </c>
      <c r="F167" s="80" t="s">
        <v>25</v>
      </c>
      <c r="G167" s="80" t="s">
        <v>25</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1267</v>
      </c>
      <c r="B168" s="81" t="s">
        <v>1269</v>
      </c>
      <c r="C168" s="83" t="s">
        <v>1270</v>
      </c>
      <c r="D168" s="85" t="s">
        <v>1271</v>
      </c>
      <c r="E168" s="85" t="s">
        <v>1272</v>
      </c>
      <c r="F168" s="86" t="s">
        <v>760</v>
      </c>
      <c r="G168" s="86" t="s">
        <v>707</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1267</v>
      </c>
      <c r="B169" s="81" t="s">
        <v>1273</v>
      </c>
      <c r="C169" s="83" t="s">
        <v>1274</v>
      </c>
      <c r="D169" s="85" t="s">
        <v>1275</v>
      </c>
      <c r="E169" s="85" t="s">
        <v>1276</v>
      </c>
      <c r="F169" s="86" t="s">
        <v>58</v>
      </c>
      <c r="G169" s="86" t="s">
        <v>662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1267</v>
      </c>
      <c r="B170" s="81" t="s">
        <v>1277</v>
      </c>
      <c r="C170" s="83" t="s">
        <v>1278</v>
      </c>
      <c r="D170" s="85" t="s">
        <v>1279</v>
      </c>
      <c r="E170" s="85" t="s">
        <v>1280</v>
      </c>
      <c r="F170" s="86" t="s">
        <v>58</v>
      </c>
      <c r="G170" s="86" t="s">
        <v>692</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1267</v>
      </c>
      <c r="B171" s="81" t="s">
        <v>1281</v>
      </c>
      <c r="C171" s="83" t="s">
        <v>1282</v>
      </c>
      <c r="D171" s="85" t="s">
        <v>1283</v>
      </c>
      <c r="E171" s="85" t="s">
        <v>1284</v>
      </c>
      <c r="F171" s="86" t="s">
        <v>58</v>
      </c>
      <c r="G171" s="86" t="s">
        <v>692</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1267</v>
      </c>
      <c r="B172" s="91" t="s">
        <v>1285</v>
      </c>
      <c r="C172" s="92" t="s">
        <v>1286</v>
      </c>
      <c r="D172" s="93" t="s">
        <v>1287</v>
      </c>
      <c r="E172" s="93" t="s">
        <v>1288</v>
      </c>
      <c r="F172" s="94" t="s">
        <v>58</v>
      </c>
      <c r="G172" s="94" t="s">
        <v>662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357</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IFERROR(INDEX('Recommendations'!$I$2:$I$56, MATCH(J2,'Recommendations'!$B$2:$B$56,0))="Implemented", FALSE))</xm:f>
            <x14:dxf>
              <font>
                <color rgb="FF000000"/>
              </font>
              <fill>
                <patternFill>
                  <bgColor rgb="FF3C7D22"/>
                </patternFill>
              </fill>
            </x14:dxf>
          </x14:cfRule>
          <x14:cfRule type="expression" priority="2" id="{00000000-000E-0000-0400-000002000000}">
            <xm:f>AND(J2&lt;&gt;"", IFERROR(INDEX('Recommendations'!$I$2:$I$56, MATCH(J2,'Recommendations'!$B$2:$B$56,0))="Compensated", FALSE))</xm:f>
            <x14:dxf>
              <font>
                <color rgb="FF000000"/>
              </font>
              <fill>
                <patternFill>
                  <bgColor rgb="FFC6E0B4"/>
                </patternFill>
              </fill>
            </x14:dxf>
          </x14:cfRule>
          <x14:cfRule type="expression" priority="3" id="{00000000-000E-0000-0400-000003000000}">
            <xm:f>AND(J2&lt;&gt;"", IFERROR(INDEX('Recommendations'!$I$2:$I$56, MATCH(J2,'Recommendations'!$B$2:$B$56,0))="Testing", FALSE))</xm:f>
            <x14:dxf>
              <font>
                <color rgb="FF000000"/>
              </font>
              <fill>
                <patternFill>
                  <bgColor rgb="FFFFC000"/>
                </patternFill>
              </fill>
            </x14:dxf>
          </x14:cfRule>
          <x14:cfRule type="expression" priority="4" id="{00000000-000E-0000-0400-000004000000}">
            <xm:f>AND(J2&lt;&gt;"", IFERROR(INDEX('Recommendations'!$I$2:$I$56, MATCH(J2,'Recommendations'!$B$2:$B$56,0))="Failed", FALSE))</xm:f>
            <x14:dxf>
              <font>
                <color rgb="FF000000"/>
              </font>
              <fill>
                <patternFill>
                  <bgColor rgb="FFD82891"/>
                </patternFill>
              </fill>
            </x14:dxf>
          </x14:cfRule>
          <x14:cfRule type="expression" priority="5" id="{00000000-000E-0000-0400-000005000000}">
            <xm:f>AND(J2&lt;&gt;"", IFERROR(INDEX('Recommendations'!$I$2:$I$56, MATCH(J2,'Recommendations'!$B$2:$B$56,0))="Risk Accepted", FALSE))</xm:f>
            <x14:dxf>
              <font>
                <color rgb="FF000000"/>
              </font>
              <fill>
                <patternFill>
                  <bgColor rgb="FFD9D9D9"/>
                </patternFill>
              </fill>
            </x14:dxf>
          </x14:cfRule>
          <x14:cfRule type="expression" priority="6" id="{00000000-000E-0000-0400-000006000000}">
            <xm:f>AND(J2&lt;&gt;"", IFERROR(INDEX('Recommendations'!$I$2:$I$56, MATCH(J2,'Recommendations'!$B$2:$B$56,0))="N/A",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1</v>
      </c>
      <c r="B1" s="121" t="s">
        <v>1289</v>
      </c>
      <c r="C1" s="121" t="s">
        <v>11</v>
      </c>
      <c r="D1" s="121" t="s">
        <v>513</v>
      </c>
      <c r="E1" s="121" t="s">
        <v>1290</v>
      </c>
      <c r="F1" s="121" t="s">
        <v>1291</v>
      </c>
      <c r="G1" s="121" t="s">
        <v>607</v>
      </c>
      <c r="H1" s="121" t="s">
        <v>608</v>
      </c>
      <c r="I1" s="121" t="s">
        <v>609</v>
      </c>
      <c r="J1" s="121" t="s">
        <v>610</v>
      </c>
      <c r="K1" s="121" t="s">
        <v>611</v>
      </c>
      <c r="L1" s="121" t="s">
        <v>612</v>
      </c>
      <c r="M1" s="121" t="s">
        <v>613</v>
      </c>
      <c r="N1" s="121" t="s">
        <v>614</v>
      </c>
      <c r="O1" s="121" t="s">
        <v>615</v>
      </c>
      <c r="P1" s="121" t="s">
        <v>616</v>
      </c>
      <c r="Q1" s="121" t="s">
        <v>617</v>
      </c>
      <c r="R1" s="121" t="s">
        <v>618</v>
      </c>
      <c r="S1" s="121" t="s">
        <v>619</v>
      </c>
      <c r="T1" s="121" t="s">
        <v>620</v>
      </c>
      <c r="U1" s="121" t="s">
        <v>621</v>
      </c>
      <c r="V1" s="121" t="s">
        <v>622</v>
      </c>
      <c r="W1" s="121" t="s">
        <v>623</v>
      </c>
      <c r="X1" s="121" t="s">
        <v>624</v>
      </c>
      <c r="Y1" s="121" t="s">
        <v>625</v>
      </c>
      <c r="Z1" s="121" t="s">
        <v>626</v>
      </c>
      <c r="AA1" s="121" t="s">
        <v>627</v>
      </c>
      <c r="AB1" s="121" t="s">
        <v>628</v>
      </c>
      <c r="AC1" s="121" t="s">
        <v>629</v>
      </c>
      <c r="AD1" s="121" t="s">
        <v>630</v>
      </c>
      <c r="AE1" s="121" t="s">
        <v>631</v>
      </c>
      <c r="AF1" s="121" t="s">
        <v>632</v>
      </c>
      <c r="AG1" s="121" t="s">
        <v>633</v>
      </c>
      <c r="AH1" s="121" t="s">
        <v>634</v>
      </c>
      <c r="AI1" s="121" t="s">
        <v>635</v>
      </c>
      <c r="AJ1" s="121" t="s">
        <v>636</v>
      </c>
      <c r="AK1" s="121" t="s">
        <v>637</v>
      </c>
      <c r="AL1" s="121" t="s">
        <v>638</v>
      </c>
      <c r="AM1" s="121" t="s">
        <v>639</v>
      </c>
      <c r="AN1" s="121" t="s">
        <v>640</v>
      </c>
      <c r="AO1" s="121" t="s">
        <v>641</v>
      </c>
      <c r="AP1" s="121" t="s">
        <v>642</v>
      </c>
      <c r="AQ1" s="121" t="s">
        <v>643</v>
      </c>
      <c r="AR1" s="121" t="s">
        <v>644</v>
      </c>
      <c r="AS1" s="121" t="s">
        <v>645</v>
      </c>
      <c r="AT1" s="121" t="s">
        <v>646</v>
      </c>
      <c r="AU1" s="122" t="s">
        <v>647</v>
      </c>
    </row>
    <row r="2" spans="1:47" ht="60" customHeight="1" x14ac:dyDescent="0.35">
      <c r="A2" s="116" t="s">
        <v>1292</v>
      </c>
      <c r="B2" s="106" t="s">
        <v>1293</v>
      </c>
      <c r="C2" s="107" t="s">
        <v>1294</v>
      </c>
      <c r="D2" s="107" t="s">
        <v>1295</v>
      </c>
      <c r="E2" s="107" t="s">
        <v>1296</v>
      </c>
      <c r="F2" s="108" t="s">
        <v>1297</v>
      </c>
      <c r="G2" s="109">
        <f>IF(COUNTIF(H2:AU2,"&lt;&gt;")=0,"",SUMPRODUCT(((Recommendations[ImplStatus]="Implemented")+(Recommendations[ImplStatus]="Compensated"))*ISNUMBER(MATCH(Recommendations[Id],H2:AU2,0)))/COUNTIF(H2:AU2,"&lt;&gt;"))</f>
        <v>0</v>
      </c>
      <c r="H2" s="110" t="s">
        <v>256</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1298</v>
      </c>
      <c r="B3" s="106" t="s">
        <v>1299</v>
      </c>
      <c r="C3" s="107" t="s">
        <v>1300</v>
      </c>
      <c r="D3" s="107" t="s">
        <v>1301</v>
      </c>
      <c r="E3" s="107" t="s">
        <v>1302</v>
      </c>
      <c r="F3" s="108" t="s">
        <v>1303</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1304</v>
      </c>
      <c r="B4" s="106" t="s">
        <v>1305</v>
      </c>
      <c r="C4" s="107" t="s">
        <v>1306</v>
      </c>
      <c r="D4" s="107" t="s">
        <v>1307</v>
      </c>
      <c r="E4" s="107" t="s">
        <v>1308</v>
      </c>
      <c r="F4" s="108" t="s">
        <v>1309</v>
      </c>
      <c r="G4" s="109">
        <f>IF(COUNTIF(H4:AU4,"&lt;&gt;")=0,"",SUMPRODUCT(((Recommendations[ImplStatus]="Implemented")+(Recommendations[ImplStatus]="Compensated"))*ISNUMBER(MATCH(Recommendations[Id],H4:AU4,0)))/COUNTIF(H4:AU4,"&lt;&gt;"))</f>
        <v>0</v>
      </c>
      <c r="H4" s="110" t="s">
        <v>338</v>
      </c>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1310</v>
      </c>
      <c r="B5" s="106" t="s">
        <v>1311</v>
      </c>
      <c r="C5" s="107" t="s">
        <v>1312</v>
      </c>
      <c r="D5" s="107" t="s">
        <v>1313</v>
      </c>
      <c r="E5" s="107" t="s">
        <v>1314</v>
      </c>
      <c r="F5" s="108" t="s">
        <v>1315</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1316</v>
      </c>
      <c r="B6" s="106" t="s">
        <v>1317</v>
      </c>
      <c r="C6" s="107" t="s">
        <v>1318</v>
      </c>
      <c r="D6" s="107" t="s">
        <v>1319</v>
      </c>
      <c r="E6" s="107" t="s">
        <v>25</v>
      </c>
      <c r="F6" s="108" t="s">
        <v>1320</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1321</v>
      </c>
      <c r="B7" s="106" t="s">
        <v>13</v>
      </c>
      <c r="C7" s="107" t="s">
        <v>1322</v>
      </c>
      <c r="D7" s="107" t="s">
        <v>1323</v>
      </c>
      <c r="E7" s="107" t="s">
        <v>25</v>
      </c>
      <c r="F7" s="108" t="s">
        <v>1324</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1325</v>
      </c>
      <c r="B8" s="106" t="s">
        <v>1326</v>
      </c>
      <c r="C8" s="107" t="s">
        <v>1327</v>
      </c>
      <c r="D8" s="107" t="s">
        <v>1328</v>
      </c>
      <c r="E8" s="107" t="s">
        <v>25</v>
      </c>
      <c r="F8" s="108" t="s">
        <v>1329</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1330</v>
      </c>
      <c r="B9" s="106" t="s">
        <v>1331</v>
      </c>
      <c r="C9" s="107" t="s">
        <v>1332</v>
      </c>
      <c r="D9" s="107" t="s">
        <v>1333</v>
      </c>
      <c r="E9" s="107" t="s">
        <v>25</v>
      </c>
      <c r="F9" s="108" t="s">
        <v>1334</v>
      </c>
      <c r="G9" s="109">
        <f>IF(COUNTIF(H9:AU9,"&lt;&gt;")=0,"",SUMPRODUCT(((Recommendations[ImplStatus]="Implemented")+(Recommendations[ImplStatus]="Compensated"))*ISNUMBER(MATCH(Recommendations[Id],H9:AU9,0)))/COUNTIF(H9:AU9,"&lt;&gt;"))</f>
        <v>0</v>
      </c>
      <c r="H9" s="110" t="s">
        <v>232</v>
      </c>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1335</v>
      </c>
      <c r="B10" s="106" t="s">
        <v>1336</v>
      </c>
      <c r="C10" s="107" t="s">
        <v>1337</v>
      </c>
      <c r="D10" s="107" t="s">
        <v>1338</v>
      </c>
      <c r="E10" s="107" t="s">
        <v>25</v>
      </c>
      <c r="F10" s="108" t="s">
        <v>1339</v>
      </c>
      <c r="G10" s="109">
        <f>IF(COUNTIF(H10:AU10,"&lt;&gt;")=0,"",SUMPRODUCT(((Recommendations[ImplStatus]="Implemented")+(Recommendations[ImplStatus]="Compensated"))*ISNUMBER(MATCH(Recommendations[Id],H10:AU10,0)))/COUNTIF(H10:AU10,"&lt;&gt;"))</f>
        <v>0</v>
      </c>
      <c r="H10" s="110" t="s">
        <v>104</v>
      </c>
      <c r="I10" s="110" t="s">
        <v>226</v>
      </c>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1340</v>
      </c>
      <c r="B11" s="106" t="s">
        <v>1341</v>
      </c>
      <c r="C11" s="107" t="s">
        <v>1342</v>
      </c>
      <c r="D11" s="107" t="s">
        <v>1343</v>
      </c>
      <c r="E11" s="107" t="s">
        <v>25</v>
      </c>
      <c r="F11" s="108" t="s">
        <v>1344</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1345</v>
      </c>
      <c r="B12" s="106" t="s">
        <v>1346</v>
      </c>
      <c r="C12" s="107" t="s">
        <v>1347</v>
      </c>
      <c r="D12" s="107" t="s">
        <v>1348</v>
      </c>
      <c r="E12" s="107" t="s">
        <v>25</v>
      </c>
      <c r="F12" s="108" t="s">
        <v>1349</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1350</v>
      </c>
      <c r="B13" s="106" t="s">
        <v>1351</v>
      </c>
      <c r="C13" s="107" t="s">
        <v>1352</v>
      </c>
      <c r="D13" s="107" t="s">
        <v>1353</v>
      </c>
      <c r="E13" s="107" t="s">
        <v>25</v>
      </c>
      <c r="F13" s="108" t="s">
        <v>1354</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1355</v>
      </c>
      <c r="B14" s="106" t="s">
        <v>1356</v>
      </c>
      <c r="C14" s="107" t="s">
        <v>1357</v>
      </c>
      <c r="D14" s="107" t="s">
        <v>1358</v>
      </c>
      <c r="E14" s="107" t="s">
        <v>25</v>
      </c>
      <c r="F14" s="108" t="s">
        <v>1359</v>
      </c>
      <c r="G14" s="109">
        <f>IF(COUNTIF(H14:AU14,"&lt;&gt;")=0,"",SUMPRODUCT(((Recommendations[ImplStatus]="Implemented")+(Recommendations[ImplStatus]="Compensated"))*ISNUMBER(MATCH(Recommendations[Id],H14:AU14,0)))/COUNTIF(H14:AU14,"&lt;&gt;"))</f>
        <v>0</v>
      </c>
      <c r="H14" s="110" t="s">
        <v>79</v>
      </c>
      <c r="I14" s="110" t="s">
        <v>85</v>
      </c>
      <c r="J14" s="110" t="s">
        <v>201</v>
      </c>
      <c r="K14" s="110" t="s">
        <v>207</v>
      </c>
      <c r="L14" s="110" t="s">
        <v>213</v>
      </c>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1360</v>
      </c>
      <c r="B15" s="106" t="s">
        <v>1361</v>
      </c>
      <c r="C15" s="107" t="s">
        <v>1362</v>
      </c>
      <c r="D15" s="107" t="s">
        <v>1363</v>
      </c>
      <c r="E15" s="107" t="s">
        <v>25</v>
      </c>
      <c r="F15" s="108" t="s">
        <v>1364</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1365</v>
      </c>
      <c r="B16" s="106" t="s">
        <v>1366</v>
      </c>
      <c r="C16" s="107" t="s">
        <v>1367</v>
      </c>
      <c r="D16" s="107" t="s">
        <v>1368</v>
      </c>
      <c r="E16" s="107" t="s">
        <v>25</v>
      </c>
      <c r="F16" s="108" t="s">
        <v>1369</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1370</v>
      </c>
      <c r="B17" s="106" t="s">
        <v>1371</v>
      </c>
      <c r="C17" s="107" t="s">
        <v>1372</v>
      </c>
      <c r="D17" s="107" t="s">
        <v>1373</v>
      </c>
      <c r="E17" s="107" t="s">
        <v>25</v>
      </c>
      <c r="F17" s="108" t="s">
        <v>1374</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1375</v>
      </c>
      <c r="B18" s="106" t="s">
        <v>1376</v>
      </c>
      <c r="C18" s="107" t="s">
        <v>1377</v>
      </c>
      <c r="D18" s="107" t="s">
        <v>1378</v>
      </c>
      <c r="E18" s="107" t="s">
        <v>25</v>
      </c>
      <c r="F18" s="108" t="s">
        <v>1379</v>
      </c>
      <c r="G18" s="109">
        <f>IF(COUNTIF(H18:AU18,"&lt;&gt;")=0,"",SUMPRODUCT(((Recommendations[ImplStatus]="Implemented")+(Recommendations[ImplStatus]="Compensated"))*ISNUMBER(MATCH(Recommendations[Id],H18:AU18,0)))/COUNTIF(H18:AU18,"&lt;&gt;"))</f>
        <v>0</v>
      </c>
      <c r="H18" s="110" t="s">
        <v>104</v>
      </c>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1380</v>
      </c>
      <c r="B19" s="106" t="s">
        <v>1381</v>
      </c>
      <c r="C19" s="107" t="s">
        <v>1382</v>
      </c>
      <c r="D19" s="107" t="s">
        <v>1383</v>
      </c>
      <c r="E19" s="107" t="s">
        <v>25</v>
      </c>
      <c r="F19" s="108" t="s">
        <v>1384</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1385</v>
      </c>
      <c r="B20" s="106" t="s">
        <v>1386</v>
      </c>
      <c r="C20" s="107" t="s">
        <v>1387</v>
      </c>
      <c r="D20" s="107" t="s">
        <v>1388</v>
      </c>
      <c r="E20" s="107" t="s">
        <v>25</v>
      </c>
      <c r="F20" s="108" t="s">
        <v>1389</v>
      </c>
      <c r="G20" s="109">
        <f>IF(COUNTIF(H20:AU20,"&lt;&gt;")=0,"",SUMPRODUCT(((Recommendations[ImplStatus]="Implemented")+(Recommendations[ImplStatus]="Compensated"))*ISNUMBER(MATCH(Recommendations[Id],H20:AU20,0)))/COUNTIF(H20:AU20,"&lt;&gt;"))</f>
        <v>0</v>
      </c>
      <c r="H20" s="110" t="s">
        <v>59</v>
      </c>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1390</v>
      </c>
      <c r="B21" s="106" t="s">
        <v>1391</v>
      </c>
      <c r="C21" s="107" t="s">
        <v>1392</v>
      </c>
      <c r="D21" s="107" t="s">
        <v>1393</v>
      </c>
      <c r="E21" s="107" t="s">
        <v>1394</v>
      </c>
      <c r="F21" s="108" t="s">
        <v>1395</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1396</v>
      </c>
      <c r="B22" s="106" t="s">
        <v>1397</v>
      </c>
      <c r="C22" s="107" t="s">
        <v>1398</v>
      </c>
      <c r="D22" s="107" t="s">
        <v>1399</v>
      </c>
      <c r="E22" s="107" t="s">
        <v>1400</v>
      </c>
      <c r="F22" s="108" t="s">
        <v>1401</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1402</v>
      </c>
      <c r="B23" s="106" t="s">
        <v>1403</v>
      </c>
      <c r="C23" s="107" t="s">
        <v>1404</v>
      </c>
      <c r="D23" s="107" t="s">
        <v>1405</v>
      </c>
      <c r="E23" s="107" t="s">
        <v>1406</v>
      </c>
      <c r="F23" s="108" t="s">
        <v>1407</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1408</v>
      </c>
      <c r="B24" s="106" t="s">
        <v>1409</v>
      </c>
      <c r="C24" s="107" t="s">
        <v>1410</v>
      </c>
      <c r="D24" s="107" t="s">
        <v>1411</v>
      </c>
      <c r="E24" s="107" t="s">
        <v>25</v>
      </c>
      <c r="F24" s="108" t="s">
        <v>1412</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1413</v>
      </c>
      <c r="B25" s="106" t="s">
        <v>1414</v>
      </c>
      <c r="C25" s="107" t="s">
        <v>1415</v>
      </c>
      <c r="D25" s="107" t="s">
        <v>25</v>
      </c>
      <c r="E25" s="107" t="s">
        <v>25</v>
      </c>
      <c r="F25" s="108" t="s">
        <v>1416</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1417</v>
      </c>
      <c r="B26" s="106" t="s">
        <v>1418</v>
      </c>
      <c r="C26" s="107" t="s">
        <v>1419</v>
      </c>
      <c r="D26" s="107" t="s">
        <v>1420</v>
      </c>
      <c r="E26" s="107" t="s">
        <v>25</v>
      </c>
      <c r="F26" s="108" t="s">
        <v>1421</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1422</v>
      </c>
      <c r="B27" s="106" t="s">
        <v>1423</v>
      </c>
      <c r="C27" s="107" t="s">
        <v>1424</v>
      </c>
      <c r="D27" s="107" t="s">
        <v>1425</v>
      </c>
      <c r="E27" s="107" t="s">
        <v>1426</v>
      </c>
      <c r="F27" s="108" t="s">
        <v>1427</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1428</v>
      </c>
      <c r="B28" s="106" t="s">
        <v>1429</v>
      </c>
      <c r="C28" s="107" t="s">
        <v>1430</v>
      </c>
      <c r="D28" s="107" t="s">
        <v>25</v>
      </c>
      <c r="E28" s="107" t="s">
        <v>25</v>
      </c>
      <c r="F28" s="108" t="s">
        <v>1431</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1432</v>
      </c>
      <c r="B29" s="106" t="s">
        <v>1433</v>
      </c>
      <c r="C29" s="107" t="s">
        <v>1434</v>
      </c>
      <c r="D29" s="107" t="s">
        <v>1435</v>
      </c>
      <c r="E29" s="107" t="s">
        <v>1436</v>
      </c>
      <c r="F29" s="108" t="s">
        <v>1437</v>
      </c>
      <c r="G29" s="109">
        <f>IF(COUNTIF(H29:AU29,"&lt;&gt;")=0,"",SUMPRODUCT(((Recommendations[ImplStatus]="Implemented")+(Recommendations[ImplStatus]="Compensated"))*ISNUMBER(MATCH(Recommendations[Id],H29:AU29,0)))/COUNTIF(H29:AU29,"&lt;&gt;"))</f>
        <v>0</v>
      </c>
      <c r="H29" s="110" t="s">
        <v>262</v>
      </c>
      <c r="I29" s="110" t="s">
        <v>268</v>
      </c>
      <c r="J29" s="110" t="s">
        <v>274</v>
      </c>
      <c r="K29" s="110" t="s">
        <v>279</v>
      </c>
      <c r="L29" s="110" t="s">
        <v>284</v>
      </c>
      <c r="M29" s="110" t="s">
        <v>289</v>
      </c>
      <c r="N29" s="110" t="s">
        <v>295</v>
      </c>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1438</v>
      </c>
      <c r="B30" s="106" t="s">
        <v>1439</v>
      </c>
      <c r="C30" s="107" t="s">
        <v>1440</v>
      </c>
      <c r="D30" s="107" t="s">
        <v>1441</v>
      </c>
      <c r="E30" s="107" t="s">
        <v>25</v>
      </c>
      <c r="F30" s="108" t="s">
        <v>1442</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1443</v>
      </c>
      <c r="B31" s="106" t="s">
        <v>1444</v>
      </c>
      <c r="C31" s="107" t="s">
        <v>1445</v>
      </c>
      <c r="D31" s="107" t="s">
        <v>1446</v>
      </c>
      <c r="E31" s="107" t="s">
        <v>1447</v>
      </c>
      <c r="F31" s="108" t="s">
        <v>1448</v>
      </c>
      <c r="G31" s="109">
        <f>IF(COUNTIF(H31:AU31,"&lt;&gt;")=0,"",SUMPRODUCT(((Recommendations[ImplStatus]="Implemented")+(Recommendations[ImplStatus]="Compensated"))*ISNUMBER(MATCH(Recommendations[Id],H31:AU31,0)))/COUNTIF(H31:AU31,"&lt;&gt;"))</f>
        <v>0</v>
      </c>
      <c r="H31" s="110" t="s">
        <v>146</v>
      </c>
      <c r="I31" s="110" t="s">
        <v>152</v>
      </c>
      <c r="J31" s="110" t="s">
        <v>301</v>
      </c>
      <c r="K31" s="110" t="s">
        <v>307</v>
      </c>
      <c r="L31" s="110" t="s">
        <v>314</v>
      </c>
      <c r="M31" s="110" t="s">
        <v>320</v>
      </c>
      <c r="N31" s="110" t="s">
        <v>332</v>
      </c>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1449</v>
      </c>
      <c r="B32" s="106" t="s">
        <v>1450</v>
      </c>
      <c r="C32" s="107" t="s">
        <v>1451</v>
      </c>
      <c r="D32" s="107" t="s">
        <v>1452</v>
      </c>
      <c r="E32" s="107" t="s">
        <v>1453</v>
      </c>
      <c r="F32" s="108" t="s">
        <v>1454</v>
      </c>
      <c r="G32" s="109">
        <f>IF(COUNTIF(H32:AU32,"&lt;&gt;")=0,"",SUMPRODUCT(((Recommendations[ImplStatus]="Implemented")+(Recommendations[ImplStatus]="Compensated"))*ISNUMBER(MATCH(Recommendations[Id],H32:AU32,0)))/COUNTIF(H32:AU32,"&lt;&gt;"))</f>
        <v>0</v>
      </c>
      <c r="H32" s="110" t="s">
        <v>344</v>
      </c>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1455</v>
      </c>
      <c r="B33" s="106" t="s">
        <v>1456</v>
      </c>
      <c r="C33" s="107" t="s">
        <v>1457</v>
      </c>
      <c r="D33" s="107" t="s">
        <v>1458</v>
      </c>
      <c r="E33" s="107" t="s">
        <v>25</v>
      </c>
      <c r="F33" s="108" t="s">
        <v>1459</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1460</v>
      </c>
      <c r="B34" s="106" t="s">
        <v>1461</v>
      </c>
      <c r="C34" s="107" t="s">
        <v>1462</v>
      </c>
      <c r="D34" s="107" t="s">
        <v>1463</v>
      </c>
      <c r="E34" s="107" t="s">
        <v>25</v>
      </c>
      <c r="F34" s="108" t="s">
        <v>1464</v>
      </c>
      <c r="G34" s="109">
        <f>IF(COUNTIF(H34:AU34,"&lt;&gt;")=0,"",SUMPRODUCT(((Recommendations[ImplStatus]="Implemented")+(Recommendations[ImplStatus]="Compensated"))*ISNUMBER(MATCH(Recommendations[Id],H34:AU34,0)))/COUNTIF(H34:AU34,"&lt;&gt;"))</f>
        <v>0</v>
      </c>
      <c r="H34" s="110" t="s">
        <v>220</v>
      </c>
      <c r="I34" s="110" t="s">
        <v>238</v>
      </c>
      <c r="J34" s="110" t="s">
        <v>244</v>
      </c>
      <c r="K34" s="110" t="s">
        <v>250</v>
      </c>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1465</v>
      </c>
      <c r="B35" s="106" t="s">
        <v>1466</v>
      </c>
      <c r="C35" s="107" t="s">
        <v>1467</v>
      </c>
      <c r="D35" s="107" t="s">
        <v>1468</v>
      </c>
      <c r="E35" s="107" t="s">
        <v>1469</v>
      </c>
      <c r="F35" s="108" t="s">
        <v>1470</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1471</v>
      </c>
      <c r="B36" s="106" t="s">
        <v>1472</v>
      </c>
      <c r="C36" s="107" t="s">
        <v>1473</v>
      </c>
      <c r="D36" s="107" t="s">
        <v>1474</v>
      </c>
      <c r="E36" s="107" t="s">
        <v>1475</v>
      </c>
      <c r="F36" s="108" t="s">
        <v>1476</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1477</v>
      </c>
      <c r="B37" s="106" t="s">
        <v>1478</v>
      </c>
      <c r="C37" s="107" t="s">
        <v>1479</v>
      </c>
      <c r="D37" s="107" t="s">
        <v>1480</v>
      </c>
      <c r="E37" s="107" t="s">
        <v>25</v>
      </c>
      <c r="F37" s="108" t="s">
        <v>1481</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1482</v>
      </c>
      <c r="B38" s="106" t="s">
        <v>1483</v>
      </c>
      <c r="C38" s="107" t="s">
        <v>1484</v>
      </c>
      <c r="D38" s="107" t="s">
        <v>1485</v>
      </c>
      <c r="E38" s="107" t="s">
        <v>1486</v>
      </c>
      <c r="F38" s="108" t="s">
        <v>1487</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1488</v>
      </c>
      <c r="B39" s="106" t="s">
        <v>1489</v>
      </c>
      <c r="C39" s="107" t="s">
        <v>1490</v>
      </c>
      <c r="D39" s="107" t="s">
        <v>1491</v>
      </c>
      <c r="E39" s="107" t="s">
        <v>25</v>
      </c>
      <c r="F39" s="108" t="s">
        <v>1492</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1493</v>
      </c>
      <c r="B40" s="106" t="s">
        <v>1494</v>
      </c>
      <c r="C40" s="107" t="s">
        <v>1495</v>
      </c>
      <c r="D40" s="107" t="s">
        <v>1496</v>
      </c>
      <c r="E40" s="107" t="s">
        <v>1497</v>
      </c>
      <c r="F40" s="108" t="s">
        <v>1498</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1499</v>
      </c>
      <c r="B41" s="106" t="s">
        <v>1500</v>
      </c>
      <c r="C41" s="107" t="s">
        <v>1501</v>
      </c>
      <c r="D41" s="107" t="s">
        <v>1502</v>
      </c>
      <c r="E41" s="107" t="s">
        <v>1503</v>
      </c>
      <c r="F41" s="108" t="s">
        <v>1504</v>
      </c>
      <c r="G41" s="109">
        <f>IF(COUNTIF(H41:AU41,"&lt;&gt;")=0,"",SUMPRODUCT(((Recommendations[ImplStatus]="Implemented")+(Recommendations[ImplStatus]="Compensated"))*ISNUMBER(MATCH(Recommendations[Id],H41:AU41,0)))/COUNTIF(H41:AU41,"&lt;&gt;"))</f>
        <v>0</v>
      </c>
      <c r="H41" s="110" t="s">
        <v>18</v>
      </c>
      <c r="I41" s="110" t="s">
        <v>30</v>
      </c>
      <c r="J41" s="110" t="s">
        <v>36</v>
      </c>
      <c r="K41" s="110" t="s">
        <v>42</v>
      </c>
      <c r="L41" s="110" t="s">
        <v>48</v>
      </c>
      <c r="M41" s="110" t="s">
        <v>53</v>
      </c>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1505</v>
      </c>
      <c r="B42" s="106" t="s">
        <v>1506</v>
      </c>
      <c r="C42" s="107" t="s">
        <v>1507</v>
      </c>
      <c r="D42" s="107" t="s">
        <v>1508</v>
      </c>
      <c r="E42" s="107" t="s">
        <v>1509</v>
      </c>
      <c r="F42" s="108" t="s">
        <v>1510</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1511</v>
      </c>
      <c r="B43" s="106" t="s">
        <v>1512</v>
      </c>
      <c r="C43" s="107" t="s">
        <v>1513</v>
      </c>
      <c r="D43" s="107" t="s">
        <v>1514</v>
      </c>
      <c r="E43" s="107" t="s">
        <v>1515</v>
      </c>
      <c r="F43" s="108" t="s">
        <v>1516</v>
      </c>
      <c r="G43" s="109">
        <f>IF(COUNTIF(H43:AU43,"&lt;&gt;")=0,"",SUMPRODUCT(((Recommendations[ImplStatus]="Implemented")+(Recommendations[ImplStatus]="Compensated"))*ISNUMBER(MATCH(Recommendations[Id],H43:AU43,0)))/COUNTIF(H43:AU43,"&lt;&gt;"))</f>
        <v>0</v>
      </c>
      <c r="H43" s="110" t="s">
        <v>158</v>
      </c>
      <c r="I43" s="110" t="s">
        <v>314</v>
      </c>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1517</v>
      </c>
      <c r="B44" s="106" t="s">
        <v>1518</v>
      </c>
      <c r="C44" s="107" t="s">
        <v>1519</v>
      </c>
      <c r="D44" s="107" t="s">
        <v>1520</v>
      </c>
      <c r="E44" s="107" t="s">
        <v>25</v>
      </c>
      <c r="F44" s="108" t="s">
        <v>1521</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1522</v>
      </c>
      <c r="B45" s="111" t="s">
        <v>1523</v>
      </c>
      <c r="C45" s="112" t="s">
        <v>1524</v>
      </c>
      <c r="D45" s="112" t="s">
        <v>1525</v>
      </c>
      <c r="E45" s="112" t="s">
        <v>1526</v>
      </c>
      <c r="F45" s="113" t="s">
        <v>1527</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357</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IFERROR(INDEX('Recommendations'!$I$2:$I$56, MATCH(H2,'Recommendations'!$B$2:$B$56,0))="Implemented", FALSE))</xm:f>
            <x14:dxf>
              <font>
                <color rgb="FF000000"/>
              </font>
              <fill>
                <patternFill>
                  <bgColor rgb="FF3C7D22"/>
                </patternFill>
              </fill>
            </x14:dxf>
          </x14:cfRule>
          <x14:cfRule type="expression" priority="2" id="{00000000-000E-0000-0500-000002000000}">
            <xm:f>AND(H2&lt;&gt;"", IFERROR(INDEX('Recommendations'!$I$2:$I$56, MATCH(H2,'Recommendations'!$B$2:$B$56,0))="Compensated", FALSE))</xm:f>
            <x14:dxf>
              <font>
                <color rgb="FF000000"/>
              </font>
              <fill>
                <patternFill>
                  <bgColor rgb="FFC6E0B4"/>
                </patternFill>
              </fill>
            </x14:dxf>
          </x14:cfRule>
          <x14:cfRule type="expression" priority="3" id="{00000000-000E-0000-0500-000003000000}">
            <xm:f>AND(H2&lt;&gt;"", IFERROR(INDEX('Recommendations'!$I$2:$I$56, MATCH(H2,'Recommendations'!$B$2:$B$56,0))="Testing", FALSE))</xm:f>
            <x14:dxf>
              <font>
                <color rgb="FF000000"/>
              </font>
              <fill>
                <patternFill>
                  <bgColor rgb="FFFFC000"/>
                </patternFill>
              </fill>
            </x14:dxf>
          </x14:cfRule>
          <x14:cfRule type="expression" priority="4" id="{00000000-000E-0000-0500-000004000000}">
            <xm:f>AND(H2&lt;&gt;"", IFERROR(INDEX('Recommendations'!$I$2:$I$56, MATCH(H2,'Recommendations'!$B$2:$B$56,0))="Failed", FALSE))</xm:f>
            <x14:dxf>
              <font>
                <color rgb="FF000000"/>
              </font>
              <fill>
                <patternFill>
                  <bgColor rgb="FFD82891"/>
                </patternFill>
              </fill>
            </x14:dxf>
          </x14:cfRule>
          <x14:cfRule type="expression" priority="5" id="{00000000-000E-0000-0500-000005000000}">
            <xm:f>AND(H2&lt;&gt;"", IFERROR(INDEX('Recommendations'!$I$2:$I$56, MATCH(H2,'Recommendations'!$B$2:$B$56,0))="Risk Accepted", FALSE))</xm:f>
            <x14:dxf>
              <font>
                <color rgb="FF000000"/>
              </font>
              <fill>
                <patternFill>
                  <bgColor rgb="FFD9D9D9"/>
                </patternFill>
              </fill>
            </x14:dxf>
          </x14:cfRule>
          <x14:cfRule type="expression" priority="6" id="{00000000-000E-0000-0500-000006000000}">
            <xm:f>AND(H2&lt;&gt;"", IFERROR(INDEX('Recommendations'!$I$2:$I$56, MATCH(H2,'Recommendations'!$B$2:$B$56,0))="N/A",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1528</v>
      </c>
      <c r="B1" s="145" t="s">
        <v>601</v>
      </c>
      <c r="C1" s="145" t="s">
        <v>1</v>
      </c>
      <c r="D1" s="145" t="s">
        <v>602</v>
      </c>
      <c r="E1" s="145" t="s">
        <v>1529</v>
      </c>
      <c r="F1" s="145" t="s">
        <v>1530</v>
      </c>
      <c r="G1" s="145" t="s">
        <v>1531</v>
      </c>
      <c r="H1" s="145" t="s">
        <v>1532</v>
      </c>
      <c r="I1" s="145" t="s">
        <v>607</v>
      </c>
      <c r="J1" s="145" t="s">
        <v>608</v>
      </c>
      <c r="K1" s="145" t="s">
        <v>609</v>
      </c>
      <c r="L1" s="145" t="s">
        <v>610</v>
      </c>
      <c r="M1" s="145" t="s">
        <v>611</v>
      </c>
      <c r="N1" s="145" t="s">
        <v>612</v>
      </c>
      <c r="O1" s="145" t="s">
        <v>613</v>
      </c>
      <c r="P1" s="145" t="s">
        <v>614</v>
      </c>
      <c r="Q1" s="145" t="s">
        <v>615</v>
      </c>
      <c r="R1" s="145" t="s">
        <v>616</v>
      </c>
      <c r="S1" s="145" t="s">
        <v>617</v>
      </c>
      <c r="T1" s="145" t="s">
        <v>618</v>
      </c>
      <c r="U1" s="145" t="s">
        <v>619</v>
      </c>
      <c r="V1" s="145" t="s">
        <v>620</v>
      </c>
      <c r="W1" s="145" t="s">
        <v>621</v>
      </c>
      <c r="X1" s="145" t="s">
        <v>622</v>
      </c>
      <c r="Y1" s="145" t="s">
        <v>623</v>
      </c>
      <c r="Z1" s="145" t="s">
        <v>624</v>
      </c>
      <c r="AA1" s="145" t="s">
        <v>625</v>
      </c>
      <c r="AB1" s="145" t="s">
        <v>626</v>
      </c>
      <c r="AC1" s="145" t="s">
        <v>627</v>
      </c>
      <c r="AD1" s="145" t="s">
        <v>628</v>
      </c>
      <c r="AE1" s="145" t="s">
        <v>629</v>
      </c>
      <c r="AF1" s="145" t="s">
        <v>630</v>
      </c>
      <c r="AG1" s="145" t="s">
        <v>631</v>
      </c>
      <c r="AH1" s="145" t="s">
        <v>632</v>
      </c>
      <c r="AI1" s="145" t="s">
        <v>633</v>
      </c>
      <c r="AJ1" s="145" t="s">
        <v>634</v>
      </c>
      <c r="AK1" s="145" t="s">
        <v>635</v>
      </c>
      <c r="AL1" s="145" t="s">
        <v>636</v>
      </c>
      <c r="AM1" s="145" t="s">
        <v>637</v>
      </c>
      <c r="AN1" s="145" t="s">
        <v>638</v>
      </c>
      <c r="AO1" s="145" t="s">
        <v>639</v>
      </c>
      <c r="AP1" s="145" t="s">
        <v>640</v>
      </c>
      <c r="AQ1" s="145" t="s">
        <v>641</v>
      </c>
      <c r="AR1" s="145" t="s">
        <v>642</v>
      </c>
      <c r="AS1" s="145" t="s">
        <v>643</v>
      </c>
      <c r="AT1" s="145" t="s">
        <v>644</v>
      </c>
      <c r="AU1" s="145" t="s">
        <v>645</v>
      </c>
      <c r="AV1" s="145" t="s">
        <v>646</v>
      </c>
      <c r="AW1" s="146" t="s">
        <v>647</v>
      </c>
    </row>
    <row r="2" spans="1:49" ht="60" customHeight="1" outlineLevel="1" x14ac:dyDescent="0.35">
      <c r="A2" s="138" t="s">
        <v>1533</v>
      </c>
      <c r="B2" s="124"/>
      <c r="C2" s="123" t="s">
        <v>1534</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1533</v>
      </c>
      <c r="B3" s="125" t="s">
        <v>804</v>
      </c>
      <c r="C3" s="126" t="s">
        <v>1535</v>
      </c>
      <c r="D3" s="128" t="s">
        <v>1536</v>
      </c>
      <c r="E3" s="128" t="s">
        <v>1537</v>
      </c>
      <c r="F3" s="128" t="s">
        <v>1538</v>
      </c>
      <c r="G3" s="128" t="s">
        <v>1539</v>
      </c>
      <c r="H3" s="128" t="s">
        <v>1540</v>
      </c>
      <c r="I3" s="130">
        <f>IF(COUNTIF(J3:AW3,"&lt;&gt;")=0,"",SUMPRODUCT(((Recommendations[ImplStatus]="Implemented")+(Recommendations[ImplStatus]="Compensated"))*ISNUMBER(MATCH(Recommendations[Id],J3:AW3,0)))/COUNTIF(J3:AW3,"&lt;&gt;"))</f>
        <v>0</v>
      </c>
      <c r="J3" s="132" t="s">
        <v>146</v>
      </c>
      <c r="K3" s="132" t="s">
        <v>152</v>
      </c>
      <c r="L3" s="132" t="s">
        <v>158</v>
      </c>
      <c r="M3" s="132" t="s">
        <v>314</v>
      </c>
      <c r="N3" s="132" t="s">
        <v>332</v>
      </c>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1533</v>
      </c>
      <c r="B4" s="125" t="s">
        <v>1541</v>
      </c>
      <c r="C4" s="126" t="s">
        <v>1542</v>
      </c>
      <c r="D4" s="128" t="s">
        <v>1543</v>
      </c>
      <c r="E4" s="128" t="s">
        <v>1544</v>
      </c>
      <c r="F4" s="128" t="s">
        <v>1545</v>
      </c>
      <c r="G4" s="128" t="s">
        <v>1546</v>
      </c>
      <c r="H4" s="128" t="s">
        <v>1547</v>
      </c>
      <c r="I4" s="130">
        <f>IF(COUNTIF(J4:AW4,"&lt;&gt;")=0,"",SUMPRODUCT(((Recommendations[ImplStatus]="Implemented")+(Recommendations[ImplStatus]="Compensated"))*ISNUMBER(MATCH(Recommendations[Id],J4:AW4,0)))/COUNTIF(J4:AW4,"&lt;&gt;"))</f>
        <v>0</v>
      </c>
      <c r="J4" s="132" t="s">
        <v>188</v>
      </c>
      <c r="K4" s="132" t="s">
        <v>220</v>
      </c>
      <c r="L4" s="132" t="s">
        <v>238</v>
      </c>
      <c r="M4" s="132" t="s">
        <v>244</v>
      </c>
      <c r="N4" s="132" t="s">
        <v>250</v>
      </c>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1533</v>
      </c>
      <c r="B5" s="125" t="s">
        <v>1548</v>
      </c>
      <c r="C5" s="126" t="s">
        <v>1549</v>
      </c>
      <c r="D5" s="128" t="s">
        <v>1550</v>
      </c>
      <c r="E5" s="128" t="s">
        <v>1551</v>
      </c>
      <c r="F5" s="128" t="s">
        <v>1552</v>
      </c>
      <c r="G5" s="128" t="s">
        <v>1553</v>
      </c>
      <c r="H5" s="128" t="s">
        <v>1554</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1533</v>
      </c>
      <c r="B6" s="125" t="s">
        <v>1555</v>
      </c>
      <c r="C6" s="126" t="s">
        <v>1556</v>
      </c>
      <c r="D6" s="128" t="s">
        <v>1557</v>
      </c>
      <c r="E6" s="128" t="s">
        <v>1558</v>
      </c>
      <c r="F6" s="128" t="s">
        <v>1559</v>
      </c>
      <c r="G6" s="128" t="s">
        <v>1560</v>
      </c>
      <c r="H6" s="128" t="s">
        <v>1561</v>
      </c>
      <c r="I6" s="130">
        <f>IF(COUNTIF(J6:AW6,"&lt;&gt;")=0,"",SUMPRODUCT(((Recommendations[ImplStatus]="Implemented")+(Recommendations[ImplStatus]="Compensated"))*ISNUMBER(MATCH(Recommendations[Id],J6:AW6,0)))/COUNTIF(J6:AW6,"&lt;&gt;"))</f>
        <v>0</v>
      </c>
      <c r="J6" s="132" t="s">
        <v>320</v>
      </c>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1533</v>
      </c>
      <c r="B7" s="125" t="s">
        <v>1562</v>
      </c>
      <c r="C7" s="126" t="s">
        <v>1563</v>
      </c>
      <c r="D7" s="128" t="s">
        <v>1564</v>
      </c>
      <c r="E7" s="128" t="s">
        <v>1565</v>
      </c>
      <c r="F7" s="128" t="s">
        <v>1566</v>
      </c>
      <c r="G7" s="128" t="s">
        <v>1567</v>
      </c>
      <c r="H7" s="128" t="s">
        <v>1568</v>
      </c>
      <c r="I7" s="130">
        <f>IF(COUNTIF(J7:AW7,"&lt;&gt;")=0,"",SUMPRODUCT(((Recommendations[ImplStatus]="Implemented")+(Recommendations[ImplStatus]="Compensated"))*ISNUMBER(MATCH(Recommendations[Id],J7:AW7,0)))/COUNTIF(J7:AW7,"&lt;&gt;"))</f>
        <v>0</v>
      </c>
      <c r="J7" s="132" t="s">
        <v>301</v>
      </c>
      <c r="K7" s="132" t="s">
        <v>307</v>
      </c>
      <c r="L7" s="132" t="s">
        <v>314</v>
      </c>
      <c r="M7" s="132" t="s">
        <v>320</v>
      </c>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1533</v>
      </c>
      <c r="B8" s="125" t="s">
        <v>1569</v>
      </c>
      <c r="C8" s="126" t="s">
        <v>1570</v>
      </c>
      <c r="D8" s="128" t="s">
        <v>1571</v>
      </c>
      <c r="E8" s="128" t="s">
        <v>1572</v>
      </c>
      <c r="F8" s="128" t="s">
        <v>1573</v>
      </c>
      <c r="G8" s="128" t="s">
        <v>1567</v>
      </c>
      <c r="H8" s="128" t="s">
        <v>1574</v>
      </c>
      <c r="I8" s="130">
        <f>IF(COUNTIF(J8:AW8,"&lt;&gt;")=0,"",SUMPRODUCT(((Recommendations[ImplStatus]="Implemented")+(Recommendations[ImplStatus]="Compensated"))*ISNUMBER(MATCH(Recommendations[Id],J8:AW8,0)))/COUNTIF(J8:AW8,"&lt;&gt;"))</f>
        <v>0</v>
      </c>
      <c r="J8" s="132" t="s">
        <v>301</v>
      </c>
      <c r="K8" s="132" t="s">
        <v>307</v>
      </c>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1533</v>
      </c>
      <c r="B9" s="125" t="s">
        <v>1575</v>
      </c>
      <c r="C9" s="126" t="s">
        <v>1576</v>
      </c>
      <c r="D9" s="128" t="s">
        <v>1577</v>
      </c>
      <c r="E9" s="128" t="s">
        <v>1578</v>
      </c>
      <c r="F9" s="128" t="s">
        <v>1579</v>
      </c>
      <c r="G9" s="128" t="s">
        <v>1580</v>
      </c>
      <c r="H9" s="128" t="s">
        <v>1581</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1533</v>
      </c>
      <c r="B10" s="125" t="s">
        <v>1582</v>
      </c>
      <c r="C10" s="126" t="s">
        <v>1583</v>
      </c>
      <c r="D10" s="128" t="s">
        <v>1584</v>
      </c>
      <c r="E10" s="128" t="s">
        <v>1585</v>
      </c>
      <c r="F10" s="128" t="s">
        <v>1586</v>
      </c>
      <c r="G10" s="128" t="s">
        <v>1587</v>
      </c>
      <c r="H10" s="128" t="s">
        <v>1588</v>
      </c>
      <c r="I10" s="130">
        <f>IF(COUNTIF(J10:AW10,"&lt;&gt;")=0,"",SUMPRODUCT(((Recommendations[ImplStatus]="Implemented")+(Recommendations[ImplStatus]="Compensated"))*ISNUMBER(MATCH(Recommendations[Id],J10:AW10,0)))/COUNTIF(J10:AW10,"&lt;&gt;"))</f>
        <v>0</v>
      </c>
      <c r="J10" s="132" t="s">
        <v>256</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1533</v>
      </c>
      <c r="B11" s="125" t="s">
        <v>1589</v>
      </c>
      <c r="C11" s="126" t="s">
        <v>1590</v>
      </c>
      <c r="D11" s="128" t="s">
        <v>1591</v>
      </c>
      <c r="E11" s="128" t="s">
        <v>1592</v>
      </c>
      <c r="F11" s="128" t="s">
        <v>1593</v>
      </c>
      <c r="G11" s="128" t="s">
        <v>1594</v>
      </c>
      <c r="H11" s="128" t="s">
        <v>1595</v>
      </c>
      <c r="I11" s="130">
        <f>IF(COUNTIF(J11:AW11,"&lt;&gt;")=0,"",SUMPRODUCT(((Recommendations[ImplStatus]="Implemented")+(Recommendations[ImplStatus]="Compensated"))*ISNUMBER(MATCH(Recommendations[Id],J11:AW11,0)))/COUNTIF(J11:AW11,"&lt;&gt;"))</f>
        <v>0</v>
      </c>
      <c r="J11" s="132" t="s">
        <v>122</v>
      </c>
      <c r="K11" s="132" t="s">
        <v>326</v>
      </c>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1533</v>
      </c>
      <c r="B12" s="125" t="s">
        <v>1596</v>
      </c>
      <c r="C12" s="126" t="s">
        <v>1597</v>
      </c>
      <c r="D12" s="128" t="s">
        <v>1598</v>
      </c>
      <c r="E12" s="128" t="s">
        <v>1599</v>
      </c>
      <c r="F12" s="128" t="s">
        <v>1600</v>
      </c>
      <c r="G12" s="128" t="s">
        <v>1587</v>
      </c>
      <c r="H12" s="128" t="s">
        <v>1601</v>
      </c>
      <c r="I12" s="130">
        <f>IF(COUNTIF(J12:AW12,"&lt;&gt;")=0,"",SUMPRODUCT(((Recommendations[ImplStatus]="Implemented")+(Recommendations[ImplStatus]="Compensated"))*ISNUMBER(MATCH(Recommendations[Id],J12:AW12,0)))/COUNTIF(J12:AW12,"&lt;&gt;"))</f>
        <v>0</v>
      </c>
      <c r="J12" s="132" t="s">
        <v>110</v>
      </c>
      <c r="K12" s="132" t="s">
        <v>116</v>
      </c>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1533</v>
      </c>
      <c r="B13" s="125" t="s">
        <v>1602</v>
      </c>
      <c r="C13" s="126" t="s">
        <v>1603</v>
      </c>
      <c r="D13" s="128" t="s">
        <v>1604</v>
      </c>
      <c r="E13" s="128" t="s">
        <v>1605</v>
      </c>
      <c r="F13" s="128" t="s">
        <v>1606</v>
      </c>
      <c r="G13" s="128" t="s">
        <v>1587</v>
      </c>
      <c r="H13" s="128" t="s">
        <v>1607</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1533</v>
      </c>
      <c r="B14" s="125" t="s">
        <v>1608</v>
      </c>
      <c r="C14" s="126" t="s">
        <v>1609</v>
      </c>
      <c r="D14" s="128" t="s">
        <v>1610</v>
      </c>
      <c r="E14" s="128" t="s">
        <v>1611</v>
      </c>
      <c r="F14" s="128" t="s">
        <v>1612</v>
      </c>
      <c r="G14" s="128" t="s">
        <v>1613</v>
      </c>
      <c r="H14" s="128" t="s">
        <v>1614</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1533</v>
      </c>
      <c r="B15" s="125" t="s">
        <v>1615</v>
      </c>
      <c r="C15" s="126" t="s">
        <v>1616</v>
      </c>
      <c r="D15" s="128" t="s">
        <v>1617</v>
      </c>
      <c r="E15" s="128" t="s">
        <v>1618</v>
      </c>
      <c r="F15" s="128" t="s">
        <v>1619</v>
      </c>
      <c r="G15" s="128" t="s">
        <v>1620</v>
      </c>
      <c r="H15" s="128" t="s">
        <v>1621</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1533</v>
      </c>
      <c r="B16" s="125" t="s">
        <v>1622</v>
      </c>
      <c r="C16" s="126" t="s">
        <v>1623</v>
      </c>
      <c r="D16" s="128" t="s">
        <v>1624</v>
      </c>
      <c r="E16" s="128" t="s">
        <v>1625</v>
      </c>
      <c r="F16" s="128" t="s">
        <v>1626</v>
      </c>
      <c r="G16" s="128" t="s">
        <v>1627</v>
      </c>
      <c r="H16" s="128" t="s">
        <v>1628</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1533</v>
      </c>
      <c r="B17" s="125" t="s">
        <v>1629</v>
      </c>
      <c r="C17" s="126" t="s">
        <v>1630</v>
      </c>
      <c r="D17" s="128" t="s">
        <v>1631</v>
      </c>
      <c r="E17" s="128" t="s">
        <v>1632</v>
      </c>
      <c r="F17" s="128" t="s">
        <v>1633</v>
      </c>
      <c r="G17" s="128" t="s">
        <v>1634</v>
      </c>
      <c r="H17" s="128" t="s">
        <v>1635</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1533</v>
      </c>
      <c r="B18" s="125" t="s">
        <v>1636</v>
      </c>
      <c r="C18" s="126" t="s">
        <v>1637</v>
      </c>
      <c r="D18" s="128" t="s">
        <v>1638</v>
      </c>
      <c r="E18" s="128" t="s">
        <v>1639</v>
      </c>
      <c r="F18" s="128" t="s">
        <v>25</v>
      </c>
      <c r="G18" s="128" t="s">
        <v>25</v>
      </c>
      <c r="H18" s="128" t="s">
        <v>25</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1640</v>
      </c>
      <c r="B19" s="124"/>
      <c r="C19" s="123" t="s">
        <v>1641</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1640</v>
      </c>
      <c r="B20" s="125" t="s">
        <v>1642</v>
      </c>
      <c r="C20" s="126" t="s">
        <v>1643</v>
      </c>
      <c r="D20" s="128" t="s">
        <v>1644</v>
      </c>
      <c r="E20" s="128" t="s">
        <v>1645</v>
      </c>
      <c r="F20" s="128" t="s">
        <v>1646</v>
      </c>
      <c r="G20" s="128" t="s">
        <v>1647</v>
      </c>
      <c r="H20" s="128" t="s">
        <v>1648</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1640</v>
      </c>
      <c r="B21" s="125" t="s">
        <v>1649</v>
      </c>
      <c r="C21" s="126" t="s">
        <v>1650</v>
      </c>
      <c r="D21" s="128" t="s">
        <v>1651</v>
      </c>
      <c r="E21" s="128" t="s">
        <v>1652</v>
      </c>
      <c r="F21" s="128" t="s">
        <v>1653</v>
      </c>
      <c r="G21" s="128" t="s">
        <v>1654</v>
      </c>
      <c r="H21" s="128" t="s">
        <v>1655</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1656</v>
      </c>
      <c r="B22" s="124"/>
      <c r="C22" s="123" t="s">
        <v>1657</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1656</v>
      </c>
      <c r="B23" s="125" t="s">
        <v>1658</v>
      </c>
      <c r="C23" s="126" t="s">
        <v>1659</v>
      </c>
      <c r="D23" s="128" t="s">
        <v>1660</v>
      </c>
      <c r="E23" s="128" t="s">
        <v>1661</v>
      </c>
      <c r="F23" s="128" t="s">
        <v>1662</v>
      </c>
      <c r="G23" s="128" t="s">
        <v>1663</v>
      </c>
      <c r="H23" s="128" t="s">
        <v>1664</v>
      </c>
      <c r="I23" s="130">
        <f>IF(COUNTIF(J23:AW23,"&lt;&gt;")=0,"",SUMPRODUCT(((Recommendations[ImplStatus]="Implemented")+(Recommendations[ImplStatus]="Compensated"))*ISNUMBER(MATCH(Recommendations[Id],J23:AW23,0)))/COUNTIF(J23:AW23,"&lt;&gt;"))</f>
        <v>0</v>
      </c>
      <c r="J23" s="132" t="s">
        <v>165</v>
      </c>
      <c r="K23" s="132" t="s">
        <v>170</v>
      </c>
      <c r="L23" s="132" t="s">
        <v>194</v>
      </c>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1656</v>
      </c>
      <c r="B24" s="125" t="s">
        <v>1665</v>
      </c>
      <c r="C24" s="126" t="s">
        <v>1666</v>
      </c>
      <c r="D24" s="128" t="s">
        <v>1667</v>
      </c>
      <c r="E24" s="128" t="s">
        <v>1668</v>
      </c>
      <c r="F24" s="128" t="s">
        <v>1669</v>
      </c>
      <c r="G24" s="128" t="s">
        <v>1670</v>
      </c>
      <c r="H24" s="128" t="s">
        <v>1671</v>
      </c>
      <c r="I24" s="130">
        <f>IF(COUNTIF(J24:AW24,"&lt;&gt;")=0,"",SUMPRODUCT(((Recommendations[ImplStatus]="Implemented")+(Recommendations[ImplStatus]="Compensated"))*ISNUMBER(MATCH(Recommendations[Id],J24:AW24,0)))/COUNTIF(J24:AW24,"&lt;&gt;"))</f>
        <v>0</v>
      </c>
      <c r="J24" s="132" t="s">
        <v>170</v>
      </c>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1656</v>
      </c>
      <c r="B25" s="125" t="s">
        <v>1672</v>
      </c>
      <c r="C25" s="126" t="s">
        <v>1673</v>
      </c>
      <c r="D25" s="128" t="s">
        <v>1674</v>
      </c>
      <c r="E25" s="128" t="s">
        <v>1675</v>
      </c>
      <c r="F25" s="128" t="s">
        <v>1676</v>
      </c>
      <c r="G25" s="128" t="s">
        <v>1677</v>
      </c>
      <c r="H25" s="128" t="s">
        <v>1678</v>
      </c>
      <c r="I25" s="130">
        <f>IF(COUNTIF(J25:AW25,"&lt;&gt;")=0,"",SUMPRODUCT(((Recommendations[ImplStatus]="Implemented")+(Recommendations[ImplStatus]="Compensated"))*ISNUMBER(MATCH(Recommendations[Id],J25:AW25,0)))/COUNTIF(J25:AW25,"&lt;&gt;"))</f>
        <v>0</v>
      </c>
      <c r="J25" s="132" t="s">
        <v>175</v>
      </c>
      <c r="K25" s="132" t="s">
        <v>181</v>
      </c>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1656</v>
      </c>
      <c r="B26" s="125" t="s">
        <v>1679</v>
      </c>
      <c r="C26" s="126" t="s">
        <v>1680</v>
      </c>
      <c r="D26" s="128" t="s">
        <v>1681</v>
      </c>
      <c r="E26" s="128" t="s">
        <v>1682</v>
      </c>
      <c r="F26" s="128" t="s">
        <v>1683</v>
      </c>
      <c r="G26" s="128" t="s">
        <v>1670</v>
      </c>
      <c r="H26" s="128" t="s">
        <v>1684</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1656</v>
      </c>
      <c r="B27" s="125" t="s">
        <v>1685</v>
      </c>
      <c r="C27" s="126" t="s">
        <v>1686</v>
      </c>
      <c r="D27" s="128" t="s">
        <v>1687</v>
      </c>
      <c r="E27" s="128" t="s">
        <v>1688</v>
      </c>
      <c r="F27" s="128" t="s">
        <v>1689</v>
      </c>
      <c r="G27" s="128" t="s">
        <v>1690</v>
      </c>
      <c r="H27" s="128" t="s">
        <v>1691</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1656</v>
      </c>
      <c r="B28" s="125" t="s">
        <v>1692</v>
      </c>
      <c r="C28" s="126" t="s">
        <v>1693</v>
      </c>
      <c r="D28" s="128" t="s">
        <v>1694</v>
      </c>
      <c r="E28" s="128" t="s">
        <v>1695</v>
      </c>
      <c r="F28" s="128" t="s">
        <v>1696</v>
      </c>
      <c r="G28" s="128" t="s">
        <v>1697</v>
      </c>
      <c r="H28" s="128" t="s">
        <v>1698</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1656</v>
      </c>
      <c r="B29" s="125" t="s">
        <v>1699</v>
      </c>
      <c r="C29" s="126" t="s">
        <v>1700</v>
      </c>
      <c r="D29" s="128" t="s">
        <v>1701</v>
      </c>
      <c r="E29" s="128" t="s">
        <v>1702</v>
      </c>
      <c r="F29" s="128" t="s">
        <v>1703</v>
      </c>
      <c r="G29" s="128" t="s">
        <v>1587</v>
      </c>
      <c r="H29" s="128" t="s">
        <v>1704</v>
      </c>
      <c r="I29" s="130">
        <f>IF(COUNTIF(J29:AW29,"&lt;&gt;")=0,"",SUMPRODUCT(((Recommendations[ImplStatus]="Implemented")+(Recommendations[ImplStatus]="Compensated"))*ISNUMBER(MATCH(Recommendations[Id],J29:AW29,0)))/COUNTIF(J29:AW29,"&lt;&gt;"))</f>
        <v>0</v>
      </c>
      <c r="J29" s="132" t="s">
        <v>66</v>
      </c>
      <c r="K29" s="132" t="s">
        <v>72</v>
      </c>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1656</v>
      </c>
      <c r="B30" s="125" t="s">
        <v>1705</v>
      </c>
      <c r="C30" s="126" t="s">
        <v>1706</v>
      </c>
      <c r="D30" s="128" t="s">
        <v>1707</v>
      </c>
      <c r="E30" s="128" t="s">
        <v>1708</v>
      </c>
      <c r="F30" s="128" t="s">
        <v>1709</v>
      </c>
      <c r="G30" s="128" t="s">
        <v>1670</v>
      </c>
      <c r="H30" s="128" t="s">
        <v>1710</v>
      </c>
      <c r="I30" s="130">
        <f>IF(COUNTIF(J30:AW30,"&lt;&gt;")=0,"",SUMPRODUCT(((Recommendations[ImplStatus]="Implemented")+(Recommendations[ImplStatus]="Compensated"))*ISNUMBER(MATCH(Recommendations[Id],J30:AW30,0)))/COUNTIF(J30:AW30,"&lt;&gt;"))</f>
        <v>0</v>
      </c>
      <c r="J30" s="132" t="s">
        <v>188</v>
      </c>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1711</v>
      </c>
      <c r="B31" s="124"/>
      <c r="C31" s="123" t="s">
        <v>1712</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1711</v>
      </c>
      <c r="B32" s="125" t="s">
        <v>1713</v>
      </c>
      <c r="C32" s="126" t="s">
        <v>1714</v>
      </c>
      <c r="D32" s="128" t="s">
        <v>1715</v>
      </c>
      <c r="E32" s="128" t="s">
        <v>1716</v>
      </c>
      <c r="F32" s="128" t="s">
        <v>1717</v>
      </c>
      <c r="G32" s="128" t="s">
        <v>1718</v>
      </c>
      <c r="H32" s="128" t="s">
        <v>1719</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1711</v>
      </c>
      <c r="B33" s="125" t="s">
        <v>1720</v>
      </c>
      <c r="C33" s="126" t="s">
        <v>1721</v>
      </c>
      <c r="D33" s="128" t="s">
        <v>1722</v>
      </c>
      <c r="E33" s="128" t="s">
        <v>1723</v>
      </c>
      <c r="F33" s="128" t="s">
        <v>1724</v>
      </c>
      <c r="G33" s="128" t="s">
        <v>1725</v>
      </c>
      <c r="H33" s="128" t="s">
        <v>1726</v>
      </c>
      <c r="I33" s="130">
        <f>IF(COUNTIF(J33:AW33,"&lt;&gt;")=0,"",SUMPRODUCT(((Recommendations[ImplStatus]="Implemented")+(Recommendations[ImplStatus]="Compensated"))*ISNUMBER(MATCH(Recommendations[Id],J33:AW33,0)))/COUNTIF(J33:AW33,"&lt;&gt;"))</f>
        <v>0</v>
      </c>
      <c r="J33" s="132" t="s">
        <v>232</v>
      </c>
      <c r="K33" s="132" t="s">
        <v>238</v>
      </c>
      <c r="L33" s="132" t="s">
        <v>244</v>
      </c>
      <c r="M33" s="132" t="s">
        <v>250</v>
      </c>
      <c r="N33" s="132" t="s">
        <v>344</v>
      </c>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1711</v>
      </c>
      <c r="B34" s="125" t="s">
        <v>1727</v>
      </c>
      <c r="C34" s="126" t="s">
        <v>1728</v>
      </c>
      <c r="D34" s="128" t="s">
        <v>1729</v>
      </c>
      <c r="E34" s="128" t="s">
        <v>1730</v>
      </c>
      <c r="F34" s="128" t="s">
        <v>1731</v>
      </c>
      <c r="G34" s="128" t="s">
        <v>1732</v>
      </c>
      <c r="H34" s="128" t="s">
        <v>1733</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1711</v>
      </c>
      <c r="B35" s="125" t="s">
        <v>1734</v>
      </c>
      <c r="C35" s="126" t="s">
        <v>1735</v>
      </c>
      <c r="D35" s="128" t="s">
        <v>1736</v>
      </c>
      <c r="E35" s="128" t="s">
        <v>1737</v>
      </c>
      <c r="F35" s="128" t="s">
        <v>1738</v>
      </c>
      <c r="G35" s="128" t="s">
        <v>1739</v>
      </c>
      <c r="H35" s="128" t="s">
        <v>1740</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1711</v>
      </c>
      <c r="B36" s="125" t="s">
        <v>1741</v>
      </c>
      <c r="C36" s="126" t="s">
        <v>1742</v>
      </c>
      <c r="D36" s="128" t="s">
        <v>1743</v>
      </c>
      <c r="E36" s="128" t="s">
        <v>1744</v>
      </c>
      <c r="F36" s="128" t="s">
        <v>1745</v>
      </c>
      <c r="G36" s="128" t="s">
        <v>1746</v>
      </c>
      <c r="H36" s="128" t="s">
        <v>1747</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1711</v>
      </c>
      <c r="B37" s="125" t="s">
        <v>1748</v>
      </c>
      <c r="C37" s="126" t="s">
        <v>1749</v>
      </c>
      <c r="D37" s="128" t="s">
        <v>1750</v>
      </c>
      <c r="E37" s="128" t="s">
        <v>1751</v>
      </c>
      <c r="F37" s="128" t="s">
        <v>1752</v>
      </c>
      <c r="G37" s="128" t="s">
        <v>1753</v>
      </c>
      <c r="H37" s="128" t="s">
        <v>1754</v>
      </c>
      <c r="I37" s="130">
        <f>IF(COUNTIF(J37:AW37,"&lt;&gt;")=0,"",SUMPRODUCT(((Recommendations[ImplStatus]="Implemented")+(Recommendations[ImplStatus]="Compensated"))*ISNUMBER(MATCH(Recommendations[Id],J37:AW37,0)))/COUNTIF(J37:AW37,"&lt;&gt;"))</f>
        <v>0</v>
      </c>
      <c r="J37" s="132" t="s">
        <v>79</v>
      </c>
      <c r="K37" s="132" t="s">
        <v>85</v>
      </c>
      <c r="L37" s="132" t="s">
        <v>93</v>
      </c>
      <c r="M37" s="132" t="s">
        <v>201</v>
      </c>
      <c r="N37" s="132" t="s">
        <v>207</v>
      </c>
      <c r="O37" s="132" t="s">
        <v>213</v>
      </c>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1711</v>
      </c>
      <c r="B38" s="125" t="s">
        <v>1755</v>
      </c>
      <c r="C38" s="126" t="s">
        <v>1756</v>
      </c>
      <c r="D38" s="128" t="s">
        <v>1757</v>
      </c>
      <c r="E38" s="128" t="s">
        <v>1758</v>
      </c>
      <c r="F38" s="128" t="s">
        <v>1759</v>
      </c>
      <c r="G38" s="128" t="s">
        <v>1760</v>
      </c>
      <c r="H38" s="128" t="s">
        <v>1761</v>
      </c>
      <c r="I38" s="130">
        <f>IF(COUNTIF(J38:AW38,"&lt;&gt;")=0,"",SUMPRODUCT(((Recommendations[ImplStatus]="Implemented")+(Recommendations[ImplStatus]="Compensated"))*ISNUMBER(MATCH(Recommendations[Id],J38:AW38,0)))/COUNTIF(J38:AW38,"&lt;&gt;"))</f>
        <v>0</v>
      </c>
      <c r="J38" s="132" t="s">
        <v>104</v>
      </c>
      <c r="K38" s="132" t="s">
        <v>226</v>
      </c>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1711</v>
      </c>
      <c r="B39" s="125" t="s">
        <v>1762</v>
      </c>
      <c r="C39" s="126" t="s">
        <v>1763</v>
      </c>
      <c r="D39" s="128" t="s">
        <v>1764</v>
      </c>
      <c r="E39" s="128" t="s">
        <v>1765</v>
      </c>
      <c r="F39" s="128" t="s">
        <v>1766</v>
      </c>
      <c r="G39" s="128" t="s">
        <v>1767</v>
      </c>
      <c r="H39" s="128" t="s">
        <v>1768</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1711</v>
      </c>
      <c r="B40" s="125" t="s">
        <v>1769</v>
      </c>
      <c r="C40" s="126" t="s">
        <v>1770</v>
      </c>
      <c r="D40" s="128" t="s">
        <v>1771</v>
      </c>
      <c r="E40" s="128" t="s">
        <v>1772</v>
      </c>
      <c r="F40" s="128" t="s">
        <v>1773</v>
      </c>
      <c r="G40" s="128" t="s">
        <v>1774</v>
      </c>
      <c r="H40" s="128" t="s">
        <v>1775</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1711</v>
      </c>
      <c r="B41" s="125" t="s">
        <v>1776</v>
      </c>
      <c r="C41" s="126" t="s">
        <v>1777</v>
      </c>
      <c r="D41" s="128" t="s">
        <v>1778</v>
      </c>
      <c r="E41" s="128" t="s">
        <v>1779</v>
      </c>
      <c r="F41" s="128" t="s">
        <v>1780</v>
      </c>
      <c r="G41" s="128" t="s">
        <v>1718</v>
      </c>
      <c r="H41" s="128" t="s">
        <v>1781</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1782</v>
      </c>
      <c r="B42" s="124"/>
      <c r="C42" s="123" t="s">
        <v>1783</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1782</v>
      </c>
      <c r="B43" s="125" t="s">
        <v>1784</v>
      </c>
      <c r="C43" s="126" t="s">
        <v>1785</v>
      </c>
      <c r="D43" s="128" t="s">
        <v>1786</v>
      </c>
      <c r="E43" s="128" t="s">
        <v>1787</v>
      </c>
      <c r="F43" s="128" t="s">
        <v>1788</v>
      </c>
      <c r="G43" s="128" t="s">
        <v>1789</v>
      </c>
      <c r="H43" s="128" t="s">
        <v>1790</v>
      </c>
      <c r="I43" s="130">
        <f>IF(COUNTIF(J43:AW43,"&lt;&gt;")=0,"",SUMPRODUCT(((Recommendations[ImplStatus]="Implemented")+(Recommendations[ImplStatus]="Compensated"))*ISNUMBER(MATCH(Recommendations[Id],J43:AW43,0)))/COUNTIF(J43:AW43,"&lt;&gt;"))</f>
        <v>0</v>
      </c>
      <c r="J43" s="132" t="s">
        <v>128</v>
      </c>
      <c r="K43" s="132" t="s">
        <v>146</v>
      </c>
      <c r="L43" s="132" t="s">
        <v>158</v>
      </c>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1782</v>
      </c>
      <c r="B44" s="125" t="s">
        <v>1791</v>
      </c>
      <c r="C44" s="126" t="s">
        <v>1792</v>
      </c>
      <c r="D44" s="128" t="s">
        <v>1793</v>
      </c>
      <c r="E44" s="128" t="s">
        <v>1794</v>
      </c>
      <c r="F44" s="128" t="s">
        <v>1795</v>
      </c>
      <c r="G44" s="128" t="s">
        <v>1796</v>
      </c>
      <c r="H44" s="128" t="s">
        <v>1797</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1782</v>
      </c>
      <c r="B45" s="125" t="s">
        <v>1798</v>
      </c>
      <c r="C45" s="126" t="s">
        <v>1799</v>
      </c>
      <c r="D45" s="128" t="s">
        <v>1800</v>
      </c>
      <c r="E45" s="128" t="s">
        <v>1801</v>
      </c>
      <c r="F45" s="128" t="s">
        <v>1802</v>
      </c>
      <c r="G45" s="128" t="s">
        <v>1803</v>
      </c>
      <c r="H45" s="128" t="s">
        <v>1804</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1782</v>
      </c>
      <c r="B46" s="125" t="s">
        <v>1805</v>
      </c>
      <c r="C46" s="126" t="s">
        <v>1806</v>
      </c>
      <c r="D46" s="128" t="s">
        <v>1807</v>
      </c>
      <c r="E46" s="128" t="s">
        <v>1808</v>
      </c>
      <c r="F46" s="128" t="s">
        <v>1809</v>
      </c>
      <c r="G46" s="128" t="s">
        <v>1803</v>
      </c>
      <c r="H46" s="128" t="s">
        <v>1810</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1782</v>
      </c>
      <c r="B47" s="125" t="s">
        <v>1811</v>
      </c>
      <c r="C47" s="126" t="s">
        <v>1812</v>
      </c>
      <c r="D47" s="128" t="s">
        <v>1813</v>
      </c>
      <c r="E47" s="128" t="s">
        <v>1814</v>
      </c>
      <c r="F47" s="128" t="s">
        <v>1815</v>
      </c>
      <c r="G47" s="128" t="s">
        <v>1816</v>
      </c>
      <c r="H47" s="128" t="s">
        <v>1817</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1782</v>
      </c>
      <c r="B48" s="125" t="s">
        <v>255</v>
      </c>
      <c r="C48" s="126" t="s">
        <v>1818</v>
      </c>
      <c r="D48" s="128" t="s">
        <v>1819</v>
      </c>
      <c r="E48" s="128" t="s">
        <v>1820</v>
      </c>
      <c r="F48" s="128" t="s">
        <v>1821</v>
      </c>
      <c r="G48" s="128" t="s">
        <v>1822</v>
      </c>
      <c r="H48" s="128" t="s">
        <v>1823</v>
      </c>
      <c r="I48" s="130">
        <f>IF(COUNTIF(J48:AW48,"&lt;&gt;")=0,"",SUMPRODUCT(((Recommendations[ImplStatus]="Implemented")+(Recommendations[ImplStatus]="Compensated"))*ISNUMBER(MATCH(Recommendations[Id],J48:AW48,0)))/COUNTIF(J48:AW48,"&lt;&gt;"))</f>
        <v>0</v>
      </c>
      <c r="J48" s="132" t="s">
        <v>262</v>
      </c>
      <c r="K48" s="132" t="s">
        <v>268</v>
      </c>
      <c r="L48" s="132" t="s">
        <v>274</v>
      </c>
      <c r="M48" s="132" t="s">
        <v>279</v>
      </c>
      <c r="N48" s="132" t="s">
        <v>284</v>
      </c>
      <c r="O48" s="132" t="s">
        <v>289</v>
      </c>
      <c r="P48" s="132" t="s">
        <v>295</v>
      </c>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1782</v>
      </c>
      <c r="B49" s="125" t="s">
        <v>1824</v>
      </c>
      <c r="C49" s="126" t="s">
        <v>1825</v>
      </c>
      <c r="D49" s="128" t="s">
        <v>1826</v>
      </c>
      <c r="E49" s="128" t="s">
        <v>1827</v>
      </c>
      <c r="F49" s="128" t="s">
        <v>1828</v>
      </c>
      <c r="G49" s="128" t="s">
        <v>1587</v>
      </c>
      <c r="H49" s="128" t="s">
        <v>1829</v>
      </c>
      <c r="I49" s="130">
        <f>IF(COUNTIF(J49:AW49,"&lt;&gt;")=0,"",SUMPRODUCT(((Recommendations[ImplStatus]="Implemented")+(Recommendations[ImplStatus]="Compensated"))*ISNUMBER(MATCH(Recommendations[Id],J49:AW49,0)))/COUNTIF(J49:AW49,"&lt;&gt;"))</f>
        <v>0</v>
      </c>
      <c r="J49" s="132" t="s">
        <v>133</v>
      </c>
      <c r="K49" s="132" t="s">
        <v>140</v>
      </c>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1782</v>
      </c>
      <c r="B50" s="125" t="s">
        <v>1830</v>
      </c>
      <c r="C50" s="126" t="s">
        <v>1831</v>
      </c>
      <c r="D50" s="128" t="s">
        <v>1832</v>
      </c>
      <c r="E50" s="128" t="s">
        <v>1833</v>
      </c>
      <c r="F50" s="128" t="s">
        <v>1834</v>
      </c>
      <c r="G50" s="128" t="s">
        <v>1835</v>
      </c>
      <c r="H50" s="128" t="s">
        <v>1836</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1837</v>
      </c>
      <c r="B51" s="124"/>
      <c r="C51" s="123" t="s">
        <v>1838</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1837</v>
      </c>
      <c r="B52" s="125" t="s">
        <v>1839</v>
      </c>
      <c r="C52" s="126" t="s">
        <v>1840</v>
      </c>
      <c r="D52" s="128" t="s">
        <v>1841</v>
      </c>
      <c r="E52" s="128" t="s">
        <v>1842</v>
      </c>
      <c r="F52" s="128" t="s">
        <v>1843</v>
      </c>
      <c r="G52" s="128" t="s">
        <v>1844</v>
      </c>
      <c r="H52" s="128" t="s">
        <v>1845</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1837</v>
      </c>
      <c r="B53" s="125" t="s">
        <v>1846</v>
      </c>
      <c r="C53" s="126" t="s">
        <v>1847</v>
      </c>
      <c r="D53" s="128" t="s">
        <v>1848</v>
      </c>
      <c r="E53" s="128" t="s">
        <v>1849</v>
      </c>
      <c r="F53" s="128" t="s">
        <v>1850</v>
      </c>
      <c r="G53" s="128" t="s">
        <v>1851</v>
      </c>
      <c r="H53" s="128" t="s">
        <v>1852</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1837</v>
      </c>
      <c r="B54" s="125" t="s">
        <v>1853</v>
      </c>
      <c r="C54" s="126" t="s">
        <v>1854</v>
      </c>
      <c r="D54" s="128" t="s">
        <v>1855</v>
      </c>
      <c r="E54" s="128" t="s">
        <v>1856</v>
      </c>
      <c r="F54" s="128" t="s">
        <v>1857</v>
      </c>
      <c r="G54" s="128" t="s">
        <v>1858</v>
      </c>
      <c r="H54" s="128" t="s">
        <v>25</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1837</v>
      </c>
      <c r="B55" s="125" t="s">
        <v>1859</v>
      </c>
      <c r="C55" s="126" t="s">
        <v>1860</v>
      </c>
      <c r="D55" s="128" t="s">
        <v>1861</v>
      </c>
      <c r="E55" s="128" t="s">
        <v>1862</v>
      </c>
      <c r="F55" s="128" t="s">
        <v>1863</v>
      </c>
      <c r="G55" s="128" t="s">
        <v>1864</v>
      </c>
      <c r="H55" s="128" t="s">
        <v>25</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1837</v>
      </c>
      <c r="B56" s="125" t="s">
        <v>1865</v>
      </c>
      <c r="C56" s="126" t="s">
        <v>1866</v>
      </c>
      <c r="D56" s="128" t="s">
        <v>1867</v>
      </c>
      <c r="E56" s="128" t="s">
        <v>1868</v>
      </c>
      <c r="F56" s="128" t="s">
        <v>1869</v>
      </c>
      <c r="G56" s="128" t="s">
        <v>1870</v>
      </c>
      <c r="H56" s="128" t="s">
        <v>1871</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1872</v>
      </c>
      <c r="B57" s="124"/>
      <c r="C57" s="123" t="s">
        <v>1873</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1872</v>
      </c>
      <c r="B58" s="125" t="s">
        <v>1874</v>
      </c>
      <c r="C58" s="126" t="s">
        <v>1875</v>
      </c>
      <c r="D58" s="128" t="s">
        <v>1876</v>
      </c>
      <c r="E58" s="128" t="s">
        <v>1877</v>
      </c>
      <c r="F58" s="128" t="s">
        <v>1878</v>
      </c>
      <c r="G58" s="128" t="s">
        <v>1879</v>
      </c>
      <c r="H58" s="128" t="s">
        <v>1880</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1872</v>
      </c>
      <c r="B59" s="125" t="s">
        <v>1881</v>
      </c>
      <c r="C59" s="126" t="s">
        <v>1882</v>
      </c>
      <c r="D59" s="128" t="s">
        <v>1883</v>
      </c>
      <c r="E59" s="128" t="s">
        <v>1884</v>
      </c>
      <c r="F59" s="128" t="s">
        <v>1885</v>
      </c>
      <c r="G59" s="128" t="s">
        <v>1886</v>
      </c>
      <c r="H59" s="128" t="s">
        <v>1887</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1872</v>
      </c>
      <c r="B60" s="125" t="s">
        <v>1888</v>
      </c>
      <c r="C60" s="126" t="s">
        <v>1889</v>
      </c>
      <c r="D60" s="128" t="s">
        <v>1890</v>
      </c>
      <c r="E60" s="128" t="s">
        <v>1891</v>
      </c>
      <c r="F60" s="128" t="s">
        <v>1892</v>
      </c>
      <c r="G60" s="128" t="s">
        <v>1893</v>
      </c>
      <c r="H60" s="128" t="s">
        <v>1894</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1895</v>
      </c>
      <c r="B61" s="124"/>
      <c r="C61" s="123" t="s">
        <v>1896</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1895</v>
      </c>
      <c r="B62" s="125" t="s">
        <v>1897</v>
      </c>
      <c r="C62" s="126" t="s">
        <v>1898</v>
      </c>
      <c r="D62" s="128" t="s">
        <v>1899</v>
      </c>
      <c r="E62" s="128" t="s">
        <v>1900</v>
      </c>
      <c r="F62" s="128" t="s">
        <v>1901</v>
      </c>
      <c r="G62" s="128" t="s">
        <v>1902</v>
      </c>
      <c r="H62" s="128" t="s">
        <v>1903</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1895</v>
      </c>
      <c r="B63" s="125" t="s">
        <v>1904</v>
      </c>
      <c r="C63" s="126" t="s">
        <v>1905</v>
      </c>
      <c r="D63" s="128" t="s">
        <v>1906</v>
      </c>
      <c r="E63" s="128" t="s">
        <v>1907</v>
      </c>
      <c r="F63" s="128" t="s">
        <v>1908</v>
      </c>
      <c r="G63" s="128" t="s">
        <v>1909</v>
      </c>
      <c r="H63" s="128" t="s">
        <v>1910</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1895</v>
      </c>
      <c r="B64" s="125" t="s">
        <v>1911</v>
      </c>
      <c r="C64" s="126" t="s">
        <v>1912</v>
      </c>
      <c r="D64" s="128" t="s">
        <v>1913</v>
      </c>
      <c r="E64" s="128" t="s">
        <v>1914</v>
      </c>
      <c r="F64" s="128" t="s">
        <v>1915</v>
      </c>
      <c r="G64" s="128" t="s">
        <v>1916</v>
      </c>
      <c r="H64" s="128" t="s">
        <v>1917</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1895</v>
      </c>
      <c r="B65" s="125" t="s">
        <v>1918</v>
      </c>
      <c r="C65" s="126" t="s">
        <v>1919</v>
      </c>
      <c r="D65" s="128" t="s">
        <v>1920</v>
      </c>
      <c r="E65" s="128" t="s">
        <v>1921</v>
      </c>
      <c r="F65" s="128" t="s">
        <v>1922</v>
      </c>
      <c r="G65" s="128" t="s">
        <v>1923</v>
      </c>
      <c r="H65" s="128" t="s">
        <v>1924</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1895</v>
      </c>
      <c r="B66" s="125" t="s">
        <v>1925</v>
      </c>
      <c r="C66" s="126" t="s">
        <v>1926</v>
      </c>
      <c r="D66" s="128" t="s">
        <v>1927</v>
      </c>
      <c r="E66" s="128" t="s">
        <v>1928</v>
      </c>
      <c r="F66" s="128" t="s">
        <v>1929</v>
      </c>
      <c r="G66" s="128" t="s">
        <v>1930</v>
      </c>
      <c r="H66" s="128" t="s">
        <v>1931</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1895</v>
      </c>
      <c r="B67" s="125" t="s">
        <v>1932</v>
      </c>
      <c r="C67" s="126" t="s">
        <v>1933</v>
      </c>
      <c r="D67" s="128" t="s">
        <v>1934</v>
      </c>
      <c r="E67" s="128" t="s">
        <v>1935</v>
      </c>
      <c r="F67" s="128" t="s">
        <v>1936</v>
      </c>
      <c r="G67" s="128" t="s">
        <v>1937</v>
      </c>
      <c r="H67" s="128" t="s">
        <v>1938</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1895</v>
      </c>
      <c r="B68" s="125" t="s">
        <v>1939</v>
      </c>
      <c r="C68" s="126" t="s">
        <v>1940</v>
      </c>
      <c r="D68" s="128" t="s">
        <v>1941</v>
      </c>
      <c r="E68" s="128" t="s">
        <v>1942</v>
      </c>
      <c r="F68" s="128" t="s">
        <v>1943</v>
      </c>
      <c r="G68" s="128" t="s">
        <v>1944</v>
      </c>
      <c r="H68" s="128" t="s">
        <v>1945</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1946</v>
      </c>
      <c r="B69" s="124"/>
      <c r="C69" s="123" t="s">
        <v>1947</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1946</v>
      </c>
      <c r="B70" s="125" t="s">
        <v>1948</v>
      </c>
      <c r="C70" s="126" t="s">
        <v>1949</v>
      </c>
      <c r="D70" s="128" t="s">
        <v>1950</v>
      </c>
      <c r="E70" s="128" t="s">
        <v>1951</v>
      </c>
      <c r="F70" s="128" t="s">
        <v>1952</v>
      </c>
      <c r="G70" s="128" t="s">
        <v>1953</v>
      </c>
      <c r="H70" s="128" t="s">
        <v>1954</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1946</v>
      </c>
      <c r="B71" s="125" t="s">
        <v>1955</v>
      </c>
      <c r="C71" s="126" t="s">
        <v>1956</v>
      </c>
      <c r="D71" s="128" t="s">
        <v>1957</v>
      </c>
      <c r="E71" s="128" t="s">
        <v>1958</v>
      </c>
      <c r="F71" s="128" t="s">
        <v>1959</v>
      </c>
      <c r="G71" s="128" t="s">
        <v>1960</v>
      </c>
      <c r="H71" s="128" t="s">
        <v>1961</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1962</v>
      </c>
      <c r="B72" s="124"/>
      <c r="C72" s="123" t="s">
        <v>1963</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1962</v>
      </c>
      <c r="B73" s="125" t="s">
        <v>1964</v>
      </c>
      <c r="C73" s="126" t="s">
        <v>1965</v>
      </c>
      <c r="D73" s="128" t="s">
        <v>1966</v>
      </c>
      <c r="E73" s="128" t="s">
        <v>1967</v>
      </c>
      <c r="F73" s="128" t="s">
        <v>1968</v>
      </c>
      <c r="G73" s="128" t="s">
        <v>1969</v>
      </c>
      <c r="H73" s="128" t="s">
        <v>1970</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1962</v>
      </c>
      <c r="B74" s="125" t="s">
        <v>1971</v>
      </c>
      <c r="C74" s="126" t="s">
        <v>1972</v>
      </c>
      <c r="D74" s="128" t="s">
        <v>1973</v>
      </c>
      <c r="E74" s="128" t="s">
        <v>1974</v>
      </c>
      <c r="F74" s="128" t="s">
        <v>1975</v>
      </c>
      <c r="G74" s="128" t="s">
        <v>1976</v>
      </c>
      <c r="H74" s="128" t="s">
        <v>1977</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1962</v>
      </c>
      <c r="B75" s="125" t="s">
        <v>1978</v>
      </c>
      <c r="C75" s="126" t="s">
        <v>1979</v>
      </c>
      <c r="D75" s="128" t="s">
        <v>1980</v>
      </c>
      <c r="E75" s="128" t="s">
        <v>1981</v>
      </c>
      <c r="F75" s="128" t="s">
        <v>1982</v>
      </c>
      <c r="G75" s="128" t="s">
        <v>1983</v>
      </c>
      <c r="H75" s="128" t="s">
        <v>1984</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1962</v>
      </c>
      <c r="B76" s="125" t="s">
        <v>1985</v>
      </c>
      <c r="C76" s="126" t="s">
        <v>1986</v>
      </c>
      <c r="D76" s="128" t="s">
        <v>1987</v>
      </c>
      <c r="E76" s="128" t="s">
        <v>1988</v>
      </c>
      <c r="F76" s="128" t="s">
        <v>1989</v>
      </c>
      <c r="G76" s="128" t="s">
        <v>1990</v>
      </c>
      <c r="H76" s="128" t="s">
        <v>1991</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1962</v>
      </c>
      <c r="B77" s="125" t="s">
        <v>1992</v>
      </c>
      <c r="C77" s="126" t="s">
        <v>1993</v>
      </c>
      <c r="D77" s="128" t="s">
        <v>1994</v>
      </c>
      <c r="E77" s="128" t="s">
        <v>1995</v>
      </c>
      <c r="F77" s="128" t="s">
        <v>1996</v>
      </c>
      <c r="G77" s="128" t="s">
        <v>1990</v>
      </c>
      <c r="H77" s="128" t="s">
        <v>1997</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1998</v>
      </c>
      <c r="B78" s="124"/>
      <c r="C78" s="123" t="s">
        <v>1999</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1998</v>
      </c>
      <c r="B79" s="125" t="s">
        <v>1998</v>
      </c>
      <c r="C79" s="126" t="s">
        <v>2000</v>
      </c>
      <c r="D79" s="128" t="s">
        <v>2001</v>
      </c>
      <c r="E79" s="128" t="s">
        <v>2002</v>
      </c>
      <c r="F79" s="128" t="s">
        <v>2003</v>
      </c>
      <c r="G79" s="128" t="s">
        <v>2004</v>
      </c>
      <c r="H79" s="128" t="s">
        <v>2005</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1998</v>
      </c>
      <c r="B80" s="125" t="s">
        <v>2006</v>
      </c>
      <c r="C80" s="126" t="s">
        <v>2007</v>
      </c>
      <c r="D80" s="128" t="s">
        <v>2008</v>
      </c>
      <c r="E80" s="128" t="s">
        <v>2009</v>
      </c>
      <c r="F80" s="128" t="s">
        <v>2010</v>
      </c>
      <c r="G80" s="128" t="s">
        <v>2011</v>
      </c>
      <c r="H80" s="128" t="s">
        <v>2012</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1998</v>
      </c>
      <c r="B81" s="125" t="s">
        <v>2013</v>
      </c>
      <c r="C81" s="126" t="s">
        <v>2014</v>
      </c>
      <c r="D81" s="128" t="s">
        <v>2015</v>
      </c>
      <c r="E81" s="128" t="s">
        <v>2016</v>
      </c>
      <c r="F81" s="128" t="s">
        <v>2017</v>
      </c>
      <c r="G81" s="128" t="s">
        <v>2018</v>
      </c>
      <c r="H81" s="128" t="s">
        <v>2019</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2020</v>
      </c>
      <c r="B82" s="124"/>
      <c r="C82" s="123" t="s">
        <v>2021</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2020</v>
      </c>
      <c r="B83" s="125" t="s">
        <v>2022</v>
      </c>
      <c r="C83" s="126" t="s">
        <v>2023</v>
      </c>
      <c r="D83" s="128" t="s">
        <v>2024</v>
      </c>
      <c r="E83" s="128" t="s">
        <v>2025</v>
      </c>
      <c r="F83" s="128" t="s">
        <v>2026</v>
      </c>
      <c r="G83" s="128" t="s">
        <v>2027</v>
      </c>
      <c r="H83" s="128" t="s">
        <v>2028</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2020</v>
      </c>
      <c r="B84" s="125" t="s">
        <v>2029</v>
      </c>
      <c r="C84" s="126" t="s">
        <v>2030</v>
      </c>
      <c r="D84" s="128" t="s">
        <v>2031</v>
      </c>
      <c r="E84" s="128" t="s">
        <v>2032</v>
      </c>
      <c r="F84" s="128" t="s">
        <v>2033</v>
      </c>
      <c r="G84" s="128" t="s">
        <v>2034</v>
      </c>
      <c r="H84" s="128" t="s">
        <v>2035</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2020</v>
      </c>
      <c r="B85" s="125" t="s">
        <v>2036</v>
      </c>
      <c r="C85" s="126" t="s">
        <v>2037</v>
      </c>
      <c r="D85" s="128" t="s">
        <v>2038</v>
      </c>
      <c r="E85" s="128" t="s">
        <v>2039</v>
      </c>
      <c r="F85" s="128" t="s">
        <v>2040</v>
      </c>
      <c r="G85" s="128" t="s">
        <v>2041</v>
      </c>
      <c r="H85" s="128" t="s">
        <v>2042</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2020</v>
      </c>
      <c r="B86" s="125" t="s">
        <v>2043</v>
      </c>
      <c r="C86" s="126" t="s">
        <v>2044</v>
      </c>
      <c r="D86" s="128" t="s">
        <v>2045</v>
      </c>
      <c r="E86" s="128" t="s">
        <v>2046</v>
      </c>
      <c r="F86" s="128" t="s">
        <v>2047</v>
      </c>
      <c r="G86" s="128" t="s">
        <v>2048</v>
      </c>
      <c r="H86" s="128" t="s">
        <v>25</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2049</v>
      </c>
      <c r="B87" s="124"/>
      <c r="C87" s="123" t="s">
        <v>2050</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2049</v>
      </c>
      <c r="B88" s="125" t="s">
        <v>2051</v>
      </c>
      <c r="C88" s="126" t="s">
        <v>2052</v>
      </c>
      <c r="D88" s="128" t="s">
        <v>2053</v>
      </c>
      <c r="E88" s="128" t="s">
        <v>2054</v>
      </c>
      <c r="F88" s="128" t="s">
        <v>2055</v>
      </c>
      <c r="G88" s="128" t="s">
        <v>2056</v>
      </c>
      <c r="H88" s="128" t="s">
        <v>2057</v>
      </c>
      <c r="I88" s="130">
        <f>IF(COUNTIF(J88:AW88,"&lt;&gt;")=0,"",SUMPRODUCT(((Recommendations[ImplStatus]="Implemented")+(Recommendations[ImplStatus]="Compensated"))*ISNUMBER(MATCH(Recommendations[Id],J88:AW88,0)))/COUNTIF(J88:AW88,"&lt;&gt;"))</f>
        <v>0</v>
      </c>
      <c r="J88" s="132" t="s">
        <v>59</v>
      </c>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2049</v>
      </c>
      <c r="B89" s="125" t="s">
        <v>2058</v>
      </c>
      <c r="C89" s="126" t="s">
        <v>2059</v>
      </c>
      <c r="D89" s="128" t="s">
        <v>2060</v>
      </c>
      <c r="E89" s="128" t="s">
        <v>2061</v>
      </c>
      <c r="F89" s="128" t="s">
        <v>2062</v>
      </c>
      <c r="G89" s="128" t="s">
        <v>1587</v>
      </c>
      <c r="H89" s="128" t="s">
        <v>2063</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2049</v>
      </c>
      <c r="B90" s="125" t="s">
        <v>2064</v>
      </c>
      <c r="C90" s="126" t="s">
        <v>2065</v>
      </c>
      <c r="D90" s="128" t="s">
        <v>2066</v>
      </c>
      <c r="E90" s="128" t="s">
        <v>2067</v>
      </c>
      <c r="F90" s="128" t="s">
        <v>2068</v>
      </c>
      <c r="G90" s="128" t="s">
        <v>2056</v>
      </c>
      <c r="H90" s="128" t="s">
        <v>2069</v>
      </c>
      <c r="I90" s="130">
        <f>IF(COUNTIF(J90:AW90,"&lt;&gt;")=0,"",SUMPRODUCT(((Recommendations[ImplStatus]="Implemented")+(Recommendations[ImplStatus]="Compensated"))*ISNUMBER(MATCH(Recommendations[Id],J90:AW90,0)))/COUNTIF(J90:AW90,"&lt;&gt;"))</f>
        <v>0</v>
      </c>
      <c r="J90" s="132" t="s">
        <v>59</v>
      </c>
      <c r="K90" s="132" t="s">
        <v>152</v>
      </c>
      <c r="L90" s="132"/>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2049</v>
      </c>
      <c r="B91" s="125" t="s">
        <v>2070</v>
      </c>
      <c r="C91" s="126" t="s">
        <v>2071</v>
      </c>
      <c r="D91" s="128" t="s">
        <v>2072</v>
      </c>
      <c r="E91" s="128" t="s">
        <v>2073</v>
      </c>
      <c r="F91" s="128" t="s">
        <v>2074</v>
      </c>
      <c r="G91" s="128" t="s">
        <v>1587</v>
      </c>
      <c r="H91" s="128" t="s">
        <v>2075</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2049</v>
      </c>
      <c r="B92" s="125" t="s">
        <v>2076</v>
      </c>
      <c r="C92" s="126" t="s">
        <v>2077</v>
      </c>
      <c r="D92" s="128" t="s">
        <v>2078</v>
      </c>
      <c r="E92" s="128" t="s">
        <v>2079</v>
      </c>
      <c r="F92" s="128" t="s">
        <v>2080</v>
      </c>
      <c r="G92" s="128" t="s">
        <v>1587</v>
      </c>
      <c r="H92" s="128" t="s">
        <v>2081</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2049</v>
      </c>
      <c r="B93" s="125" t="s">
        <v>2082</v>
      </c>
      <c r="C93" s="126" t="s">
        <v>2083</v>
      </c>
      <c r="D93" s="128" t="s">
        <v>2084</v>
      </c>
      <c r="E93" s="128" t="s">
        <v>2085</v>
      </c>
      <c r="F93" s="128" t="s">
        <v>2086</v>
      </c>
      <c r="G93" s="128" t="s">
        <v>2087</v>
      </c>
      <c r="H93" s="128" t="s">
        <v>2088</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2049</v>
      </c>
      <c r="B94" s="125" t="s">
        <v>2089</v>
      </c>
      <c r="C94" s="126" t="s">
        <v>2090</v>
      </c>
      <c r="D94" s="128" t="s">
        <v>2091</v>
      </c>
      <c r="E94" s="128" t="s">
        <v>2092</v>
      </c>
      <c r="F94" s="128" t="s">
        <v>2093</v>
      </c>
      <c r="G94" s="128" t="s">
        <v>2094</v>
      </c>
      <c r="H94" s="128" t="s">
        <v>2095</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2049</v>
      </c>
      <c r="B95" s="125" t="s">
        <v>2096</v>
      </c>
      <c r="C95" s="126" t="s">
        <v>2097</v>
      </c>
      <c r="D95" s="128" t="s">
        <v>2098</v>
      </c>
      <c r="E95" s="128" t="s">
        <v>2099</v>
      </c>
      <c r="F95" s="128" t="s">
        <v>2100</v>
      </c>
      <c r="G95" s="128" t="s">
        <v>2101</v>
      </c>
      <c r="H95" s="128" t="s">
        <v>2102</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2049</v>
      </c>
      <c r="B96" s="125" t="s">
        <v>2103</v>
      </c>
      <c r="C96" s="126" t="s">
        <v>2104</v>
      </c>
      <c r="D96" s="128" t="s">
        <v>2105</v>
      </c>
      <c r="E96" s="128" t="s">
        <v>2106</v>
      </c>
      <c r="F96" s="128" t="s">
        <v>2107</v>
      </c>
      <c r="G96" s="128" t="s">
        <v>2108</v>
      </c>
      <c r="H96" s="128" t="s">
        <v>2109</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2049</v>
      </c>
      <c r="B97" s="125" t="s">
        <v>2110</v>
      </c>
      <c r="C97" s="126" t="s">
        <v>2111</v>
      </c>
      <c r="D97" s="128" t="s">
        <v>2112</v>
      </c>
      <c r="E97" s="128" t="s">
        <v>2113</v>
      </c>
      <c r="F97" s="128" t="s">
        <v>2114</v>
      </c>
      <c r="G97" s="128" t="s">
        <v>2115</v>
      </c>
      <c r="H97" s="128" t="s">
        <v>2116</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2117</v>
      </c>
      <c r="B98" s="124"/>
      <c r="C98" s="123" t="s">
        <v>2118</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2117</v>
      </c>
      <c r="B99" s="125" t="s">
        <v>2119</v>
      </c>
      <c r="C99" s="126" t="s">
        <v>2120</v>
      </c>
      <c r="D99" s="128" t="s">
        <v>2121</v>
      </c>
      <c r="E99" s="128" t="s">
        <v>2122</v>
      </c>
      <c r="F99" s="128" t="s">
        <v>2123</v>
      </c>
      <c r="G99" s="128" t="s">
        <v>2124</v>
      </c>
      <c r="H99" s="128" t="s">
        <v>2125</v>
      </c>
      <c r="I99" s="130">
        <f>IF(COUNTIF(J99:AW99,"&lt;&gt;")=0,"",SUMPRODUCT(((Recommendations[ImplStatus]="Implemented")+(Recommendations[ImplStatus]="Compensated"))*ISNUMBER(MATCH(Recommendations[Id],J99:AW99,0)))/COUNTIF(J99:AW99,"&lt;&gt;"))</f>
        <v>0</v>
      </c>
      <c r="J99" s="132" t="s">
        <v>18</v>
      </c>
      <c r="K99" s="132" t="s">
        <v>30</v>
      </c>
      <c r="L99" s="132" t="s">
        <v>36</v>
      </c>
      <c r="M99" s="132" t="s">
        <v>42</v>
      </c>
      <c r="N99" s="132" t="s">
        <v>48</v>
      </c>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2117</v>
      </c>
      <c r="B100" s="125" t="s">
        <v>2126</v>
      </c>
      <c r="C100" s="126" t="s">
        <v>2127</v>
      </c>
      <c r="D100" s="128" t="s">
        <v>2128</v>
      </c>
      <c r="E100" s="128" t="s">
        <v>2129</v>
      </c>
      <c r="F100" s="128" t="s">
        <v>2130</v>
      </c>
      <c r="G100" s="128" t="s">
        <v>2131</v>
      </c>
      <c r="H100" s="128" t="s">
        <v>2132</v>
      </c>
      <c r="I100" s="130">
        <f>IF(COUNTIF(J100:AW100,"&lt;&gt;")=0,"",SUMPRODUCT(((Recommendations[ImplStatus]="Implemented")+(Recommendations[ImplStatus]="Compensated"))*ISNUMBER(MATCH(Recommendations[Id],J100:AW100,0)))/COUNTIF(J100:AW100,"&lt;&gt;"))</f>
        <v>0</v>
      </c>
      <c r="J100" s="132" t="s">
        <v>18</v>
      </c>
      <c r="K100" s="132" t="s">
        <v>42</v>
      </c>
      <c r="L100" s="132" t="s">
        <v>53</v>
      </c>
      <c r="M100" s="132" t="s">
        <v>104</v>
      </c>
      <c r="N100" s="132" t="s">
        <v>226</v>
      </c>
      <c r="O100" s="132" t="s">
        <v>232</v>
      </c>
      <c r="P100" s="132" t="s">
        <v>338</v>
      </c>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2117</v>
      </c>
      <c r="B101" s="125" t="s">
        <v>2133</v>
      </c>
      <c r="C101" s="126" t="s">
        <v>2134</v>
      </c>
      <c r="D101" s="128" t="s">
        <v>2135</v>
      </c>
      <c r="E101" s="128" t="s">
        <v>2136</v>
      </c>
      <c r="F101" s="128" t="s">
        <v>25</v>
      </c>
      <c r="G101" s="128" t="s">
        <v>25</v>
      </c>
      <c r="H101" s="128" t="s">
        <v>25</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2117</v>
      </c>
      <c r="B102" s="125" t="s">
        <v>2137</v>
      </c>
      <c r="C102" s="126" t="s">
        <v>2138</v>
      </c>
      <c r="D102" s="128" t="s">
        <v>2139</v>
      </c>
      <c r="E102" s="128" t="s">
        <v>2140</v>
      </c>
      <c r="F102" s="128" t="s">
        <v>2141</v>
      </c>
      <c r="G102" s="128" t="s">
        <v>2142</v>
      </c>
      <c r="H102" s="128" t="s">
        <v>2143</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2117</v>
      </c>
      <c r="B103" s="125" t="s">
        <v>2144</v>
      </c>
      <c r="C103" s="126" t="s">
        <v>2145</v>
      </c>
      <c r="D103" s="128" t="s">
        <v>2146</v>
      </c>
      <c r="E103" s="128" t="s">
        <v>2147</v>
      </c>
      <c r="F103" s="128" t="s">
        <v>2148</v>
      </c>
      <c r="G103" s="128" t="s">
        <v>2149</v>
      </c>
      <c r="H103" s="128" t="s">
        <v>2150</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2151</v>
      </c>
      <c r="B104" s="124"/>
      <c r="C104" s="123" t="s">
        <v>2152</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2151</v>
      </c>
      <c r="B105" s="125" t="s">
        <v>2153</v>
      </c>
      <c r="C105" s="126" t="s">
        <v>2154</v>
      </c>
      <c r="D105" s="128" t="s">
        <v>2155</v>
      </c>
      <c r="E105" s="128" t="s">
        <v>2156</v>
      </c>
      <c r="F105" s="128" t="s">
        <v>2157</v>
      </c>
      <c r="G105" s="128" t="s">
        <v>2158</v>
      </c>
      <c r="H105" s="128" t="s">
        <v>25</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2151</v>
      </c>
      <c r="B106" s="125" t="s">
        <v>2159</v>
      </c>
      <c r="C106" s="126" t="s">
        <v>2160</v>
      </c>
      <c r="D106" s="128" t="s">
        <v>2161</v>
      </c>
      <c r="E106" s="128" t="s">
        <v>2162</v>
      </c>
      <c r="F106" s="128" t="s">
        <v>2163</v>
      </c>
      <c r="G106" s="128" t="s">
        <v>2164</v>
      </c>
      <c r="H106" s="128" t="s">
        <v>2165</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2151</v>
      </c>
      <c r="B107" s="125" t="s">
        <v>2166</v>
      </c>
      <c r="C107" s="126" t="s">
        <v>2167</v>
      </c>
      <c r="D107" s="128" t="s">
        <v>2168</v>
      </c>
      <c r="E107" s="128" t="s">
        <v>2169</v>
      </c>
      <c r="F107" s="128" t="s">
        <v>2170</v>
      </c>
      <c r="G107" s="128" t="s">
        <v>2171</v>
      </c>
      <c r="H107" s="128" t="s">
        <v>2172</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2173</v>
      </c>
      <c r="B108" s="124"/>
      <c r="C108" s="123" t="s">
        <v>2174</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2173</v>
      </c>
      <c r="B109" s="125" t="s">
        <v>2175</v>
      </c>
      <c r="C109" s="126" t="s">
        <v>2176</v>
      </c>
      <c r="D109" s="128" t="s">
        <v>2177</v>
      </c>
      <c r="E109" s="128" t="s">
        <v>2178</v>
      </c>
      <c r="F109" s="128" t="s">
        <v>2179</v>
      </c>
      <c r="G109" s="128" t="s">
        <v>2180</v>
      </c>
      <c r="H109" s="128" t="s">
        <v>2181</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2173</v>
      </c>
      <c r="B110" s="125" t="s">
        <v>2182</v>
      </c>
      <c r="C110" s="126" t="s">
        <v>2183</v>
      </c>
      <c r="D110" s="128" t="s">
        <v>2184</v>
      </c>
      <c r="E110" s="128" t="s">
        <v>2185</v>
      </c>
      <c r="F110" s="128" t="s">
        <v>2186</v>
      </c>
      <c r="G110" s="128" t="s">
        <v>2187</v>
      </c>
      <c r="H110" s="128" t="s">
        <v>2188</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2173</v>
      </c>
      <c r="B111" s="125" t="s">
        <v>2189</v>
      </c>
      <c r="C111" s="126" t="s">
        <v>2190</v>
      </c>
      <c r="D111" s="128" t="s">
        <v>2191</v>
      </c>
      <c r="E111" s="128" t="s">
        <v>2192</v>
      </c>
      <c r="F111" s="128" t="s">
        <v>2193</v>
      </c>
      <c r="G111" s="128" t="s">
        <v>2194</v>
      </c>
      <c r="H111" s="128" t="s">
        <v>2195</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2196</v>
      </c>
      <c r="B112" s="124"/>
      <c r="C112" s="123" t="s">
        <v>2197</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2196</v>
      </c>
      <c r="B113" s="125" t="s">
        <v>2198</v>
      </c>
      <c r="C113" s="126" t="s">
        <v>2199</v>
      </c>
      <c r="D113" s="128" t="s">
        <v>2200</v>
      </c>
      <c r="E113" s="128" t="s">
        <v>2201</v>
      </c>
      <c r="F113" s="128" t="s">
        <v>2202</v>
      </c>
      <c r="G113" s="128" t="s">
        <v>2203</v>
      </c>
      <c r="H113" s="128" t="s">
        <v>2204</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2196</v>
      </c>
      <c r="B114" s="125" t="s">
        <v>2205</v>
      </c>
      <c r="C114" s="126" t="s">
        <v>2206</v>
      </c>
      <c r="D114" s="128" t="s">
        <v>2207</v>
      </c>
      <c r="E114" s="128" t="s">
        <v>2208</v>
      </c>
      <c r="F114" s="128" t="s">
        <v>2209</v>
      </c>
      <c r="G114" s="128" t="s">
        <v>2203</v>
      </c>
      <c r="H114" s="128" t="s">
        <v>2210</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2196</v>
      </c>
      <c r="B115" s="133" t="s">
        <v>2211</v>
      </c>
      <c r="C115" s="134" t="s">
        <v>2212</v>
      </c>
      <c r="D115" s="135" t="s">
        <v>2213</v>
      </c>
      <c r="E115" s="135" t="s">
        <v>2214</v>
      </c>
      <c r="F115" s="135" t="s">
        <v>2215</v>
      </c>
      <c r="G115" s="135" t="s">
        <v>2216</v>
      </c>
      <c r="H115" s="135" t="s">
        <v>2217</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357</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IFERROR(INDEX('Recommendations'!$I$2:$I$56, MATCH(J2,'Recommendations'!$B$2:$B$56,0))="Implemented", FALSE))</xm:f>
            <x14:dxf>
              <font>
                <color rgb="FF000000"/>
              </font>
              <fill>
                <patternFill>
                  <bgColor rgb="FF3C7D22"/>
                </patternFill>
              </fill>
            </x14:dxf>
          </x14:cfRule>
          <x14:cfRule type="expression" priority="2" id="{00000000-000E-0000-0600-000002000000}">
            <xm:f>AND(J2&lt;&gt;"", IFERROR(INDEX('Recommendations'!$I$2:$I$56, MATCH(J2,'Recommendations'!$B$2:$B$56,0))="Compensated", FALSE))</xm:f>
            <x14:dxf>
              <font>
                <color rgb="FF000000"/>
              </font>
              <fill>
                <patternFill>
                  <bgColor rgb="FFC6E0B4"/>
                </patternFill>
              </fill>
            </x14:dxf>
          </x14:cfRule>
          <x14:cfRule type="expression" priority="3" id="{00000000-000E-0000-0600-000003000000}">
            <xm:f>AND(J2&lt;&gt;"", IFERROR(INDEX('Recommendations'!$I$2:$I$56, MATCH(J2,'Recommendations'!$B$2:$B$56,0))="Testing", FALSE))</xm:f>
            <x14:dxf>
              <font>
                <color rgb="FF000000"/>
              </font>
              <fill>
                <patternFill>
                  <bgColor rgb="FFFFC000"/>
                </patternFill>
              </fill>
            </x14:dxf>
          </x14:cfRule>
          <x14:cfRule type="expression" priority="4" id="{00000000-000E-0000-0600-000004000000}">
            <xm:f>AND(J2&lt;&gt;"", IFERROR(INDEX('Recommendations'!$I$2:$I$56, MATCH(J2,'Recommendations'!$B$2:$B$56,0))="Failed", FALSE))</xm:f>
            <x14:dxf>
              <font>
                <color rgb="FF000000"/>
              </font>
              <fill>
                <patternFill>
                  <bgColor rgb="FFD82891"/>
                </patternFill>
              </fill>
            </x14:dxf>
          </x14:cfRule>
          <x14:cfRule type="expression" priority="5" id="{00000000-000E-0000-0600-000005000000}">
            <xm:f>AND(J2&lt;&gt;"", IFERROR(INDEX('Recommendations'!$I$2:$I$56, MATCH(J2,'Recommendations'!$B$2:$B$56,0))="Risk Accepted", FALSE))</xm:f>
            <x14:dxf>
              <font>
                <color rgb="FF000000"/>
              </font>
              <fill>
                <patternFill>
                  <bgColor rgb="FFD9D9D9"/>
                </patternFill>
              </fill>
            </x14:dxf>
          </x14:cfRule>
          <x14:cfRule type="expression" priority="6" id="{00000000-000E-0000-0600-000006000000}">
            <xm:f>AND(J2&lt;&gt;"", IFERROR(INDEX('Recommendations'!$I$2:$I$56, MATCH(J2,'Recommendations'!$B$2:$B$56,0))="N/A",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2218</v>
      </c>
      <c r="B1" s="184" t="s">
        <v>2219</v>
      </c>
      <c r="C1" s="184" t="s">
        <v>1</v>
      </c>
      <c r="D1" s="184" t="s">
        <v>2220</v>
      </c>
      <c r="E1" s="184" t="s">
        <v>2221</v>
      </c>
      <c r="F1" s="184" t="s">
        <v>2222</v>
      </c>
      <c r="G1" s="184" t="s">
        <v>607</v>
      </c>
      <c r="H1" s="184" t="s">
        <v>608</v>
      </c>
      <c r="I1" s="184" t="s">
        <v>609</v>
      </c>
      <c r="J1" s="184" t="s">
        <v>610</v>
      </c>
      <c r="K1" s="184" t="s">
        <v>611</v>
      </c>
      <c r="L1" s="184" t="s">
        <v>612</v>
      </c>
      <c r="M1" s="184" t="s">
        <v>613</v>
      </c>
      <c r="N1" s="184" t="s">
        <v>614</v>
      </c>
      <c r="O1" s="184" t="s">
        <v>615</v>
      </c>
      <c r="P1" s="184" t="s">
        <v>616</v>
      </c>
      <c r="Q1" s="184" t="s">
        <v>617</v>
      </c>
      <c r="R1" s="184" t="s">
        <v>618</v>
      </c>
      <c r="S1" s="184" t="s">
        <v>619</v>
      </c>
      <c r="T1" s="184" t="s">
        <v>620</v>
      </c>
      <c r="U1" s="184" t="s">
        <v>621</v>
      </c>
      <c r="V1" s="184" t="s">
        <v>622</v>
      </c>
      <c r="W1" s="184" t="s">
        <v>623</v>
      </c>
      <c r="X1" s="184" t="s">
        <v>624</v>
      </c>
      <c r="Y1" s="184" t="s">
        <v>625</v>
      </c>
      <c r="Z1" s="184" t="s">
        <v>626</v>
      </c>
      <c r="AA1" s="184" t="s">
        <v>627</v>
      </c>
      <c r="AB1" s="184" t="s">
        <v>628</v>
      </c>
      <c r="AC1" s="184" t="s">
        <v>629</v>
      </c>
      <c r="AD1" s="184" t="s">
        <v>630</v>
      </c>
      <c r="AE1" s="184" t="s">
        <v>631</v>
      </c>
      <c r="AF1" s="184" t="s">
        <v>632</v>
      </c>
      <c r="AG1" s="184" t="s">
        <v>633</v>
      </c>
      <c r="AH1" s="184" t="s">
        <v>634</v>
      </c>
      <c r="AI1" s="184" t="s">
        <v>635</v>
      </c>
      <c r="AJ1" s="184" t="s">
        <v>636</v>
      </c>
      <c r="AK1" s="184" t="s">
        <v>637</v>
      </c>
      <c r="AL1" s="184" t="s">
        <v>638</v>
      </c>
      <c r="AM1" s="184" t="s">
        <v>639</v>
      </c>
      <c r="AN1" s="184" t="s">
        <v>640</v>
      </c>
      <c r="AO1" s="184" t="s">
        <v>641</v>
      </c>
      <c r="AP1" s="184" t="s">
        <v>642</v>
      </c>
      <c r="AQ1" s="184" t="s">
        <v>643</v>
      </c>
      <c r="AR1" s="184" t="s">
        <v>644</v>
      </c>
      <c r="AS1" s="184" t="s">
        <v>645</v>
      </c>
      <c r="AT1" s="184" t="s">
        <v>646</v>
      </c>
      <c r="AU1" s="185" t="s">
        <v>647</v>
      </c>
    </row>
    <row r="2" spans="1:47" ht="60" customHeight="1" outlineLevel="1" x14ac:dyDescent="0.35">
      <c r="A2" s="175" t="s">
        <v>2223</v>
      </c>
      <c r="B2" s="149" t="s">
        <v>25</v>
      </c>
      <c r="C2" s="147" t="s">
        <v>2224</v>
      </c>
      <c r="D2" s="153" t="s">
        <v>2225</v>
      </c>
      <c r="E2" s="156" t="s">
        <v>25</v>
      </c>
      <c r="F2" s="159" t="s">
        <v>25</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2223</v>
      </c>
      <c r="B3" s="150" t="s">
        <v>2226</v>
      </c>
      <c r="C3" s="148" t="s">
        <v>2227</v>
      </c>
      <c r="D3" s="154" t="s">
        <v>2228</v>
      </c>
      <c r="E3" s="157" t="s">
        <v>25</v>
      </c>
      <c r="F3" s="160" t="s">
        <v>25</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2223</v>
      </c>
      <c r="B4" s="151" t="s">
        <v>2226</v>
      </c>
      <c r="C4" s="152" t="s">
        <v>2229</v>
      </c>
      <c r="D4" s="155" t="s">
        <v>2230</v>
      </c>
      <c r="E4" s="158" t="s">
        <v>2231</v>
      </c>
      <c r="F4" s="161" t="s">
        <v>2232</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2223</v>
      </c>
      <c r="B5" s="151" t="s">
        <v>2226</v>
      </c>
      <c r="C5" s="152" t="s">
        <v>2233</v>
      </c>
      <c r="D5" s="155" t="s">
        <v>2234</v>
      </c>
      <c r="E5" s="158" t="s">
        <v>2235</v>
      </c>
      <c r="F5" s="161" t="s">
        <v>2236</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2223</v>
      </c>
      <c r="B6" s="151" t="s">
        <v>2226</v>
      </c>
      <c r="C6" s="152" t="s">
        <v>2237</v>
      </c>
      <c r="D6" s="155" t="s">
        <v>2238</v>
      </c>
      <c r="E6" s="158" t="s">
        <v>2239</v>
      </c>
      <c r="F6" s="161" t="s">
        <v>2236</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2223</v>
      </c>
      <c r="B7" s="151" t="s">
        <v>2226</v>
      </c>
      <c r="C7" s="152" t="s">
        <v>2240</v>
      </c>
      <c r="D7" s="155" t="s">
        <v>2241</v>
      </c>
      <c r="E7" s="158" t="s">
        <v>2242</v>
      </c>
      <c r="F7" s="161" t="s">
        <v>2236</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2223</v>
      </c>
      <c r="B8" s="151" t="s">
        <v>2226</v>
      </c>
      <c r="C8" s="152" t="s">
        <v>2243</v>
      </c>
      <c r="D8" s="155" t="s">
        <v>2244</v>
      </c>
      <c r="E8" s="158" t="s">
        <v>2245</v>
      </c>
      <c r="F8" s="161" t="s">
        <v>2246</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2223</v>
      </c>
      <c r="B9" s="150" t="s">
        <v>2247</v>
      </c>
      <c r="C9" s="148" t="s">
        <v>2248</v>
      </c>
      <c r="D9" s="154" t="s">
        <v>2249</v>
      </c>
      <c r="E9" s="157" t="s">
        <v>25</v>
      </c>
      <c r="F9" s="160" t="s">
        <v>25</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2223</v>
      </c>
      <c r="B10" s="151" t="s">
        <v>2247</v>
      </c>
      <c r="C10" s="152" t="s">
        <v>2250</v>
      </c>
      <c r="D10" s="155" t="s">
        <v>2251</v>
      </c>
      <c r="E10" s="158" t="s">
        <v>2252</v>
      </c>
      <c r="F10" s="161" t="s">
        <v>2232</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2223</v>
      </c>
      <c r="B11" s="151" t="s">
        <v>2247</v>
      </c>
      <c r="C11" s="152" t="s">
        <v>2253</v>
      </c>
      <c r="D11" s="155" t="s">
        <v>2254</v>
      </c>
      <c r="E11" s="158" t="s">
        <v>2255</v>
      </c>
      <c r="F11" s="161" t="s">
        <v>2232</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2223</v>
      </c>
      <c r="B12" s="151" t="s">
        <v>2247</v>
      </c>
      <c r="C12" s="152" t="s">
        <v>2256</v>
      </c>
      <c r="D12" s="155" t="s">
        <v>2257</v>
      </c>
      <c r="E12" s="158" t="s">
        <v>2258</v>
      </c>
      <c r="F12" s="161" t="s">
        <v>2232</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2223</v>
      </c>
      <c r="B13" s="150" t="s">
        <v>2259</v>
      </c>
      <c r="C13" s="148" t="s">
        <v>2260</v>
      </c>
      <c r="D13" s="154" t="s">
        <v>2261</v>
      </c>
      <c r="E13" s="157" t="s">
        <v>25</v>
      </c>
      <c r="F13" s="160" t="s">
        <v>25</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2223</v>
      </c>
      <c r="B14" s="151" t="s">
        <v>2259</v>
      </c>
      <c r="C14" s="152" t="s">
        <v>2262</v>
      </c>
      <c r="D14" s="155" t="s">
        <v>2263</v>
      </c>
      <c r="E14" s="158" t="s">
        <v>2264</v>
      </c>
      <c r="F14" s="161" t="s">
        <v>2232</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2223</v>
      </c>
      <c r="B15" s="151" t="s">
        <v>2259</v>
      </c>
      <c r="C15" s="152" t="s">
        <v>2265</v>
      </c>
      <c r="D15" s="155" t="s">
        <v>2266</v>
      </c>
      <c r="E15" s="158" t="s">
        <v>2267</v>
      </c>
      <c r="F15" s="161" t="s">
        <v>2232</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2223</v>
      </c>
      <c r="B16" s="150" t="s">
        <v>2268</v>
      </c>
      <c r="C16" s="148" t="s">
        <v>2269</v>
      </c>
      <c r="D16" s="154" t="s">
        <v>2270</v>
      </c>
      <c r="E16" s="157" t="s">
        <v>25</v>
      </c>
      <c r="F16" s="160" t="s">
        <v>25</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2223</v>
      </c>
      <c r="B17" s="151" t="s">
        <v>2268</v>
      </c>
      <c r="C17" s="152" t="s">
        <v>2271</v>
      </c>
      <c r="D17" s="155" t="s">
        <v>2272</v>
      </c>
      <c r="E17" s="158" t="s">
        <v>2273</v>
      </c>
      <c r="F17" s="161" t="s">
        <v>2232</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2223</v>
      </c>
      <c r="B18" s="151" t="s">
        <v>2268</v>
      </c>
      <c r="C18" s="152" t="s">
        <v>2274</v>
      </c>
      <c r="D18" s="155" t="s">
        <v>2275</v>
      </c>
      <c r="E18" s="158" t="s">
        <v>2276</v>
      </c>
      <c r="F18" s="161" t="s">
        <v>2236</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2223</v>
      </c>
      <c r="B19" s="151" t="s">
        <v>2268</v>
      </c>
      <c r="C19" s="152" t="s">
        <v>2277</v>
      </c>
      <c r="D19" s="155" t="s">
        <v>2278</v>
      </c>
      <c r="E19" s="158" t="s">
        <v>2279</v>
      </c>
      <c r="F19" s="161" t="s">
        <v>2232</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2223</v>
      </c>
      <c r="B20" s="151" t="s">
        <v>2268</v>
      </c>
      <c r="C20" s="152" t="s">
        <v>2280</v>
      </c>
      <c r="D20" s="155" t="s">
        <v>2281</v>
      </c>
      <c r="E20" s="158" t="s">
        <v>2282</v>
      </c>
      <c r="F20" s="161" t="s">
        <v>2232</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2223</v>
      </c>
      <c r="B21" s="151" t="s">
        <v>2268</v>
      </c>
      <c r="C21" s="152" t="s">
        <v>2283</v>
      </c>
      <c r="D21" s="155" t="s">
        <v>2284</v>
      </c>
      <c r="E21" s="158" t="s">
        <v>2285</v>
      </c>
      <c r="F21" s="161" t="s">
        <v>2236</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2223</v>
      </c>
      <c r="B22" s="151" t="s">
        <v>2268</v>
      </c>
      <c r="C22" s="152" t="s">
        <v>2286</v>
      </c>
      <c r="D22" s="155" t="s">
        <v>2287</v>
      </c>
      <c r="E22" s="158" t="s">
        <v>2288</v>
      </c>
      <c r="F22" s="161" t="s">
        <v>2232</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2223</v>
      </c>
      <c r="B23" s="151" t="s">
        <v>2268</v>
      </c>
      <c r="C23" s="152" t="s">
        <v>2289</v>
      </c>
      <c r="D23" s="155" t="s">
        <v>2290</v>
      </c>
      <c r="E23" s="158" t="s">
        <v>2291</v>
      </c>
      <c r="F23" s="161" t="s">
        <v>2232</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2223</v>
      </c>
      <c r="B24" s="150" t="s">
        <v>2292</v>
      </c>
      <c r="C24" s="148" t="s">
        <v>2293</v>
      </c>
      <c r="D24" s="154" t="s">
        <v>2294</v>
      </c>
      <c r="E24" s="157" t="s">
        <v>25</v>
      </c>
      <c r="F24" s="160" t="s">
        <v>25</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2223</v>
      </c>
      <c r="B25" s="151" t="s">
        <v>2292</v>
      </c>
      <c r="C25" s="152" t="s">
        <v>2295</v>
      </c>
      <c r="D25" s="155" t="s">
        <v>2296</v>
      </c>
      <c r="E25" s="158" t="s">
        <v>2297</v>
      </c>
      <c r="F25" s="161" t="s">
        <v>2232</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2223</v>
      </c>
      <c r="B26" s="151" t="s">
        <v>2292</v>
      </c>
      <c r="C26" s="152" t="s">
        <v>2298</v>
      </c>
      <c r="D26" s="155" t="s">
        <v>2299</v>
      </c>
      <c r="E26" s="158" t="s">
        <v>2300</v>
      </c>
      <c r="F26" s="161" t="s">
        <v>2232</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2223</v>
      </c>
      <c r="B27" s="151" t="s">
        <v>2292</v>
      </c>
      <c r="C27" s="152" t="s">
        <v>2301</v>
      </c>
      <c r="D27" s="155" t="s">
        <v>2302</v>
      </c>
      <c r="E27" s="158" t="s">
        <v>2303</v>
      </c>
      <c r="F27" s="161" t="s">
        <v>2236</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2223</v>
      </c>
      <c r="B28" s="151" t="s">
        <v>2292</v>
      </c>
      <c r="C28" s="152" t="s">
        <v>2304</v>
      </c>
      <c r="D28" s="155" t="s">
        <v>2305</v>
      </c>
      <c r="E28" s="158" t="s">
        <v>2306</v>
      </c>
      <c r="F28" s="161" t="s">
        <v>2232</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2223</v>
      </c>
      <c r="B29" s="150" t="s">
        <v>2307</v>
      </c>
      <c r="C29" s="148" t="s">
        <v>2308</v>
      </c>
      <c r="D29" s="154" t="s">
        <v>2309</v>
      </c>
      <c r="E29" s="157" t="s">
        <v>25</v>
      </c>
      <c r="F29" s="160" t="s">
        <v>25</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2223</v>
      </c>
      <c r="B30" s="151" t="s">
        <v>2307</v>
      </c>
      <c r="C30" s="152" t="s">
        <v>2310</v>
      </c>
      <c r="D30" s="155" t="s">
        <v>2311</v>
      </c>
      <c r="E30" s="158" t="s">
        <v>2312</v>
      </c>
      <c r="F30" s="161" t="s">
        <v>2246</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2223</v>
      </c>
      <c r="B31" s="151" t="s">
        <v>2307</v>
      </c>
      <c r="C31" s="152" t="s">
        <v>2313</v>
      </c>
      <c r="D31" s="155" t="s">
        <v>2314</v>
      </c>
      <c r="E31" s="158" t="s">
        <v>2315</v>
      </c>
      <c r="F31" s="161" t="s">
        <v>2246</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2223</v>
      </c>
      <c r="B32" s="151" t="s">
        <v>2307</v>
      </c>
      <c r="C32" s="152" t="s">
        <v>2316</v>
      </c>
      <c r="D32" s="155" t="s">
        <v>2317</v>
      </c>
      <c r="E32" s="158" t="s">
        <v>2318</v>
      </c>
      <c r="F32" s="161" t="s">
        <v>2246</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2223</v>
      </c>
      <c r="B33" s="151" t="s">
        <v>2307</v>
      </c>
      <c r="C33" s="152" t="s">
        <v>2319</v>
      </c>
      <c r="D33" s="155" t="s">
        <v>2320</v>
      </c>
      <c r="E33" s="158" t="s">
        <v>2321</v>
      </c>
      <c r="F33" s="161" t="s">
        <v>2246</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2223</v>
      </c>
      <c r="B34" s="151" t="s">
        <v>2307</v>
      </c>
      <c r="C34" s="152" t="s">
        <v>2322</v>
      </c>
      <c r="D34" s="155" t="s">
        <v>2323</v>
      </c>
      <c r="E34" s="158" t="s">
        <v>2324</v>
      </c>
      <c r="F34" s="161" t="s">
        <v>2246</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2223</v>
      </c>
      <c r="B35" s="151" t="s">
        <v>2307</v>
      </c>
      <c r="C35" s="152" t="s">
        <v>2325</v>
      </c>
      <c r="D35" s="155" t="s">
        <v>2326</v>
      </c>
      <c r="E35" s="158" t="s">
        <v>2327</v>
      </c>
      <c r="F35" s="161" t="s">
        <v>2246</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2223</v>
      </c>
      <c r="B36" s="151" t="s">
        <v>2307</v>
      </c>
      <c r="C36" s="152" t="s">
        <v>2328</v>
      </c>
      <c r="D36" s="155" t="s">
        <v>2329</v>
      </c>
      <c r="E36" s="158" t="s">
        <v>2330</v>
      </c>
      <c r="F36" s="161" t="s">
        <v>2246</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2223</v>
      </c>
      <c r="B37" s="151" t="s">
        <v>2307</v>
      </c>
      <c r="C37" s="152" t="s">
        <v>2331</v>
      </c>
      <c r="D37" s="155" t="s">
        <v>2332</v>
      </c>
      <c r="E37" s="158" t="s">
        <v>2333</v>
      </c>
      <c r="F37" s="161" t="s">
        <v>2246</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2223</v>
      </c>
      <c r="B38" s="151" t="s">
        <v>2307</v>
      </c>
      <c r="C38" s="152" t="s">
        <v>2334</v>
      </c>
      <c r="D38" s="155" t="s">
        <v>2335</v>
      </c>
      <c r="E38" s="158" t="s">
        <v>2336</v>
      </c>
      <c r="F38" s="161" t="s">
        <v>2246</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2223</v>
      </c>
      <c r="B39" s="151" t="s">
        <v>2307</v>
      </c>
      <c r="C39" s="152" t="s">
        <v>2337</v>
      </c>
      <c r="D39" s="155" t="s">
        <v>2338</v>
      </c>
      <c r="E39" s="158" t="s">
        <v>2339</v>
      </c>
      <c r="F39" s="161" t="s">
        <v>2246</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2340</v>
      </c>
      <c r="B40" s="149" t="s">
        <v>25</v>
      </c>
      <c r="C40" s="147" t="s">
        <v>2341</v>
      </c>
      <c r="D40" s="153" t="s">
        <v>2342</v>
      </c>
      <c r="E40" s="156" t="s">
        <v>25</v>
      </c>
      <c r="F40" s="159" t="s">
        <v>25</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2340</v>
      </c>
      <c r="B41" s="150" t="s">
        <v>2343</v>
      </c>
      <c r="C41" s="148" t="s">
        <v>2344</v>
      </c>
      <c r="D41" s="154" t="s">
        <v>2345</v>
      </c>
      <c r="E41" s="157" t="s">
        <v>25</v>
      </c>
      <c r="F41" s="160" t="s">
        <v>25</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2340</v>
      </c>
      <c r="B42" s="151" t="s">
        <v>2343</v>
      </c>
      <c r="C42" s="152" t="s">
        <v>2346</v>
      </c>
      <c r="D42" s="155" t="s">
        <v>2347</v>
      </c>
      <c r="E42" s="158" t="s">
        <v>2348</v>
      </c>
      <c r="F42" s="161" t="s">
        <v>2232</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2340</v>
      </c>
      <c r="B43" s="151" t="s">
        <v>2343</v>
      </c>
      <c r="C43" s="152" t="s">
        <v>2349</v>
      </c>
      <c r="D43" s="155" t="s">
        <v>2350</v>
      </c>
      <c r="E43" s="158" t="s">
        <v>2351</v>
      </c>
      <c r="F43" s="161" t="s">
        <v>2232</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2340</v>
      </c>
      <c r="B44" s="151" t="s">
        <v>2343</v>
      </c>
      <c r="C44" s="152" t="s">
        <v>2352</v>
      </c>
      <c r="D44" s="155" t="s">
        <v>2353</v>
      </c>
      <c r="E44" s="158" t="s">
        <v>2354</v>
      </c>
      <c r="F44" s="161" t="s">
        <v>2236</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2340</v>
      </c>
      <c r="B45" s="151" t="s">
        <v>2343</v>
      </c>
      <c r="C45" s="152" t="s">
        <v>2355</v>
      </c>
      <c r="D45" s="155" t="s">
        <v>2356</v>
      </c>
      <c r="E45" s="158" t="s">
        <v>2357</v>
      </c>
      <c r="F45" s="161" t="s">
        <v>2246</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2340</v>
      </c>
      <c r="B46" s="151" t="s">
        <v>2343</v>
      </c>
      <c r="C46" s="152" t="s">
        <v>2358</v>
      </c>
      <c r="D46" s="155" t="s">
        <v>2359</v>
      </c>
      <c r="E46" s="158" t="s">
        <v>2360</v>
      </c>
      <c r="F46" s="161" t="s">
        <v>2232</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2340</v>
      </c>
      <c r="B47" s="151" t="s">
        <v>2343</v>
      </c>
      <c r="C47" s="152" t="s">
        <v>2361</v>
      </c>
      <c r="D47" s="155" t="s">
        <v>2362</v>
      </c>
      <c r="E47" s="158"/>
      <c r="F47" s="161" t="s">
        <v>25</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2340</v>
      </c>
      <c r="B48" s="151" t="s">
        <v>2343</v>
      </c>
      <c r="C48" s="152" t="s">
        <v>2363</v>
      </c>
      <c r="D48" s="155" t="s">
        <v>2364</v>
      </c>
      <c r="E48" s="158" t="s">
        <v>2365</v>
      </c>
      <c r="F48" s="161" t="s">
        <v>2232</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2340</v>
      </c>
      <c r="B49" s="151" t="s">
        <v>2343</v>
      </c>
      <c r="C49" s="152" t="s">
        <v>2366</v>
      </c>
      <c r="D49" s="155" t="s">
        <v>2367</v>
      </c>
      <c r="E49" s="158" t="s">
        <v>2368</v>
      </c>
      <c r="F49" s="161" t="s">
        <v>2236</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2340</v>
      </c>
      <c r="B50" s="150" t="s">
        <v>2369</v>
      </c>
      <c r="C50" s="148" t="s">
        <v>2370</v>
      </c>
      <c r="D50" s="154"/>
      <c r="E50" s="157" t="s">
        <v>25</v>
      </c>
      <c r="F50" s="160" t="s">
        <v>25</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2340</v>
      </c>
      <c r="B51" s="151" t="s">
        <v>2369</v>
      </c>
      <c r="C51" s="152" t="s">
        <v>2371</v>
      </c>
      <c r="D51" s="155" t="s">
        <v>2372</v>
      </c>
      <c r="E51" s="158"/>
      <c r="F51" s="161" t="s">
        <v>25</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2340</v>
      </c>
      <c r="B52" s="151" t="s">
        <v>2369</v>
      </c>
      <c r="C52" s="152" t="s">
        <v>2373</v>
      </c>
      <c r="D52" s="155" t="s">
        <v>2374</v>
      </c>
      <c r="E52" s="158"/>
      <c r="F52" s="161" t="s">
        <v>25</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2340</v>
      </c>
      <c r="B53" s="151" t="s">
        <v>2369</v>
      </c>
      <c r="C53" s="152" t="s">
        <v>2375</v>
      </c>
      <c r="D53" s="155" t="s">
        <v>2376</v>
      </c>
      <c r="E53" s="158"/>
      <c r="F53" s="161" t="s">
        <v>25</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2340</v>
      </c>
      <c r="B54" s="151" t="s">
        <v>2369</v>
      </c>
      <c r="C54" s="152" t="s">
        <v>2377</v>
      </c>
      <c r="D54" s="155" t="s">
        <v>2378</v>
      </c>
      <c r="E54" s="158"/>
      <c r="F54" s="161" t="s">
        <v>25</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2340</v>
      </c>
      <c r="B55" s="151" t="s">
        <v>2369</v>
      </c>
      <c r="C55" s="152" t="s">
        <v>2379</v>
      </c>
      <c r="D55" s="155" t="s">
        <v>2380</v>
      </c>
      <c r="E55" s="158"/>
      <c r="F55" s="161" t="s">
        <v>25</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2340</v>
      </c>
      <c r="B56" s="150" t="s">
        <v>514</v>
      </c>
      <c r="C56" s="148" t="s">
        <v>2381</v>
      </c>
      <c r="D56" s="154"/>
      <c r="E56" s="157" t="s">
        <v>25</v>
      </c>
      <c r="F56" s="160" t="s">
        <v>25</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2340</v>
      </c>
      <c r="B57" s="151" t="s">
        <v>514</v>
      </c>
      <c r="C57" s="152" t="s">
        <v>2382</v>
      </c>
      <c r="D57" s="155" t="s">
        <v>2383</v>
      </c>
      <c r="E57" s="158"/>
      <c r="F57" s="161" t="s">
        <v>25</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2340</v>
      </c>
      <c r="B58" s="151" t="s">
        <v>514</v>
      </c>
      <c r="C58" s="152" t="s">
        <v>2384</v>
      </c>
      <c r="D58" s="155" t="s">
        <v>2385</v>
      </c>
      <c r="E58" s="158"/>
      <c r="F58" s="161" t="s">
        <v>25</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2340</v>
      </c>
      <c r="B59" s="151" t="s">
        <v>514</v>
      </c>
      <c r="C59" s="152" t="s">
        <v>2386</v>
      </c>
      <c r="D59" s="155" t="s">
        <v>2387</v>
      </c>
      <c r="E59" s="158"/>
      <c r="F59" s="161" t="s">
        <v>25</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2340</v>
      </c>
      <c r="B60" s="151" t="s">
        <v>514</v>
      </c>
      <c r="C60" s="152" t="s">
        <v>2388</v>
      </c>
      <c r="D60" s="155" t="s">
        <v>2389</v>
      </c>
      <c r="E60" s="158"/>
      <c r="F60" s="161" t="s">
        <v>25</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2340</v>
      </c>
      <c r="B61" s="150" t="s">
        <v>2390</v>
      </c>
      <c r="C61" s="148" t="s">
        <v>2391</v>
      </c>
      <c r="D61" s="154" t="s">
        <v>2392</v>
      </c>
      <c r="E61" s="157" t="s">
        <v>25</v>
      </c>
      <c r="F61" s="160" t="s">
        <v>25</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2340</v>
      </c>
      <c r="B62" s="151" t="s">
        <v>2390</v>
      </c>
      <c r="C62" s="152" t="s">
        <v>2393</v>
      </c>
      <c r="D62" s="155" t="s">
        <v>2394</v>
      </c>
      <c r="E62" s="158" t="s">
        <v>2395</v>
      </c>
      <c r="F62" s="161" t="s">
        <v>2232</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2340</v>
      </c>
      <c r="B63" s="151" t="s">
        <v>2390</v>
      </c>
      <c r="C63" s="152" t="s">
        <v>2396</v>
      </c>
      <c r="D63" s="155" t="s">
        <v>2397</v>
      </c>
      <c r="E63" s="158" t="s">
        <v>2398</v>
      </c>
      <c r="F63" s="161" t="s">
        <v>2236</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2340</v>
      </c>
      <c r="B64" s="151" t="s">
        <v>2390</v>
      </c>
      <c r="C64" s="152" t="s">
        <v>2399</v>
      </c>
      <c r="D64" s="155" t="s">
        <v>2400</v>
      </c>
      <c r="E64" s="158" t="s">
        <v>2401</v>
      </c>
      <c r="F64" s="161" t="s">
        <v>2232</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2340</v>
      </c>
      <c r="B65" s="151" t="s">
        <v>2390</v>
      </c>
      <c r="C65" s="152" t="s">
        <v>2402</v>
      </c>
      <c r="D65" s="155" t="s">
        <v>2403</v>
      </c>
      <c r="E65" s="158" t="s">
        <v>2404</v>
      </c>
      <c r="F65" s="161" t="s">
        <v>2232</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2340</v>
      </c>
      <c r="B66" s="150" t="s">
        <v>1998</v>
      </c>
      <c r="C66" s="148" t="s">
        <v>2405</v>
      </c>
      <c r="D66" s="154" t="s">
        <v>2406</v>
      </c>
      <c r="E66" s="157" t="s">
        <v>25</v>
      </c>
      <c r="F66" s="160" t="s">
        <v>25</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2340</v>
      </c>
      <c r="B67" s="151" t="s">
        <v>1998</v>
      </c>
      <c r="C67" s="152" t="s">
        <v>2407</v>
      </c>
      <c r="D67" s="155" t="s">
        <v>2408</v>
      </c>
      <c r="E67" s="158" t="s">
        <v>2409</v>
      </c>
      <c r="F67" s="161" t="s">
        <v>2232</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2340</v>
      </c>
      <c r="B68" s="151" t="s">
        <v>1998</v>
      </c>
      <c r="C68" s="152" t="s">
        <v>2410</v>
      </c>
      <c r="D68" s="155" t="s">
        <v>2411</v>
      </c>
      <c r="E68" s="158" t="s">
        <v>2412</v>
      </c>
      <c r="F68" s="161" t="s">
        <v>2232</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2340</v>
      </c>
      <c r="B69" s="151" t="s">
        <v>1998</v>
      </c>
      <c r="C69" s="152" t="s">
        <v>2413</v>
      </c>
      <c r="D69" s="155" t="s">
        <v>2414</v>
      </c>
      <c r="E69" s="158" t="s">
        <v>2415</v>
      </c>
      <c r="F69" s="161" t="s">
        <v>2236</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2340</v>
      </c>
      <c r="B70" s="151" t="s">
        <v>1998</v>
      </c>
      <c r="C70" s="152" t="s">
        <v>2416</v>
      </c>
      <c r="D70" s="155" t="s">
        <v>2417</v>
      </c>
      <c r="E70" s="158" t="s">
        <v>2418</v>
      </c>
      <c r="F70" s="161" t="s">
        <v>2232</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2340</v>
      </c>
      <c r="B71" s="151" t="s">
        <v>1998</v>
      </c>
      <c r="C71" s="152" t="s">
        <v>2419</v>
      </c>
      <c r="D71" s="155" t="s">
        <v>2420</v>
      </c>
      <c r="E71" s="158" t="s">
        <v>2421</v>
      </c>
      <c r="F71" s="161" t="s">
        <v>2232</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2340</v>
      </c>
      <c r="B72" s="151" t="s">
        <v>1998</v>
      </c>
      <c r="C72" s="152" t="s">
        <v>2422</v>
      </c>
      <c r="D72" s="155" t="s">
        <v>2423</v>
      </c>
      <c r="E72" s="158" t="s">
        <v>2424</v>
      </c>
      <c r="F72" s="161" t="s">
        <v>2232</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2340</v>
      </c>
      <c r="B73" s="151" t="s">
        <v>1998</v>
      </c>
      <c r="C73" s="152" t="s">
        <v>2425</v>
      </c>
      <c r="D73" s="155" t="s">
        <v>2426</v>
      </c>
      <c r="E73" s="158" t="s">
        <v>2427</v>
      </c>
      <c r="F73" s="161" t="s">
        <v>25</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2340</v>
      </c>
      <c r="B74" s="151" t="s">
        <v>1998</v>
      </c>
      <c r="C74" s="152" t="s">
        <v>2428</v>
      </c>
      <c r="D74" s="155" t="s">
        <v>2429</v>
      </c>
      <c r="E74" s="158" t="s">
        <v>2430</v>
      </c>
      <c r="F74" s="161" t="s">
        <v>2236</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2340</v>
      </c>
      <c r="B75" s="151" t="s">
        <v>1998</v>
      </c>
      <c r="C75" s="152" t="s">
        <v>2431</v>
      </c>
      <c r="D75" s="155" t="s">
        <v>2432</v>
      </c>
      <c r="E75" s="158" t="s">
        <v>2433</v>
      </c>
      <c r="F75" s="161" t="s">
        <v>2246</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2340</v>
      </c>
      <c r="B76" s="151" t="s">
        <v>1998</v>
      </c>
      <c r="C76" s="152" t="s">
        <v>2434</v>
      </c>
      <c r="D76" s="155" t="s">
        <v>2435</v>
      </c>
      <c r="E76" s="158" t="s">
        <v>2436</v>
      </c>
      <c r="F76" s="161" t="s">
        <v>25</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2340</v>
      </c>
      <c r="B77" s="150" t="s">
        <v>2268</v>
      </c>
      <c r="C77" s="148" t="s">
        <v>2437</v>
      </c>
      <c r="D77" s="154"/>
      <c r="E77" s="157" t="s">
        <v>25</v>
      </c>
      <c r="F77" s="160" t="s">
        <v>25</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2340</v>
      </c>
      <c r="B78" s="151" t="s">
        <v>2268</v>
      </c>
      <c r="C78" s="152" t="s">
        <v>2438</v>
      </c>
      <c r="D78" s="155" t="s">
        <v>2439</v>
      </c>
      <c r="E78" s="158"/>
      <c r="F78" s="161" t="s">
        <v>25</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2340</v>
      </c>
      <c r="B79" s="151" t="s">
        <v>2268</v>
      </c>
      <c r="C79" s="152" t="s">
        <v>2440</v>
      </c>
      <c r="D79" s="155" t="s">
        <v>2441</v>
      </c>
      <c r="E79" s="158"/>
      <c r="F79" s="161" t="s">
        <v>25</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2340</v>
      </c>
      <c r="B80" s="151" t="s">
        <v>2268</v>
      </c>
      <c r="C80" s="152" t="s">
        <v>2442</v>
      </c>
      <c r="D80" s="155" t="s">
        <v>2443</v>
      </c>
      <c r="E80" s="158"/>
      <c r="F80" s="161" t="s">
        <v>25</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2340</v>
      </c>
      <c r="B81" s="150" t="s">
        <v>2196</v>
      </c>
      <c r="C81" s="148" t="s">
        <v>2444</v>
      </c>
      <c r="D81" s="154"/>
      <c r="E81" s="157" t="s">
        <v>25</v>
      </c>
      <c r="F81" s="160" t="s">
        <v>25</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2340</v>
      </c>
      <c r="B82" s="151" t="s">
        <v>2196</v>
      </c>
      <c r="C82" s="152" t="s">
        <v>2445</v>
      </c>
      <c r="D82" s="155" t="s">
        <v>2446</v>
      </c>
      <c r="E82" s="158"/>
      <c r="F82" s="161" t="s">
        <v>25</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2340</v>
      </c>
      <c r="B83" s="151" t="s">
        <v>2196</v>
      </c>
      <c r="C83" s="152" t="s">
        <v>2447</v>
      </c>
      <c r="D83" s="155" t="s">
        <v>2448</v>
      </c>
      <c r="E83" s="158"/>
      <c r="F83" s="161" t="s">
        <v>25</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2340</v>
      </c>
      <c r="B84" s="151" t="s">
        <v>2196</v>
      </c>
      <c r="C84" s="152" t="s">
        <v>2449</v>
      </c>
      <c r="D84" s="155" t="s">
        <v>2450</v>
      </c>
      <c r="E84" s="158"/>
      <c r="F84" s="161" t="s">
        <v>25</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2340</v>
      </c>
      <c r="B85" s="151" t="s">
        <v>2196</v>
      </c>
      <c r="C85" s="152" t="s">
        <v>2451</v>
      </c>
      <c r="D85" s="155" t="s">
        <v>2452</v>
      </c>
      <c r="E85" s="158"/>
      <c r="F85" s="161" t="s">
        <v>25</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2340</v>
      </c>
      <c r="B86" s="151" t="s">
        <v>2196</v>
      </c>
      <c r="C86" s="152" t="s">
        <v>2453</v>
      </c>
      <c r="D86" s="155" t="s">
        <v>2454</v>
      </c>
      <c r="E86" s="158"/>
      <c r="F86" s="161" t="s">
        <v>25</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2455</v>
      </c>
      <c r="B87" s="149" t="s">
        <v>25</v>
      </c>
      <c r="C87" s="147" t="s">
        <v>2456</v>
      </c>
      <c r="D87" s="153" t="s">
        <v>2457</v>
      </c>
      <c r="E87" s="156" t="s">
        <v>25</v>
      </c>
      <c r="F87" s="159" t="s">
        <v>25</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2455</v>
      </c>
      <c r="B88" s="150" t="s">
        <v>2458</v>
      </c>
      <c r="C88" s="148" t="s">
        <v>2459</v>
      </c>
      <c r="D88" s="154" t="s">
        <v>2460</v>
      </c>
      <c r="E88" s="157" t="s">
        <v>25</v>
      </c>
      <c r="F88" s="160" t="s">
        <v>25</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2455</v>
      </c>
      <c r="B89" s="151" t="s">
        <v>2458</v>
      </c>
      <c r="C89" s="152" t="s">
        <v>2461</v>
      </c>
      <c r="D89" s="155" t="s">
        <v>2462</v>
      </c>
      <c r="E89" s="158" t="s">
        <v>2463</v>
      </c>
      <c r="F89" s="161" t="s">
        <v>2232</v>
      </c>
      <c r="G89" s="164">
        <f>IF(COUNTIF(H89:AU89,"&lt;&gt;")=0,"",SUMPRODUCT(((Recommendations[ImplStatus]="Implemented")+(Recommendations[ImplStatus]="Compensated"))*ISNUMBER(MATCH(Recommendations[Id],H89:AU89,0)))/COUNTIF(H89:AU89,"&lt;&gt;"))</f>
        <v>0</v>
      </c>
      <c r="H89" s="167" t="s">
        <v>128</v>
      </c>
      <c r="I89" s="167" t="s">
        <v>133</v>
      </c>
      <c r="J89" s="167" t="s">
        <v>140</v>
      </c>
      <c r="K89" s="167" t="s">
        <v>146</v>
      </c>
      <c r="L89" s="167" t="s">
        <v>152</v>
      </c>
      <c r="M89" s="167" t="s">
        <v>158</v>
      </c>
      <c r="N89" s="167" t="s">
        <v>256</v>
      </c>
      <c r="O89" s="167" t="s">
        <v>262</v>
      </c>
      <c r="P89" s="167" t="s">
        <v>268</v>
      </c>
      <c r="Q89" s="167" t="s">
        <v>274</v>
      </c>
      <c r="R89" s="167" t="s">
        <v>279</v>
      </c>
      <c r="S89" s="167" t="s">
        <v>284</v>
      </c>
      <c r="T89" s="167" t="s">
        <v>289</v>
      </c>
      <c r="U89" s="167" t="s">
        <v>295</v>
      </c>
      <c r="V89" s="167" t="s">
        <v>314</v>
      </c>
      <c r="W89" s="167" t="s">
        <v>332</v>
      </c>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2455</v>
      </c>
      <c r="B90" s="151" t="s">
        <v>2458</v>
      </c>
      <c r="C90" s="152" t="s">
        <v>2464</v>
      </c>
      <c r="D90" s="155" t="s">
        <v>2465</v>
      </c>
      <c r="E90" s="158" t="s">
        <v>2466</v>
      </c>
      <c r="F90" s="161" t="s">
        <v>2236</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2455</v>
      </c>
      <c r="B91" s="151" t="s">
        <v>2458</v>
      </c>
      <c r="C91" s="152" t="s">
        <v>2467</v>
      </c>
      <c r="D91" s="155" t="s">
        <v>2468</v>
      </c>
      <c r="E91" s="158" t="s">
        <v>2469</v>
      </c>
      <c r="F91" s="161" t="s">
        <v>2232</v>
      </c>
      <c r="G91" s="164">
        <f>IF(COUNTIF(H91:AU91,"&lt;&gt;")=0,"",SUMPRODUCT(((Recommendations[ImplStatus]="Implemented")+(Recommendations[ImplStatus]="Compensated"))*ISNUMBER(MATCH(Recommendations[Id],H91:AU91,0)))/COUNTIF(H91:AU91,"&lt;&gt;"))</f>
        <v>0</v>
      </c>
      <c r="H91" s="167" t="s">
        <v>110</v>
      </c>
      <c r="I91" s="167" t="s">
        <v>116</v>
      </c>
      <c r="J91" s="167" t="s">
        <v>146</v>
      </c>
      <c r="K91" s="167" t="s">
        <v>158</v>
      </c>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2455</v>
      </c>
      <c r="B92" s="151" t="s">
        <v>2458</v>
      </c>
      <c r="C92" s="152" t="s">
        <v>2470</v>
      </c>
      <c r="D92" s="155" t="s">
        <v>2471</v>
      </c>
      <c r="E92" s="158" t="s">
        <v>2472</v>
      </c>
      <c r="F92" s="161" t="s">
        <v>2232</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2455</v>
      </c>
      <c r="B93" s="151" t="s">
        <v>2458</v>
      </c>
      <c r="C93" s="152" t="s">
        <v>2473</v>
      </c>
      <c r="D93" s="155" t="s">
        <v>2474</v>
      </c>
      <c r="E93" s="158" t="s">
        <v>2475</v>
      </c>
      <c r="F93" s="161" t="s">
        <v>2232</v>
      </c>
      <c r="G93" s="164">
        <f>IF(COUNTIF(H93:AU93,"&lt;&gt;")=0,"",SUMPRODUCT(((Recommendations[ImplStatus]="Implemented")+(Recommendations[ImplStatus]="Compensated"))*ISNUMBER(MATCH(Recommendations[Id],H93:AU93,0)))/COUNTIF(H93:AU93,"&lt;&gt;"))</f>
        <v>0</v>
      </c>
      <c r="H93" s="167" t="s">
        <v>152</v>
      </c>
      <c r="I93" s="167" t="s">
        <v>188</v>
      </c>
      <c r="J93" s="167" t="s">
        <v>220</v>
      </c>
      <c r="K93" s="167" t="s">
        <v>238</v>
      </c>
      <c r="L93" s="167" t="s">
        <v>244</v>
      </c>
      <c r="M93" s="167" t="s">
        <v>250</v>
      </c>
      <c r="N93" s="167" t="s">
        <v>301</v>
      </c>
      <c r="O93" s="167" t="s">
        <v>307</v>
      </c>
      <c r="P93" s="167" t="s">
        <v>314</v>
      </c>
      <c r="Q93" s="167" t="s">
        <v>320</v>
      </c>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2455</v>
      </c>
      <c r="B94" s="151" t="s">
        <v>2458</v>
      </c>
      <c r="C94" s="152" t="s">
        <v>2476</v>
      </c>
      <c r="D94" s="155" t="s">
        <v>2477</v>
      </c>
      <c r="E94" s="158" t="s">
        <v>2478</v>
      </c>
      <c r="F94" s="161" t="s">
        <v>2236</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2455</v>
      </c>
      <c r="B95" s="150" t="s">
        <v>2479</v>
      </c>
      <c r="C95" s="148" t="s">
        <v>2480</v>
      </c>
      <c r="D95" s="154"/>
      <c r="E95" s="157" t="s">
        <v>25</v>
      </c>
      <c r="F95" s="160" t="s">
        <v>25</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2455</v>
      </c>
      <c r="B96" s="151" t="s">
        <v>2479</v>
      </c>
      <c r="C96" s="152" t="s">
        <v>2481</v>
      </c>
      <c r="D96" s="155" t="s">
        <v>2482</v>
      </c>
      <c r="E96" s="158"/>
      <c r="F96" s="161" t="s">
        <v>25</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2455</v>
      </c>
      <c r="B97" s="151" t="s">
        <v>2479</v>
      </c>
      <c r="C97" s="152" t="s">
        <v>2483</v>
      </c>
      <c r="D97" s="155" t="s">
        <v>2484</v>
      </c>
      <c r="E97" s="158"/>
      <c r="F97" s="161" t="s">
        <v>25</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2455</v>
      </c>
      <c r="B98" s="151" t="s">
        <v>2479</v>
      </c>
      <c r="C98" s="152" t="s">
        <v>2485</v>
      </c>
      <c r="D98" s="155" t="s">
        <v>2486</v>
      </c>
      <c r="E98" s="158"/>
      <c r="F98" s="161" t="s">
        <v>25</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2455</v>
      </c>
      <c r="B99" s="151" t="s">
        <v>2479</v>
      </c>
      <c r="C99" s="152" t="s">
        <v>2487</v>
      </c>
      <c r="D99" s="155" t="s">
        <v>2488</v>
      </c>
      <c r="E99" s="158"/>
      <c r="F99" s="161" t="s">
        <v>25</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2455</v>
      </c>
      <c r="B100" s="151" t="s">
        <v>2479</v>
      </c>
      <c r="C100" s="152" t="s">
        <v>2489</v>
      </c>
      <c r="D100" s="155" t="s">
        <v>2490</v>
      </c>
      <c r="E100" s="158"/>
      <c r="F100" s="161" t="s">
        <v>25</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2455</v>
      </c>
      <c r="B101" s="151" t="s">
        <v>2479</v>
      </c>
      <c r="C101" s="152" t="s">
        <v>2491</v>
      </c>
      <c r="D101" s="155" t="s">
        <v>2492</v>
      </c>
      <c r="E101" s="158"/>
      <c r="F101" s="161" t="s">
        <v>25</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2455</v>
      </c>
      <c r="B102" s="151" t="s">
        <v>2479</v>
      </c>
      <c r="C102" s="152" t="s">
        <v>2493</v>
      </c>
      <c r="D102" s="155" t="s">
        <v>2494</v>
      </c>
      <c r="E102" s="158"/>
      <c r="F102" s="161" t="s">
        <v>25</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2455</v>
      </c>
      <c r="B103" s="150" t="s">
        <v>1640</v>
      </c>
      <c r="C103" s="148" t="s">
        <v>2495</v>
      </c>
      <c r="D103" s="154" t="s">
        <v>2496</v>
      </c>
      <c r="E103" s="157" t="s">
        <v>25</v>
      </c>
      <c r="F103" s="160" t="s">
        <v>25</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2455</v>
      </c>
      <c r="B104" s="151" t="s">
        <v>1640</v>
      </c>
      <c r="C104" s="152" t="s">
        <v>2497</v>
      </c>
      <c r="D104" s="155" t="s">
        <v>2498</v>
      </c>
      <c r="E104" s="158" t="s">
        <v>2499</v>
      </c>
      <c r="F104" s="161" t="s">
        <v>2232</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2455</v>
      </c>
      <c r="B105" s="151" t="s">
        <v>1640</v>
      </c>
      <c r="C105" s="152" t="s">
        <v>2500</v>
      </c>
      <c r="D105" s="155" t="s">
        <v>2501</v>
      </c>
      <c r="E105" s="158" t="s">
        <v>2502</v>
      </c>
      <c r="F105" s="161" t="s">
        <v>2236</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2455</v>
      </c>
      <c r="B106" s="151" t="s">
        <v>1640</v>
      </c>
      <c r="C106" s="152" t="s">
        <v>2503</v>
      </c>
      <c r="D106" s="155" t="s">
        <v>2504</v>
      </c>
      <c r="E106" s="158"/>
      <c r="F106" s="161" t="s">
        <v>25</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2455</v>
      </c>
      <c r="B107" s="151" t="s">
        <v>1640</v>
      </c>
      <c r="C107" s="152" t="s">
        <v>2505</v>
      </c>
      <c r="D107" s="155" t="s">
        <v>2506</v>
      </c>
      <c r="E107" s="158"/>
      <c r="F107" s="161" t="s">
        <v>25</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2455</v>
      </c>
      <c r="B108" s="151" t="s">
        <v>1640</v>
      </c>
      <c r="C108" s="152" t="s">
        <v>2507</v>
      </c>
      <c r="D108" s="155" t="s">
        <v>2508</v>
      </c>
      <c r="E108" s="158"/>
      <c r="F108" s="161" t="s">
        <v>25</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2455</v>
      </c>
      <c r="B109" s="150" t="s">
        <v>2509</v>
      </c>
      <c r="C109" s="148" t="s">
        <v>2510</v>
      </c>
      <c r="D109" s="154" t="s">
        <v>2511</v>
      </c>
      <c r="E109" s="157" t="s">
        <v>25</v>
      </c>
      <c r="F109" s="160" t="s">
        <v>25</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2455</v>
      </c>
      <c r="B110" s="151" t="s">
        <v>2509</v>
      </c>
      <c r="C110" s="152" t="s">
        <v>2512</v>
      </c>
      <c r="D110" s="155" t="s">
        <v>2513</v>
      </c>
      <c r="E110" s="158" t="s">
        <v>2514</v>
      </c>
      <c r="F110" s="161" t="s">
        <v>2232</v>
      </c>
      <c r="G110" s="164">
        <f>IF(COUNTIF(H110:AU110,"&lt;&gt;")=0,"",SUMPRODUCT(((Recommendations[ImplStatus]="Implemented")+(Recommendations[ImplStatus]="Compensated"))*ISNUMBER(MATCH(Recommendations[Id],H110:AU110,0)))/COUNTIF(H110:AU110,"&lt;&gt;"))</f>
        <v>0</v>
      </c>
      <c r="H110" s="167" t="s">
        <v>220</v>
      </c>
      <c r="I110" s="167" t="s">
        <v>238</v>
      </c>
      <c r="J110" s="167" t="s">
        <v>244</v>
      </c>
      <c r="K110" s="167" t="s">
        <v>250</v>
      </c>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2455</v>
      </c>
      <c r="B111" s="151" t="s">
        <v>2509</v>
      </c>
      <c r="C111" s="152" t="s">
        <v>2515</v>
      </c>
      <c r="D111" s="155" t="s">
        <v>2516</v>
      </c>
      <c r="E111" s="158" t="s">
        <v>2517</v>
      </c>
      <c r="F111" s="161" t="s">
        <v>2232</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2455</v>
      </c>
      <c r="B112" s="151" t="s">
        <v>2509</v>
      </c>
      <c r="C112" s="152" t="s">
        <v>2518</v>
      </c>
      <c r="D112" s="155" t="s">
        <v>2519</v>
      </c>
      <c r="E112" s="158"/>
      <c r="F112" s="161" t="s">
        <v>25</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2455</v>
      </c>
      <c r="B113" s="151" t="s">
        <v>2509</v>
      </c>
      <c r="C113" s="152" t="s">
        <v>2520</v>
      </c>
      <c r="D113" s="155" t="s">
        <v>2521</v>
      </c>
      <c r="E113" s="158"/>
      <c r="F113" s="161" t="s">
        <v>25</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2455</v>
      </c>
      <c r="B114" s="151" t="s">
        <v>2509</v>
      </c>
      <c r="C114" s="152" t="s">
        <v>2522</v>
      </c>
      <c r="D114" s="155" t="s">
        <v>2523</v>
      </c>
      <c r="E114" s="158"/>
      <c r="F114" s="161" t="s">
        <v>25</v>
      </c>
      <c r="G114" s="164">
        <f>IF(COUNTIF(H114:AU114,"&lt;&gt;")=0,"",SUMPRODUCT(((Recommendations[ImplStatus]="Implemented")+(Recommendations[ImplStatus]="Compensated"))*ISNUMBER(MATCH(Recommendations[Id],H114:AU114,0)))/COUNTIF(H114:AU114,"&lt;&gt;"))</f>
        <v>0</v>
      </c>
      <c r="H114" s="167" t="s">
        <v>93</v>
      </c>
      <c r="I114" s="167" t="s">
        <v>98</v>
      </c>
      <c r="J114" s="167" t="s">
        <v>344</v>
      </c>
      <c r="K114" s="167" t="s">
        <v>350</v>
      </c>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2455</v>
      </c>
      <c r="B115" s="151" t="s">
        <v>2509</v>
      </c>
      <c r="C115" s="152" t="s">
        <v>2524</v>
      </c>
      <c r="D115" s="155" t="s">
        <v>2525</v>
      </c>
      <c r="E115" s="158"/>
      <c r="F115" s="161" t="s">
        <v>25</v>
      </c>
      <c r="G115" s="164">
        <f>IF(COUNTIF(H115:AU115,"&lt;&gt;")=0,"",SUMPRODUCT(((Recommendations[ImplStatus]="Implemented")+(Recommendations[ImplStatus]="Compensated"))*ISNUMBER(MATCH(Recommendations[Id],H115:AU115,0)))/COUNTIF(H115:AU115,"&lt;&gt;"))</f>
        <v>0</v>
      </c>
      <c r="H115" s="167" t="s">
        <v>104</v>
      </c>
      <c r="I115" s="167" t="s">
        <v>226</v>
      </c>
      <c r="J115" s="167" t="s">
        <v>232</v>
      </c>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2455</v>
      </c>
      <c r="B116" s="151" t="s">
        <v>2509</v>
      </c>
      <c r="C116" s="152" t="s">
        <v>2526</v>
      </c>
      <c r="D116" s="155" t="s">
        <v>2527</v>
      </c>
      <c r="E116" s="158"/>
      <c r="F116" s="161" t="s">
        <v>25</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2455</v>
      </c>
      <c r="B117" s="151" t="s">
        <v>2509</v>
      </c>
      <c r="C117" s="152" t="s">
        <v>2528</v>
      </c>
      <c r="D117" s="155" t="s">
        <v>2529</v>
      </c>
      <c r="E117" s="158"/>
      <c r="F117" s="161" t="s">
        <v>25</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2455</v>
      </c>
      <c r="B118" s="151" t="s">
        <v>2509</v>
      </c>
      <c r="C118" s="152" t="s">
        <v>2530</v>
      </c>
      <c r="D118" s="155" t="s">
        <v>2531</v>
      </c>
      <c r="E118" s="158" t="s">
        <v>2532</v>
      </c>
      <c r="F118" s="161" t="s">
        <v>2232</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2455</v>
      </c>
      <c r="B119" s="151" t="s">
        <v>2509</v>
      </c>
      <c r="C119" s="152" t="s">
        <v>2533</v>
      </c>
      <c r="D119" s="155" t="s">
        <v>2534</v>
      </c>
      <c r="E119" s="158" t="s">
        <v>2535</v>
      </c>
      <c r="F119" s="161" t="s">
        <v>2232</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2455</v>
      </c>
      <c r="B120" s="150" t="s">
        <v>2536</v>
      </c>
      <c r="C120" s="148" t="s">
        <v>2537</v>
      </c>
      <c r="D120" s="154"/>
      <c r="E120" s="157" t="s">
        <v>25</v>
      </c>
      <c r="F120" s="160" t="s">
        <v>25</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2455</v>
      </c>
      <c r="B121" s="151" t="s">
        <v>2536</v>
      </c>
      <c r="C121" s="152" t="s">
        <v>2538</v>
      </c>
      <c r="D121" s="155" t="s">
        <v>2539</v>
      </c>
      <c r="E121" s="158"/>
      <c r="F121" s="161" t="s">
        <v>25</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2455</v>
      </c>
      <c r="B122" s="151" t="s">
        <v>2536</v>
      </c>
      <c r="C122" s="152" t="s">
        <v>2540</v>
      </c>
      <c r="D122" s="155" t="s">
        <v>2541</v>
      </c>
      <c r="E122" s="158"/>
      <c r="F122" s="161" t="s">
        <v>25</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2455</v>
      </c>
      <c r="B123" s="151" t="s">
        <v>2536</v>
      </c>
      <c r="C123" s="152" t="s">
        <v>2542</v>
      </c>
      <c r="D123" s="155" t="s">
        <v>2543</v>
      </c>
      <c r="E123" s="158"/>
      <c r="F123" s="161" t="s">
        <v>25</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2455</v>
      </c>
      <c r="B124" s="151" t="s">
        <v>2536</v>
      </c>
      <c r="C124" s="152" t="s">
        <v>2544</v>
      </c>
      <c r="D124" s="155" t="s">
        <v>2545</v>
      </c>
      <c r="E124" s="158"/>
      <c r="F124" s="161" t="s">
        <v>25</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2455</v>
      </c>
      <c r="B125" s="151" t="s">
        <v>2536</v>
      </c>
      <c r="C125" s="152" t="s">
        <v>2546</v>
      </c>
      <c r="D125" s="155" t="s">
        <v>2547</v>
      </c>
      <c r="E125" s="158"/>
      <c r="F125" s="161" t="s">
        <v>25</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2455</v>
      </c>
      <c r="B126" s="151" t="s">
        <v>2536</v>
      </c>
      <c r="C126" s="152" t="s">
        <v>2548</v>
      </c>
      <c r="D126" s="155" t="s">
        <v>2549</v>
      </c>
      <c r="E126" s="158"/>
      <c r="F126" s="161" t="s">
        <v>25</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2455</v>
      </c>
      <c r="B127" s="151" t="s">
        <v>2536</v>
      </c>
      <c r="C127" s="152" t="s">
        <v>2550</v>
      </c>
      <c r="D127" s="155" t="s">
        <v>2551</v>
      </c>
      <c r="E127" s="158"/>
      <c r="F127" s="161" t="s">
        <v>25</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2455</v>
      </c>
      <c r="B128" s="151" t="s">
        <v>2536</v>
      </c>
      <c r="C128" s="152" t="s">
        <v>2552</v>
      </c>
      <c r="D128" s="155" t="s">
        <v>2553</v>
      </c>
      <c r="E128" s="158"/>
      <c r="F128" s="161" t="s">
        <v>25</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2455</v>
      </c>
      <c r="B129" s="151" t="s">
        <v>2536</v>
      </c>
      <c r="C129" s="152" t="s">
        <v>2554</v>
      </c>
      <c r="D129" s="155" t="s">
        <v>2555</v>
      </c>
      <c r="E129" s="158"/>
      <c r="F129" s="161" t="s">
        <v>25</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2455</v>
      </c>
      <c r="B130" s="151" t="s">
        <v>2536</v>
      </c>
      <c r="C130" s="152" t="s">
        <v>2556</v>
      </c>
      <c r="D130" s="155" t="s">
        <v>2557</v>
      </c>
      <c r="E130" s="158"/>
      <c r="F130" s="161" t="s">
        <v>25</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2455</v>
      </c>
      <c r="B131" s="151" t="s">
        <v>2536</v>
      </c>
      <c r="C131" s="152" t="s">
        <v>2558</v>
      </c>
      <c r="D131" s="155" t="s">
        <v>2559</v>
      </c>
      <c r="E131" s="158"/>
      <c r="F131" s="161" t="s">
        <v>25</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2455</v>
      </c>
      <c r="B132" s="151" t="s">
        <v>2536</v>
      </c>
      <c r="C132" s="152" t="s">
        <v>2560</v>
      </c>
      <c r="D132" s="155" t="s">
        <v>2561</v>
      </c>
      <c r="E132" s="158"/>
      <c r="F132" s="161" t="s">
        <v>25</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2455</v>
      </c>
      <c r="B133" s="150" t="s">
        <v>2562</v>
      </c>
      <c r="C133" s="148" t="s">
        <v>2563</v>
      </c>
      <c r="D133" s="154" t="s">
        <v>2564</v>
      </c>
      <c r="E133" s="157" t="s">
        <v>25</v>
      </c>
      <c r="F133" s="160" t="s">
        <v>25</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2455</v>
      </c>
      <c r="B134" s="151" t="s">
        <v>2562</v>
      </c>
      <c r="C134" s="152" t="s">
        <v>2565</v>
      </c>
      <c r="D134" s="155" t="s">
        <v>2566</v>
      </c>
      <c r="E134" s="158" t="s">
        <v>2567</v>
      </c>
      <c r="F134" s="161" t="s">
        <v>2236</v>
      </c>
      <c r="G134" s="164">
        <f>IF(COUNTIF(H134:AU134,"&lt;&gt;")=0,"",SUMPRODUCT(((Recommendations[ImplStatus]="Implemented")+(Recommendations[ImplStatus]="Compensated"))*ISNUMBER(MATCH(Recommendations[Id],H134:AU134,0)))/COUNTIF(H134:AU134,"&lt;&gt;"))</f>
        <v>0</v>
      </c>
      <c r="H134" s="167" t="s">
        <v>59</v>
      </c>
      <c r="I134" s="167"/>
      <c r="J134" s="167"/>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2455</v>
      </c>
      <c r="B135" s="151" t="s">
        <v>2562</v>
      </c>
      <c r="C135" s="152" t="s">
        <v>2568</v>
      </c>
      <c r="D135" s="155" t="s">
        <v>2569</v>
      </c>
      <c r="E135" s="158" t="s">
        <v>2570</v>
      </c>
      <c r="F135" s="161" t="s">
        <v>2236</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2455</v>
      </c>
      <c r="B136" s="151" t="s">
        <v>2562</v>
      </c>
      <c r="C136" s="152" t="s">
        <v>2571</v>
      </c>
      <c r="D136" s="155" t="s">
        <v>2572</v>
      </c>
      <c r="E136" s="158" t="s">
        <v>2573</v>
      </c>
      <c r="F136" s="161" t="s">
        <v>2232</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2455</v>
      </c>
      <c r="B137" s="151" t="s">
        <v>2562</v>
      </c>
      <c r="C137" s="152" t="s">
        <v>2574</v>
      </c>
      <c r="D137" s="155" t="s">
        <v>2575</v>
      </c>
      <c r="E137" s="158" t="s">
        <v>2576</v>
      </c>
      <c r="F137" s="161" t="s">
        <v>25</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2455</v>
      </c>
      <c r="B138" s="150" t="s">
        <v>1872</v>
      </c>
      <c r="C138" s="148" t="s">
        <v>2577</v>
      </c>
      <c r="D138" s="154"/>
      <c r="E138" s="157" t="s">
        <v>25</v>
      </c>
      <c r="F138" s="160" t="s">
        <v>25</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2455</v>
      </c>
      <c r="B139" s="151" t="s">
        <v>1872</v>
      </c>
      <c r="C139" s="152" t="s">
        <v>2578</v>
      </c>
      <c r="D139" s="155" t="s">
        <v>2579</v>
      </c>
      <c r="E139" s="158"/>
      <c r="F139" s="161" t="s">
        <v>25</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2455</v>
      </c>
      <c r="B140" s="151" t="s">
        <v>1872</v>
      </c>
      <c r="C140" s="152" t="s">
        <v>2580</v>
      </c>
      <c r="D140" s="155" t="s">
        <v>2581</v>
      </c>
      <c r="E140" s="158"/>
      <c r="F140" s="161" t="s">
        <v>25</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2455</v>
      </c>
      <c r="B141" s="150" t="s">
        <v>2582</v>
      </c>
      <c r="C141" s="148" t="s">
        <v>2583</v>
      </c>
      <c r="D141" s="154" t="s">
        <v>2584</v>
      </c>
      <c r="E141" s="157" t="s">
        <v>25</v>
      </c>
      <c r="F141" s="160" t="s">
        <v>25</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2455</v>
      </c>
      <c r="B142" s="151" t="s">
        <v>2582</v>
      </c>
      <c r="C142" s="152" t="s">
        <v>2585</v>
      </c>
      <c r="D142" s="155" t="s">
        <v>2586</v>
      </c>
      <c r="E142" s="158" t="s">
        <v>2587</v>
      </c>
      <c r="F142" s="161" t="s">
        <v>2232</v>
      </c>
      <c r="G142" s="164">
        <f>IF(COUNTIF(H142:AU142,"&lt;&gt;")=0,"",SUMPRODUCT(((Recommendations[ImplStatus]="Implemented")+(Recommendations[ImplStatus]="Compensated"))*ISNUMBER(MATCH(Recommendations[Id],H142:AU142,0)))/COUNTIF(H142:AU142,"&lt;&gt;"))</f>
        <v>0</v>
      </c>
      <c r="H142" s="167" t="s">
        <v>122</v>
      </c>
      <c r="I142" s="167" t="s">
        <v>326</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2455</v>
      </c>
      <c r="B143" s="151" t="s">
        <v>2582</v>
      </c>
      <c r="C143" s="152" t="s">
        <v>2588</v>
      </c>
      <c r="D143" s="155" t="s">
        <v>2589</v>
      </c>
      <c r="E143" s="158" t="s">
        <v>2590</v>
      </c>
      <c r="F143" s="161" t="s">
        <v>2232</v>
      </c>
      <c r="G143" s="164">
        <f>IF(COUNTIF(H143:AU143,"&lt;&gt;")=0,"",SUMPRODUCT(((Recommendations[ImplStatus]="Implemented")+(Recommendations[ImplStatus]="Compensated"))*ISNUMBER(MATCH(Recommendations[Id],H143:AU143,0)))/COUNTIF(H143:AU143,"&lt;&gt;"))</f>
        <v>0</v>
      </c>
      <c r="H143" s="167" t="s">
        <v>18</v>
      </c>
      <c r="I143" s="167" t="s">
        <v>30</v>
      </c>
      <c r="J143" s="167" t="s">
        <v>36</v>
      </c>
      <c r="K143" s="167" t="s">
        <v>42</v>
      </c>
      <c r="L143" s="167" t="s">
        <v>48</v>
      </c>
      <c r="M143" s="167" t="s">
        <v>53</v>
      </c>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2455</v>
      </c>
      <c r="B144" s="151" t="s">
        <v>2582</v>
      </c>
      <c r="C144" s="152" t="s">
        <v>2591</v>
      </c>
      <c r="D144" s="155" t="s">
        <v>2592</v>
      </c>
      <c r="E144" s="158" t="s">
        <v>2593</v>
      </c>
      <c r="F144" s="161" t="s">
        <v>2236</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2455</v>
      </c>
      <c r="B145" s="151" t="s">
        <v>2582</v>
      </c>
      <c r="C145" s="152" t="s">
        <v>2594</v>
      </c>
      <c r="D145" s="155" t="s">
        <v>2595</v>
      </c>
      <c r="E145" s="158" t="s">
        <v>2596</v>
      </c>
      <c r="F145" s="161" t="s">
        <v>2232</v>
      </c>
      <c r="G145" s="164">
        <f>IF(COUNTIF(H145:AU145,"&lt;&gt;")=0,"",SUMPRODUCT(((Recommendations[ImplStatus]="Implemented")+(Recommendations[ImplStatus]="Compensated"))*ISNUMBER(MATCH(Recommendations[Id],H145:AU145,0)))/COUNTIF(H145:AU145,"&lt;&gt;"))</f>
        <v>0</v>
      </c>
      <c r="H145" s="167" t="s">
        <v>165</v>
      </c>
      <c r="I145" s="167" t="s">
        <v>170</v>
      </c>
      <c r="J145" s="167" t="s">
        <v>175</v>
      </c>
      <c r="K145" s="167" t="s">
        <v>181</v>
      </c>
      <c r="L145" s="167" t="s">
        <v>188</v>
      </c>
      <c r="M145" s="167" t="s">
        <v>194</v>
      </c>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2455</v>
      </c>
      <c r="B146" s="151" t="s">
        <v>2582</v>
      </c>
      <c r="C146" s="152" t="s">
        <v>2597</v>
      </c>
      <c r="D146" s="155" t="s">
        <v>2598</v>
      </c>
      <c r="E146" s="158" t="s">
        <v>2599</v>
      </c>
      <c r="F146" s="161" t="s">
        <v>2232</v>
      </c>
      <c r="G146" s="164">
        <f>IF(COUNTIF(H146:AU146,"&lt;&gt;")=0,"",SUMPRODUCT(((Recommendations[ImplStatus]="Implemented")+(Recommendations[ImplStatus]="Compensated"))*ISNUMBER(MATCH(Recommendations[Id],H146:AU146,0)))/COUNTIF(H146:AU146,"&lt;&gt;"))</f>
        <v>0</v>
      </c>
      <c r="H146" s="167" t="s">
        <v>104</v>
      </c>
      <c r="I146" s="167" t="s">
        <v>226</v>
      </c>
      <c r="J146" s="167" t="s">
        <v>338</v>
      </c>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2455</v>
      </c>
      <c r="B147" s="151" t="s">
        <v>2582</v>
      </c>
      <c r="C147" s="152" t="s">
        <v>2600</v>
      </c>
      <c r="D147" s="155" t="s">
        <v>2601</v>
      </c>
      <c r="E147" s="158" t="s">
        <v>2602</v>
      </c>
      <c r="F147" s="161" t="s">
        <v>2232</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2455</v>
      </c>
      <c r="B148" s="150" t="s">
        <v>2603</v>
      </c>
      <c r="C148" s="148" t="s">
        <v>2604</v>
      </c>
      <c r="D148" s="154"/>
      <c r="E148" s="157" t="s">
        <v>25</v>
      </c>
      <c r="F148" s="160" t="s">
        <v>25</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2455</v>
      </c>
      <c r="B149" s="151" t="s">
        <v>2603</v>
      </c>
      <c r="C149" s="152" t="s">
        <v>2605</v>
      </c>
      <c r="D149" s="155" t="s">
        <v>2606</v>
      </c>
      <c r="E149" s="158"/>
      <c r="F149" s="161" t="s">
        <v>25</v>
      </c>
      <c r="G149" s="164">
        <f>IF(COUNTIF(H149:AU149,"&lt;&gt;")=0,"",SUMPRODUCT(((Recommendations[ImplStatus]="Implemented")+(Recommendations[ImplStatus]="Compensated"))*ISNUMBER(MATCH(Recommendations[Id],H149:AU149,0)))/COUNTIF(H149:AU149,"&lt;&gt;"))</f>
        <v>0</v>
      </c>
      <c r="H149" s="167" t="s">
        <v>66</v>
      </c>
      <c r="I149" s="167" t="s">
        <v>72</v>
      </c>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2455</v>
      </c>
      <c r="B150" s="151" t="s">
        <v>2603</v>
      </c>
      <c r="C150" s="152" t="s">
        <v>2607</v>
      </c>
      <c r="D150" s="155" t="s">
        <v>2608</v>
      </c>
      <c r="E150" s="158"/>
      <c r="F150" s="161" t="s">
        <v>25</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2455</v>
      </c>
      <c r="B151" s="151" t="s">
        <v>2603</v>
      </c>
      <c r="C151" s="152" t="s">
        <v>2609</v>
      </c>
      <c r="D151" s="155" t="s">
        <v>2610</v>
      </c>
      <c r="E151" s="158"/>
      <c r="F151" s="161" t="s">
        <v>25</v>
      </c>
      <c r="G151" s="164">
        <f>IF(COUNTIF(H151:AU151,"&lt;&gt;")=0,"",SUMPRODUCT(((Recommendations[ImplStatus]="Implemented")+(Recommendations[ImplStatus]="Compensated"))*ISNUMBER(MATCH(Recommendations[Id],H151:AU151,0)))/COUNTIF(H151:AU151,"&lt;&gt;"))</f>
        <v>0</v>
      </c>
      <c r="H151" s="167" t="s">
        <v>79</v>
      </c>
      <c r="I151" s="167" t="s">
        <v>85</v>
      </c>
      <c r="J151" s="167" t="s">
        <v>201</v>
      </c>
      <c r="K151" s="167" t="s">
        <v>207</v>
      </c>
      <c r="L151" s="167" t="s">
        <v>213</v>
      </c>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2455</v>
      </c>
      <c r="B152" s="151" t="s">
        <v>2603</v>
      </c>
      <c r="C152" s="152" t="s">
        <v>2611</v>
      </c>
      <c r="D152" s="155" t="s">
        <v>2612</v>
      </c>
      <c r="E152" s="158"/>
      <c r="F152" s="161" t="s">
        <v>25</v>
      </c>
      <c r="G152" s="164">
        <f>IF(COUNTIF(H152:AU152,"&lt;&gt;")=0,"",SUMPRODUCT(((Recommendations[ImplStatus]="Implemented")+(Recommendations[ImplStatus]="Compensated"))*ISNUMBER(MATCH(Recommendations[Id],H152:AU152,0)))/COUNTIF(H152:AU152,"&lt;&gt;"))</f>
        <v>0</v>
      </c>
      <c r="H152" s="167" t="s">
        <v>59</v>
      </c>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2455</v>
      </c>
      <c r="B153" s="151" t="s">
        <v>2603</v>
      </c>
      <c r="C153" s="152" t="s">
        <v>2613</v>
      </c>
      <c r="D153" s="155" t="s">
        <v>2614</v>
      </c>
      <c r="E153" s="158"/>
      <c r="F153" s="161" t="s">
        <v>25</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2615</v>
      </c>
      <c r="B154" s="149" t="s">
        <v>25</v>
      </c>
      <c r="C154" s="147" t="s">
        <v>2616</v>
      </c>
      <c r="D154" s="153" t="s">
        <v>2617</v>
      </c>
      <c r="E154" s="156" t="s">
        <v>25</v>
      </c>
      <c r="F154" s="159" t="s">
        <v>25</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2615</v>
      </c>
      <c r="B155" s="150" t="s">
        <v>2618</v>
      </c>
      <c r="C155" s="148" t="s">
        <v>2619</v>
      </c>
      <c r="D155" s="154" t="s">
        <v>2620</v>
      </c>
      <c r="E155" s="157" t="s">
        <v>25</v>
      </c>
      <c r="F155" s="160" t="s">
        <v>25</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2615</v>
      </c>
      <c r="B156" s="151" t="s">
        <v>2618</v>
      </c>
      <c r="C156" s="152" t="s">
        <v>2621</v>
      </c>
      <c r="D156" s="155" t="s">
        <v>2622</v>
      </c>
      <c r="E156" s="158"/>
      <c r="F156" s="161" t="s">
        <v>25</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2615</v>
      </c>
      <c r="B157" s="151" t="s">
        <v>2618</v>
      </c>
      <c r="C157" s="152" t="s">
        <v>2623</v>
      </c>
      <c r="D157" s="155" t="s">
        <v>2624</v>
      </c>
      <c r="E157" s="158" t="s">
        <v>2625</v>
      </c>
      <c r="F157" s="161" t="s">
        <v>2232</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2615</v>
      </c>
      <c r="B158" s="151" t="s">
        <v>2618</v>
      </c>
      <c r="C158" s="152" t="s">
        <v>2626</v>
      </c>
      <c r="D158" s="155" t="s">
        <v>2627</v>
      </c>
      <c r="E158" s="158" t="s">
        <v>2628</v>
      </c>
      <c r="F158" s="161" t="s">
        <v>2232</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2615</v>
      </c>
      <c r="B159" s="151" t="s">
        <v>2618</v>
      </c>
      <c r="C159" s="152" t="s">
        <v>2629</v>
      </c>
      <c r="D159" s="155" t="s">
        <v>2630</v>
      </c>
      <c r="E159" s="158" t="s">
        <v>2631</v>
      </c>
      <c r="F159" s="161" t="s">
        <v>2232</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2615</v>
      </c>
      <c r="B160" s="151" t="s">
        <v>2618</v>
      </c>
      <c r="C160" s="152" t="s">
        <v>2632</v>
      </c>
      <c r="D160" s="155" t="s">
        <v>2633</v>
      </c>
      <c r="E160" s="158"/>
      <c r="F160" s="161" t="s">
        <v>25</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2615</v>
      </c>
      <c r="B161" s="151" t="s">
        <v>2618</v>
      </c>
      <c r="C161" s="152" t="s">
        <v>2634</v>
      </c>
      <c r="D161" s="155" t="s">
        <v>2635</v>
      </c>
      <c r="E161" s="158" t="s">
        <v>2636</v>
      </c>
      <c r="F161" s="161" t="s">
        <v>2232</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2615</v>
      </c>
      <c r="B162" s="151" t="s">
        <v>2618</v>
      </c>
      <c r="C162" s="152" t="s">
        <v>2637</v>
      </c>
      <c r="D162" s="155" t="s">
        <v>2638</v>
      </c>
      <c r="E162" s="158" t="s">
        <v>2639</v>
      </c>
      <c r="F162" s="161" t="s">
        <v>2232</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2615</v>
      </c>
      <c r="B163" s="151" t="s">
        <v>2618</v>
      </c>
      <c r="C163" s="152" t="s">
        <v>2640</v>
      </c>
      <c r="D163" s="155" t="s">
        <v>2641</v>
      </c>
      <c r="E163" s="158" t="s">
        <v>2642</v>
      </c>
      <c r="F163" s="161" t="s">
        <v>2232</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2615</v>
      </c>
      <c r="B164" s="150" t="s">
        <v>2036</v>
      </c>
      <c r="C164" s="148" t="s">
        <v>2643</v>
      </c>
      <c r="D164" s="154" t="s">
        <v>2644</v>
      </c>
      <c r="E164" s="157" t="s">
        <v>25</v>
      </c>
      <c r="F164" s="160" t="s">
        <v>25</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2615</v>
      </c>
      <c r="B165" s="151" t="s">
        <v>2036</v>
      </c>
      <c r="C165" s="152" t="s">
        <v>2645</v>
      </c>
      <c r="D165" s="155" t="s">
        <v>2646</v>
      </c>
      <c r="E165" s="158" t="s">
        <v>2647</v>
      </c>
      <c r="F165" s="161" t="s">
        <v>2232</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2615</v>
      </c>
      <c r="B166" s="151" t="s">
        <v>2036</v>
      </c>
      <c r="C166" s="152" t="s">
        <v>2648</v>
      </c>
      <c r="D166" s="155" t="s">
        <v>2649</v>
      </c>
      <c r="E166" s="158" t="s">
        <v>2650</v>
      </c>
      <c r="F166" s="161" t="s">
        <v>2232</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2615</v>
      </c>
      <c r="B167" s="151" t="s">
        <v>2036</v>
      </c>
      <c r="C167" s="152" t="s">
        <v>2651</v>
      </c>
      <c r="D167" s="155" t="s">
        <v>2652</v>
      </c>
      <c r="E167" s="158" t="s">
        <v>2653</v>
      </c>
      <c r="F167" s="161" t="s">
        <v>2232</v>
      </c>
      <c r="G167" s="164">
        <f>IF(COUNTIF(H167:AU167,"&lt;&gt;")=0,"",SUMPRODUCT(((Recommendations[ImplStatus]="Implemented")+(Recommendations[ImplStatus]="Compensated"))*ISNUMBER(MATCH(Recommendations[Id],H167:AU167,0)))/COUNTIF(H167:AU167,"&lt;&gt;"))</f>
        <v>0</v>
      </c>
      <c r="H167" s="167" t="s">
        <v>165</v>
      </c>
      <c r="I167" s="167" t="s">
        <v>170</v>
      </c>
      <c r="J167" s="167" t="s">
        <v>175</v>
      </c>
      <c r="K167" s="167" t="s">
        <v>194</v>
      </c>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2615</v>
      </c>
      <c r="B168" s="151" t="s">
        <v>2036</v>
      </c>
      <c r="C168" s="152" t="s">
        <v>2654</v>
      </c>
      <c r="D168" s="155" t="s">
        <v>2655</v>
      </c>
      <c r="E168" s="158"/>
      <c r="F168" s="161" t="s">
        <v>25</v>
      </c>
      <c r="G168" s="164">
        <f>IF(COUNTIF(H168:AU168,"&lt;&gt;")=0,"",SUMPRODUCT(((Recommendations[ImplStatus]="Implemented")+(Recommendations[ImplStatus]="Compensated"))*ISNUMBER(MATCH(Recommendations[Id],H168:AU168,0)))/COUNTIF(H168:AU168,"&lt;&gt;"))</f>
        <v>0</v>
      </c>
      <c r="H168" s="167" t="s">
        <v>18</v>
      </c>
      <c r="I168" s="167" t="s">
        <v>338</v>
      </c>
      <c r="J168" s="167" t="s">
        <v>350</v>
      </c>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2615</v>
      </c>
      <c r="B169" s="151" t="s">
        <v>2036</v>
      </c>
      <c r="C169" s="152" t="s">
        <v>2656</v>
      </c>
      <c r="D169" s="155" t="s">
        <v>2657</v>
      </c>
      <c r="E169" s="158"/>
      <c r="F169" s="161" t="s">
        <v>25</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2615</v>
      </c>
      <c r="B170" s="151" t="s">
        <v>2036</v>
      </c>
      <c r="C170" s="152" t="s">
        <v>2658</v>
      </c>
      <c r="D170" s="155" t="s">
        <v>2659</v>
      </c>
      <c r="E170" s="158" t="s">
        <v>2660</v>
      </c>
      <c r="F170" s="161" t="s">
        <v>2246</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2615</v>
      </c>
      <c r="B171" s="151" t="s">
        <v>2036</v>
      </c>
      <c r="C171" s="152" t="s">
        <v>2661</v>
      </c>
      <c r="D171" s="155" t="s">
        <v>2662</v>
      </c>
      <c r="E171" s="158"/>
      <c r="F171" s="161" t="s">
        <v>25</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2615</v>
      </c>
      <c r="B172" s="151" t="s">
        <v>2036</v>
      </c>
      <c r="C172" s="152" t="s">
        <v>2663</v>
      </c>
      <c r="D172" s="155" t="s">
        <v>2664</v>
      </c>
      <c r="E172" s="158"/>
      <c r="F172" s="161" t="s">
        <v>25</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2615</v>
      </c>
      <c r="B173" s="151" t="s">
        <v>2036</v>
      </c>
      <c r="C173" s="152" t="s">
        <v>2665</v>
      </c>
      <c r="D173" s="155" t="s">
        <v>2666</v>
      </c>
      <c r="E173" s="158" t="s">
        <v>2667</v>
      </c>
      <c r="F173" s="161" t="s">
        <v>2232</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2615</v>
      </c>
      <c r="B174" s="150" t="s">
        <v>2668</v>
      </c>
      <c r="C174" s="148" t="s">
        <v>2669</v>
      </c>
      <c r="D174" s="154"/>
      <c r="E174" s="157" t="s">
        <v>25</v>
      </c>
      <c r="F174" s="160" t="s">
        <v>25</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2615</v>
      </c>
      <c r="B175" s="151" t="s">
        <v>2668</v>
      </c>
      <c r="C175" s="152" t="s">
        <v>2670</v>
      </c>
      <c r="D175" s="155" t="s">
        <v>2671</v>
      </c>
      <c r="E175" s="158"/>
      <c r="F175" s="161" t="s">
        <v>25</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2615</v>
      </c>
      <c r="B176" s="151" t="s">
        <v>2668</v>
      </c>
      <c r="C176" s="152" t="s">
        <v>2672</v>
      </c>
      <c r="D176" s="155" t="s">
        <v>2673</v>
      </c>
      <c r="E176" s="158"/>
      <c r="F176" s="161" t="s">
        <v>25</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2615</v>
      </c>
      <c r="B177" s="151" t="s">
        <v>2668</v>
      </c>
      <c r="C177" s="152" t="s">
        <v>2674</v>
      </c>
      <c r="D177" s="155" t="s">
        <v>2675</v>
      </c>
      <c r="E177" s="158"/>
      <c r="F177" s="161" t="s">
        <v>25</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2615</v>
      </c>
      <c r="B178" s="151" t="s">
        <v>2668</v>
      </c>
      <c r="C178" s="152" t="s">
        <v>2676</v>
      </c>
      <c r="D178" s="155" t="s">
        <v>2677</v>
      </c>
      <c r="E178" s="158"/>
      <c r="F178" s="161" t="s">
        <v>25</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2615</v>
      </c>
      <c r="B179" s="151" t="s">
        <v>2668</v>
      </c>
      <c r="C179" s="152" t="s">
        <v>2678</v>
      </c>
      <c r="D179" s="155" t="s">
        <v>2679</v>
      </c>
      <c r="E179" s="158"/>
      <c r="F179" s="161" t="s">
        <v>25</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2680</v>
      </c>
      <c r="B180" s="149" t="s">
        <v>25</v>
      </c>
      <c r="C180" s="147" t="s">
        <v>2681</v>
      </c>
      <c r="D180" s="153" t="s">
        <v>2682</v>
      </c>
      <c r="E180" s="156" t="s">
        <v>25</v>
      </c>
      <c r="F180" s="159" t="s">
        <v>25</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2680</v>
      </c>
      <c r="B181" s="150" t="s">
        <v>2683</v>
      </c>
      <c r="C181" s="148" t="s">
        <v>2684</v>
      </c>
      <c r="D181" s="154" t="s">
        <v>2685</v>
      </c>
      <c r="E181" s="157" t="s">
        <v>25</v>
      </c>
      <c r="F181" s="160" t="s">
        <v>25</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2680</v>
      </c>
      <c r="B182" s="151" t="s">
        <v>2683</v>
      </c>
      <c r="C182" s="152" t="s">
        <v>2686</v>
      </c>
      <c r="D182" s="155" t="s">
        <v>2687</v>
      </c>
      <c r="E182" s="158"/>
      <c r="F182" s="161" t="s">
        <v>25</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2680</v>
      </c>
      <c r="B183" s="151" t="s">
        <v>2683</v>
      </c>
      <c r="C183" s="152" t="s">
        <v>2688</v>
      </c>
      <c r="D183" s="155" t="s">
        <v>2689</v>
      </c>
      <c r="E183" s="158"/>
      <c r="F183" s="161" t="s">
        <v>25</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2680</v>
      </c>
      <c r="B184" s="151" t="s">
        <v>2683</v>
      </c>
      <c r="C184" s="152" t="s">
        <v>2690</v>
      </c>
      <c r="D184" s="155" t="s">
        <v>2691</v>
      </c>
      <c r="E184" s="158" t="s">
        <v>2692</v>
      </c>
      <c r="F184" s="161" t="s">
        <v>2232</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2680</v>
      </c>
      <c r="B185" s="151" t="s">
        <v>2683</v>
      </c>
      <c r="C185" s="152" t="s">
        <v>2693</v>
      </c>
      <c r="D185" s="155" t="s">
        <v>2694</v>
      </c>
      <c r="E185" s="158"/>
      <c r="F185" s="161" t="s">
        <v>25</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2680</v>
      </c>
      <c r="B186" s="151" t="s">
        <v>2683</v>
      </c>
      <c r="C186" s="152" t="s">
        <v>2695</v>
      </c>
      <c r="D186" s="155" t="s">
        <v>2696</v>
      </c>
      <c r="E186" s="158"/>
      <c r="F186" s="161" t="s">
        <v>25</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2680</v>
      </c>
      <c r="B187" s="151" t="s">
        <v>2683</v>
      </c>
      <c r="C187" s="152" t="s">
        <v>2697</v>
      </c>
      <c r="D187" s="155" t="s">
        <v>2698</v>
      </c>
      <c r="E187" s="158" t="s">
        <v>2699</v>
      </c>
      <c r="F187" s="161" t="s">
        <v>2232</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2680</v>
      </c>
      <c r="B188" s="151" t="s">
        <v>2683</v>
      </c>
      <c r="C188" s="152" t="s">
        <v>2700</v>
      </c>
      <c r="D188" s="155" t="s">
        <v>2701</v>
      </c>
      <c r="E188" s="158" t="s">
        <v>2702</v>
      </c>
      <c r="F188" s="161" t="s">
        <v>2232</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2680</v>
      </c>
      <c r="B189" s="151" t="s">
        <v>2683</v>
      </c>
      <c r="C189" s="152" t="s">
        <v>2703</v>
      </c>
      <c r="D189" s="155" t="s">
        <v>2704</v>
      </c>
      <c r="E189" s="158" t="s">
        <v>2705</v>
      </c>
      <c r="F189" s="161" t="s">
        <v>2232</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2680</v>
      </c>
      <c r="B190" s="150" t="s">
        <v>2706</v>
      </c>
      <c r="C190" s="148" t="s">
        <v>2707</v>
      </c>
      <c r="D190" s="154" t="s">
        <v>2708</v>
      </c>
      <c r="E190" s="157" t="s">
        <v>25</v>
      </c>
      <c r="F190" s="160" t="s">
        <v>25</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2680</v>
      </c>
      <c r="B191" s="151" t="s">
        <v>2706</v>
      </c>
      <c r="C191" s="152" t="s">
        <v>2709</v>
      </c>
      <c r="D191" s="155" t="s">
        <v>2710</v>
      </c>
      <c r="E191" s="158"/>
      <c r="F191" s="161" t="s">
        <v>25</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2680</v>
      </c>
      <c r="B192" s="151" t="s">
        <v>2706</v>
      </c>
      <c r="C192" s="152" t="s">
        <v>2711</v>
      </c>
      <c r="D192" s="155" t="s">
        <v>2712</v>
      </c>
      <c r="E192" s="158" t="s">
        <v>2713</v>
      </c>
      <c r="F192" s="161" t="s">
        <v>2236</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2680</v>
      </c>
      <c r="B193" s="151" t="s">
        <v>2706</v>
      </c>
      <c r="C193" s="152" t="s">
        <v>2714</v>
      </c>
      <c r="D193" s="155" t="s">
        <v>2715</v>
      </c>
      <c r="E193" s="158" t="s">
        <v>2716</v>
      </c>
      <c r="F193" s="161" t="s">
        <v>2236</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2680</v>
      </c>
      <c r="B194" s="151" t="s">
        <v>2706</v>
      </c>
      <c r="C194" s="152" t="s">
        <v>2717</v>
      </c>
      <c r="D194" s="155" t="s">
        <v>2718</v>
      </c>
      <c r="E194" s="158"/>
      <c r="F194" s="161" t="s">
        <v>25</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2680</v>
      </c>
      <c r="B195" s="151" t="s">
        <v>2706</v>
      </c>
      <c r="C195" s="152" t="s">
        <v>2719</v>
      </c>
      <c r="D195" s="155" t="s">
        <v>2720</v>
      </c>
      <c r="E195" s="158"/>
      <c r="F195" s="161" t="s">
        <v>25</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2680</v>
      </c>
      <c r="B196" s="150" t="s">
        <v>2721</v>
      </c>
      <c r="C196" s="148" t="s">
        <v>2722</v>
      </c>
      <c r="D196" s="154"/>
      <c r="E196" s="157" t="s">
        <v>25</v>
      </c>
      <c r="F196" s="160" t="s">
        <v>25</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2680</v>
      </c>
      <c r="B197" s="151" t="s">
        <v>2721</v>
      </c>
      <c r="C197" s="152" t="s">
        <v>2723</v>
      </c>
      <c r="D197" s="155" t="s">
        <v>2724</v>
      </c>
      <c r="E197" s="158"/>
      <c r="F197" s="161" t="s">
        <v>25</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2680</v>
      </c>
      <c r="B198" s="151" t="s">
        <v>2721</v>
      </c>
      <c r="C198" s="152" t="s">
        <v>2725</v>
      </c>
      <c r="D198" s="155" t="s">
        <v>2726</v>
      </c>
      <c r="E198" s="158"/>
      <c r="F198" s="161" t="s">
        <v>25</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2680</v>
      </c>
      <c r="B199" s="150" t="s">
        <v>2727</v>
      </c>
      <c r="C199" s="148" t="s">
        <v>2728</v>
      </c>
      <c r="D199" s="154" t="s">
        <v>2729</v>
      </c>
      <c r="E199" s="157" t="s">
        <v>25</v>
      </c>
      <c r="F199" s="160" t="s">
        <v>25</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2680</v>
      </c>
      <c r="B200" s="151" t="s">
        <v>2727</v>
      </c>
      <c r="C200" s="152" t="s">
        <v>2730</v>
      </c>
      <c r="D200" s="155" t="s">
        <v>2731</v>
      </c>
      <c r="E200" s="158" t="s">
        <v>2732</v>
      </c>
      <c r="F200" s="161" t="s">
        <v>2246</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2680</v>
      </c>
      <c r="B201" s="151" t="s">
        <v>2727</v>
      </c>
      <c r="C201" s="152" t="s">
        <v>2733</v>
      </c>
      <c r="D201" s="155" t="s">
        <v>2734</v>
      </c>
      <c r="E201" s="158" t="s">
        <v>2735</v>
      </c>
      <c r="F201" s="161" t="s">
        <v>2232</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2680</v>
      </c>
      <c r="B202" s="151" t="s">
        <v>2727</v>
      </c>
      <c r="C202" s="152" t="s">
        <v>2736</v>
      </c>
      <c r="D202" s="155" t="s">
        <v>2737</v>
      </c>
      <c r="E202" s="158" t="s">
        <v>2738</v>
      </c>
      <c r="F202" s="161" t="s">
        <v>2232</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2680</v>
      </c>
      <c r="B203" s="151" t="s">
        <v>2727</v>
      </c>
      <c r="C203" s="152" t="s">
        <v>2739</v>
      </c>
      <c r="D203" s="155" t="s">
        <v>2740</v>
      </c>
      <c r="E203" s="158" t="s">
        <v>2741</v>
      </c>
      <c r="F203" s="161" t="s">
        <v>2232</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2680</v>
      </c>
      <c r="B204" s="151" t="s">
        <v>2727</v>
      </c>
      <c r="C204" s="152" t="s">
        <v>2742</v>
      </c>
      <c r="D204" s="155" t="s">
        <v>2743</v>
      </c>
      <c r="E204" s="158" t="s">
        <v>2744</v>
      </c>
      <c r="F204" s="161" t="s">
        <v>2232</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2680</v>
      </c>
      <c r="B205" s="150" t="s">
        <v>2745</v>
      </c>
      <c r="C205" s="148" t="s">
        <v>2746</v>
      </c>
      <c r="D205" s="154" t="s">
        <v>2747</v>
      </c>
      <c r="E205" s="157" t="s">
        <v>25</v>
      </c>
      <c r="F205" s="160" t="s">
        <v>25</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2680</v>
      </c>
      <c r="B206" s="151" t="s">
        <v>2745</v>
      </c>
      <c r="C206" s="152" t="s">
        <v>2748</v>
      </c>
      <c r="D206" s="155" t="s">
        <v>2749</v>
      </c>
      <c r="E206" s="158" t="s">
        <v>2750</v>
      </c>
      <c r="F206" s="161" t="s">
        <v>2236</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2680</v>
      </c>
      <c r="B207" s="151" t="s">
        <v>2745</v>
      </c>
      <c r="C207" s="152" t="s">
        <v>2751</v>
      </c>
      <c r="D207" s="155" t="s">
        <v>2752</v>
      </c>
      <c r="E207" s="158" t="s">
        <v>2753</v>
      </c>
      <c r="F207" s="161" t="s">
        <v>2236</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2680</v>
      </c>
      <c r="B208" s="151" t="s">
        <v>2745</v>
      </c>
      <c r="C208" s="152" t="s">
        <v>2754</v>
      </c>
      <c r="D208" s="155" t="s">
        <v>2755</v>
      </c>
      <c r="E208" s="158"/>
      <c r="F208" s="161" t="s">
        <v>25</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2680</v>
      </c>
      <c r="B209" s="150" t="s">
        <v>2756</v>
      </c>
      <c r="C209" s="148" t="s">
        <v>2757</v>
      </c>
      <c r="D209" s="154"/>
      <c r="E209" s="157" t="s">
        <v>25</v>
      </c>
      <c r="F209" s="160" t="s">
        <v>25</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2680</v>
      </c>
      <c r="B210" s="151" t="s">
        <v>2756</v>
      </c>
      <c r="C210" s="152" t="s">
        <v>2758</v>
      </c>
      <c r="D210" s="155" t="s">
        <v>2759</v>
      </c>
      <c r="E210" s="158"/>
      <c r="F210" s="161" t="s">
        <v>25</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2760</v>
      </c>
      <c r="B211" s="149" t="s">
        <v>25</v>
      </c>
      <c r="C211" s="147" t="s">
        <v>2761</v>
      </c>
      <c r="D211" s="153" t="s">
        <v>2762</v>
      </c>
      <c r="E211" s="156" t="s">
        <v>25</v>
      </c>
      <c r="F211" s="159" t="s">
        <v>25</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2760</v>
      </c>
      <c r="B212" s="150" t="s">
        <v>2763</v>
      </c>
      <c r="C212" s="148" t="s">
        <v>2764</v>
      </c>
      <c r="D212" s="154" t="s">
        <v>2765</v>
      </c>
      <c r="E212" s="157" t="s">
        <v>25</v>
      </c>
      <c r="F212" s="160" t="s">
        <v>25</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2760</v>
      </c>
      <c r="B213" s="151" t="s">
        <v>2763</v>
      </c>
      <c r="C213" s="152" t="s">
        <v>2766</v>
      </c>
      <c r="D213" s="155" t="s">
        <v>2767</v>
      </c>
      <c r="E213" s="158"/>
      <c r="F213" s="161" t="s">
        <v>25</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2760</v>
      </c>
      <c r="B214" s="151" t="s">
        <v>2763</v>
      </c>
      <c r="C214" s="152" t="s">
        <v>2768</v>
      </c>
      <c r="D214" s="155" t="s">
        <v>2769</v>
      </c>
      <c r="E214" s="158"/>
      <c r="F214" s="161" t="s">
        <v>25</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2760</v>
      </c>
      <c r="B215" s="151" t="s">
        <v>2763</v>
      </c>
      <c r="C215" s="152" t="s">
        <v>2770</v>
      </c>
      <c r="D215" s="155" t="s">
        <v>2771</v>
      </c>
      <c r="E215" s="158" t="s">
        <v>2772</v>
      </c>
      <c r="F215" s="161" t="s">
        <v>2236</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2760</v>
      </c>
      <c r="B216" s="151" t="s">
        <v>2763</v>
      </c>
      <c r="C216" s="152" t="s">
        <v>2773</v>
      </c>
      <c r="D216" s="155" t="s">
        <v>2774</v>
      </c>
      <c r="E216" s="158" t="s">
        <v>2775</v>
      </c>
      <c r="F216" s="161" t="s">
        <v>2232</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2760</v>
      </c>
      <c r="B217" s="150" t="s">
        <v>2721</v>
      </c>
      <c r="C217" s="148" t="s">
        <v>2776</v>
      </c>
      <c r="D217" s="154"/>
      <c r="E217" s="157" t="s">
        <v>25</v>
      </c>
      <c r="F217" s="160" t="s">
        <v>25</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2760</v>
      </c>
      <c r="B218" s="151" t="s">
        <v>2721</v>
      </c>
      <c r="C218" s="152" t="s">
        <v>2777</v>
      </c>
      <c r="D218" s="155" t="s">
        <v>2778</v>
      </c>
      <c r="E218" s="158"/>
      <c r="F218" s="161" t="s">
        <v>25</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2760</v>
      </c>
      <c r="B219" s="151" t="s">
        <v>2721</v>
      </c>
      <c r="C219" s="152" t="s">
        <v>2779</v>
      </c>
      <c r="D219" s="155" t="s">
        <v>2780</v>
      </c>
      <c r="E219" s="158"/>
      <c r="F219" s="161" t="s">
        <v>25</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2760</v>
      </c>
      <c r="B220" s="150" t="s">
        <v>2781</v>
      </c>
      <c r="C220" s="148" t="s">
        <v>2782</v>
      </c>
      <c r="D220" s="154" t="s">
        <v>2783</v>
      </c>
      <c r="E220" s="157" t="s">
        <v>25</v>
      </c>
      <c r="F220" s="160" t="s">
        <v>25</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2760</v>
      </c>
      <c r="B221" s="151" t="s">
        <v>2781</v>
      </c>
      <c r="C221" s="152" t="s">
        <v>2784</v>
      </c>
      <c r="D221" s="155" t="s">
        <v>2785</v>
      </c>
      <c r="E221" s="158" t="s">
        <v>2786</v>
      </c>
      <c r="F221" s="161" t="s">
        <v>2232</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2760</v>
      </c>
      <c r="B222" s="151" t="s">
        <v>2781</v>
      </c>
      <c r="C222" s="152" t="s">
        <v>2787</v>
      </c>
      <c r="D222" s="155" t="s">
        <v>2788</v>
      </c>
      <c r="E222" s="158" t="s">
        <v>2789</v>
      </c>
      <c r="F222" s="161" t="s">
        <v>2232</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2760</v>
      </c>
      <c r="B223" s="151" t="s">
        <v>2781</v>
      </c>
      <c r="C223" s="152" t="s">
        <v>2790</v>
      </c>
      <c r="D223" s="155" t="s">
        <v>2791</v>
      </c>
      <c r="E223" s="158" t="s">
        <v>2792</v>
      </c>
      <c r="F223" s="161" t="s">
        <v>2232</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2760</v>
      </c>
      <c r="B224" s="151" t="s">
        <v>2781</v>
      </c>
      <c r="C224" s="152" t="s">
        <v>2793</v>
      </c>
      <c r="D224" s="155" t="s">
        <v>2794</v>
      </c>
      <c r="E224" s="158" t="s">
        <v>2795</v>
      </c>
      <c r="F224" s="161" t="s">
        <v>2232</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2760</v>
      </c>
      <c r="B225" s="151" t="s">
        <v>2781</v>
      </c>
      <c r="C225" s="152" t="s">
        <v>2796</v>
      </c>
      <c r="D225" s="155" t="s">
        <v>2797</v>
      </c>
      <c r="E225" s="158" t="s">
        <v>2798</v>
      </c>
      <c r="F225" s="161" t="s">
        <v>2232</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2760</v>
      </c>
      <c r="B226" s="168" t="s">
        <v>2781</v>
      </c>
      <c r="C226" s="169" t="s">
        <v>2799</v>
      </c>
      <c r="D226" s="170" t="s">
        <v>2800</v>
      </c>
      <c r="E226" s="171" t="s">
        <v>2801</v>
      </c>
      <c r="F226" s="172" t="s">
        <v>2232</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357</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IFERROR(INDEX('Recommendations'!$I$2:$I$56, MATCH(H2,'Recommendations'!$B$2:$B$56,0))="Implemented", FALSE))</xm:f>
            <x14:dxf>
              <font>
                <color rgb="FF000000"/>
              </font>
              <fill>
                <patternFill>
                  <bgColor rgb="FF3C7D22"/>
                </patternFill>
              </fill>
            </x14:dxf>
          </x14:cfRule>
          <x14:cfRule type="expression" priority="2" id="{00000000-000E-0000-0700-000002000000}">
            <xm:f>AND(H2&lt;&gt;"", IFERROR(INDEX('Recommendations'!$I$2:$I$56, MATCH(H2,'Recommendations'!$B$2:$B$56,0))="Compensated", FALSE))</xm:f>
            <x14:dxf>
              <font>
                <color rgb="FF000000"/>
              </font>
              <fill>
                <patternFill>
                  <bgColor rgb="FFC6E0B4"/>
                </patternFill>
              </fill>
            </x14:dxf>
          </x14:cfRule>
          <x14:cfRule type="expression" priority="3" id="{00000000-000E-0000-0700-000003000000}">
            <xm:f>AND(H2&lt;&gt;"", IFERROR(INDEX('Recommendations'!$I$2:$I$56, MATCH(H2,'Recommendations'!$B$2:$B$56,0))="Testing", FALSE))</xm:f>
            <x14:dxf>
              <font>
                <color rgb="FF000000"/>
              </font>
              <fill>
                <patternFill>
                  <bgColor rgb="FFFFC000"/>
                </patternFill>
              </fill>
            </x14:dxf>
          </x14:cfRule>
          <x14:cfRule type="expression" priority="4" id="{00000000-000E-0000-0700-000004000000}">
            <xm:f>AND(H2&lt;&gt;"", IFERROR(INDEX('Recommendations'!$I$2:$I$56, MATCH(H2,'Recommendations'!$B$2:$B$56,0))="Failed", FALSE))</xm:f>
            <x14:dxf>
              <font>
                <color rgb="FF000000"/>
              </font>
              <fill>
                <patternFill>
                  <bgColor rgb="FFD82891"/>
                </patternFill>
              </fill>
            </x14:dxf>
          </x14:cfRule>
          <x14:cfRule type="expression" priority="5" id="{00000000-000E-0000-0700-000005000000}">
            <xm:f>AND(H2&lt;&gt;"", IFERROR(INDEX('Recommendations'!$I$2:$I$56, MATCH(H2,'Recommendations'!$B$2:$B$56,0))="Risk Accepted", FALSE))</xm:f>
            <x14:dxf>
              <font>
                <color rgb="FF000000"/>
              </font>
              <fill>
                <patternFill>
                  <bgColor rgb="FFD9D9D9"/>
                </patternFill>
              </fill>
            </x14:dxf>
          </x14:cfRule>
          <x14:cfRule type="expression" priority="6" id="{00000000-000E-0000-0700-000006000000}">
            <xm:f>AND(H2&lt;&gt;"", IFERROR(INDEX('Recommendations'!$I$2:$I$56, MATCH(H2,'Recommendations'!$B$2:$B$56,0))="N/A",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2219</v>
      </c>
      <c r="B1" s="207" t="s">
        <v>2802</v>
      </c>
      <c r="C1" s="207" t="s">
        <v>2803</v>
      </c>
      <c r="D1" s="207" t="s">
        <v>2804</v>
      </c>
      <c r="E1" s="207" t="s">
        <v>1529</v>
      </c>
      <c r="F1" s="207" t="s">
        <v>607</v>
      </c>
      <c r="G1" s="207" t="s">
        <v>608</v>
      </c>
      <c r="H1" s="207" t="s">
        <v>609</v>
      </c>
      <c r="I1" s="207" t="s">
        <v>610</v>
      </c>
      <c r="J1" s="207" t="s">
        <v>611</v>
      </c>
      <c r="K1" s="207" t="s">
        <v>612</v>
      </c>
      <c r="L1" s="207" t="s">
        <v>613</v>
      </c>
      <c r="M1" s="207" t="s">
        <v>614</v>
      </c>
      <c r="N1" s="207" t="s">
        <v>615</v>
      </c>
      <c r="O1" s="207" t="s">
        <v>616</v>
      </c>
      <c r="P1" s="207" t="s">
        <v>617</v>
      </c>
      <c r="Q1" s="207" t="s">
        <v>618</v>
      </c>
      <c r="R1" s="207" t="s">
        <v>619</v>
      </c>
      <c r="S1" s="207" t="s">
        <v>620</v>
      </c>
      <c r="T1" s="207" t="s">
        <v>621</v>
      </c>
      <c r="U1" s="207" t="s">
        <v>622</v>
      </c>
      <c r="V1" s="207" t="s">
        <v>623</v>
      </c>
      <c r="W1" s="207" t="s">
        <v>624</v>
      </c>
      <c r="X1" s="207" t="s">
        <v>625</v>
      </c>
      <c r="Y1" s="207" t="s">
        <v>626</v>
      </c>
      <c r="Z1" s="207" t="s">
        <v>627</v>
      </c>
      <c r="AA1" s="207" t="s">
        <v>628</v>
      </c>
      <c r="AB1" s="207" t="s">
        <v>629</v>
      </c>
      <c r="AC1" s="207" t="s">
        <v>630</v>
      </c>
      <c r="AD1" s="207" t="s">
        <v>631</v>
      </c>
      <c r="AE1" s="207" t="s">
        <v>632</v>
      </c>
      <c r="AF1" s="207" t="s">
        <v>633</v>
      </c>
      <c r="AG1" s="207" t="s">
        <v>634</v>
      </c>
      <c r="AH1" s="207" t="s">
        <v>635</v>
      </c>
      <c r="AI1" s="207" t="s">
        <v>636</v>
      </c>
      <c r="AJ1" s="207" t="s">
        <v>637</v>
      </c>
      <c r="AK1" s="207" t="s">
        <v>638</v>
      </c>
      <c r="AL1" s="207" t="s">
        <v>639</v>
      </c>
      <c r="AM1" s="207" t="s">
        <v>640</v>
      </c>
      <c r="AN1" s="207" t="s">
        <v>641</v>
      </c>
      <c r="AO1" s="207" t="s">
        <v>642</v>
      </c>
      <c r="AP1" s="207" t="s">
        <v>643</v>
      </c>
      <c r="AQ1" s="207" t="s">
        <v>644</v>
      </c>
      <c r="AR1" s="207" t="s">
        <v>645</v>
      </c>
      <c r="AS1" s="207" t="s">
        <v>646</v>
      </c>
      <c r="AT1" s="208" t="s">
        <v>647</v>
      </c>
    </row>
    <row r="2" spans="1:46" ht="60" customHeight="1" outlineLevel="1" x14ac:dyDescent="0.35">
      <c r="A2" s="200" t="s">
        <v>448</v>
      </c>
      <c r="B2" s="186" t="s">
        <v>2805</v>
      </c>
      <c r="C2" s="186"/>
      <c r="D2" s="189" t="s">
        <v>2806</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448</v>
      </c>
      <c r="B3" s="187" t="s">
        <v>2805</v>
      </c>
      <c r="C3" s="188" t="s">
        <v>2807</v>
      </c>
      <c r="D3" s="190" t="s">
        <v>2808</v>
      </c>
      <c r="E3" s="190" t="s">
        <v>2809</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448</v>
      </c>
      <c r="B4" s="187" t="s">
        <v>2805</v>
      </c>
      <c r="C4" s="188" t="s">
        <v>2810</v>
      </c>
      <c r="D4" s="190" t="s">
        <v>2811</v>
      </c>
      <c r="E4" s="190" t="s">
        <v>2812</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448</v>
      </c>
      <c r="B5" s="187" t="s">
        <v>2805</v>
      </c>
      <c r="C5" s="188" t="s">
        <v>2813</v>
      </c>
      <c r="D5" s="190" t="s">
        <v>2814</v>
      </c>
      <c r="E5" s="190" t="s">
        <v>2815</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448</v>
      </c>
      <c r="B6" s="187" t="s">
        <v>2805</v>
      </c>
      <c r="C6" s="188" t="s">
        <v>2816</v>
      </c>
      <c r="D6" s="190" t="s">
        <v>2817</v>
      </c>
      <c r="E6" s="190" t="s">
        <v>2818</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448</v>
      </c>
      <c r="B7" s="187" t="s">
        <v>2805</v>
      </c>
      <c r="C7" s="188" t="s">
        <v>2819</v>
      </c>
      <c r="D7" s="190" t="s">
        <v>2820</v>
      </c>
      <c r="E7" s="190" t="s">
        <v>2821</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448</v>
      </c>
      <c r="B8" s="187" t="s">
        <v>2805</v>
      </c>
      <c r="C8" s="188" t="s">
        <v>2822</v>
      </c>
      <c r="D8" s="190" t="s">
        <v>2823</v>
      </c>
      <c r="E8" s="190" t="s">
        <v>2824</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448</v>
      </c>
      <c r="B9" s="187" t="s">
        <v>2805</v>
      </c>
      <c r="C9" s="188" t="s">
        <v>2825</v>
      </c>
      <c r="D9" s="190" t="s">
        <v>2826</v>
      </c>
      <c r="E9" s="190" t="s">
        <v>2827</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448</v>
      </c>
      <c r="B10" s="187" t="s">
        <v>2805</v>
      </c>
      <c r="C10" s="188" t="s">
        <v>2828</v>
      </c>
      <c r="D10" s="190" t="s">
        <v>2829</v>
      </c>
      <c r="E10" s="190" t="s">
        <v>2830</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448</v>
      </c>
      <c r="B11" s="187" t="s">
        <v>2805</v>
      </c>
      <c r="C11" s="188" t="s">
        <v>2831</v>
      </c>
      <c r="D11" s="190" t="s">
        <v>2832</v>
      </c>
      <c r="E11" s="190" t="s">
        <v>2833</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448</v>
      </c>
      <c r="B12" s="187" t="s">
        <v>2805</v>
      </c>
      <c r="C12" s="188" t="s">
        <v>2834</v>
      </c>
      <c r="D12" s="190" t="s">
        <v>2835</v>
      </c>
      <c r="E12" s="190" t="s">
        <v>2836</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448</v>
      </c>
      <c r="B13" s="187" t="s">
        <v>2805</v>
      </c>
      <c r="C13" s="188" t="s">
        <v>2837</v>
      </c>
      <c r="D13" s="190" t="s">
        <v>2838</v>
      </c>
      <c r="E13" s="190" t="s">
        <v>2839</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448</v>
      </c>
      <c r="B14" s="187" t="s">
        <v>2805</v>
      </c>
      <c r="C14" s="188" t="s">
        <v>2840</v>
      </c>
      <c r="D14" s="190" t="s">
        <v>2841</v>
      </c>
      <c r="E14" s="190" t="s">
        <v>2842</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448</v>
      </c>
      <c r="B15" s="187" t="s">
        <v>2805</v>
      </c>
      <c r="C15" s="188" t="s">
        <v>2843</v>
      </c>
      <c r="D15" s="190" t="s">
        <v>2844</v>
      </c>
      <c r="E15" s="190" t="s">
        <v>2845</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448</v>
      </c>
      <c r="B16" s="187" t="s">
        <v>2805</v>
      </c>
      <c r="C16" s="188" t="s">
        <v>2846</v>
      </c>
      <c r="D16" s="190" t="s">
        <v>2847</v>
      </c>
      <c r="E16" s="190" t="s">
        <v>2848</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448</v>
      </c>
      <c r="B17" s="187" t="s">
        <v>2805</v>
      </c>
      <c r="C17" s="188" t="s">
        <v>2849</v>
      </c>
      <c r="D17" s="190" t="s">
        <v>2850</v>
      </c>
      <c r="E17" s="190" t="s">
        <v>2851</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448</v>
      </c>
      <c r="B18" s="187" t="s">
        <v>2805</v>
      </c>
      <c r="C18" s="188" t="s">
        <v>2852</v>
      </c>
      <c r="D18" s="190" t="s">
        <v>2853</v>
      </c>
      <c r="E18" s="190" t="s">
        <v>2854</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448</v>
      </c>
      <c r="B19" s="186" t="s">
        <v>2855</v>
      </c>
      <c r="C19" s="186"/>
      <c r="D19" s="189" t="s">
        <v>2856</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448</v>
      </c>
      <c r="B20" s="187" t="s">
        <v>2855</v>
      </c>
      <c r="C20" s="188" t="s">
        <v>2857</v>
      </c>
      <c r="D20" s="190" t="s">
        <v>2858</v>
      </c>
      <c r="E20" s="190" t="s">
        <v>2859</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448</v>
      </c>
      <c r="B21" s="187" t="s">
        <v>2855</v>
      </c>
      <c r="C21" s="188" t="s">
        <v>2860</v>
      </c>
      <c r="D21" s="190" t="s">
        <v>2861</v>
      </c>
      <c r="E21" s="190" t="s">
        <v>2862</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448</v>
      </c>
      <c r="B22" s="187" t="s">
        <v>2855</v>
      </c>
      <c r="C22" s="188" t="s">
        <v>2863</v>
      </c>
      <c r="D22" s="190" t="s">
        <v>2864</v>
      </c>
      <c r="E22" s="190" t="s">
        <v>2865</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448</v>
      </c>
      <c r="B23" s="187" t="s">
        <v>2855</v>
      </c>
      <c r="C23" s="188" t="s">
        <v>2866</v>
      </c>
      <c r="D23" s="190" t="s">
        <v>2867</v>
      </c>
      <c r="E23" s="190" t="s">
        <v>2868</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448</v>
      </c>
      <c r="B24" s="187" t="s">
        <v>2855</v>
      </c>
      <c r="C24" s="188" t="s">
        <v>2869</v>
      </c>
      <c r="D24" s="190" t="s">
        <v>2870</v>
      </c>
      <c r="E24" s="190" t="s">
        <v>2871</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448</v>
      </c>
      <c r="B25" s="187" t="s">
        <v>2855</v>
      </c>
      <c r="C25" s="188" t="s">
        <v>2872</v>
      </c>
      <c r="D25" s="190" t="s">
        <v>2873</v>
      </c>
      <c r="E25" s="190" t="s">
        <v>2874</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448</v>
      </c>
      <c r="B26" s="187" t="s">
        <v>2855</v>
      </c>
      <c r="C26" s="188" t="s">
        <v>2875</v>
      </c>
      <c r="D26" s="190" t="s">
        <v>2876</v>
      </c>
      <c r="E26" s="190" t="s">
        <v>2877</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448</v>
      </c>
      <c r="B27" s="187" t="s">
        <v>2855</v>
      </c>
      <c r="C27" s="188" t="s">
        <v>2878</v>
      </c>
      <c r="D27" s="190" t="s">
        <v>2879</v>
      </c>
      <c r="E27" s="190" t="s">
        <v>2880</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448</v>
      </c>
      <c r="B28" s="187" t="s">
        <v>2855</v>
      </c>
      <c r="C28" s="188" t="s">
        <v>2881</v>
      </c>
      <c r="D28" s="190" t="s">
        <v>2882</v>
      </c>
      <c r="E28" s="190" t="s">
        <v>2883</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448</v>
      </c>
      <c r="B29" s="187" t="s">
        <v>2855</v>
      </c>
      <c r="C29" s="188" t="s">
        <v>2884</v>
      </c>
      <c r="D29" s="190" t="s">
        <v>2885</v>
      </c>
      <c r="E29" s="190" t="s">
        <v>2886</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448</v>
      </c>
      <c r="B30" s="187" t="s">
        <v>2855</v>
      </c>
      <c r="C30" s="188" t="s">
        <v>2887</v>
      </c>
      <c r="D30" s="190" t="s">
        <v>2888</v>
      </c>
      <c r="E30" s="190" t="s">
        <v>2889</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448</v>
      </c>
      <c r="B31" s="187" t="s">
        <v>2855</v>
      </c>
      <c r="C31" s="188" t="s">
        <v>2890</v>
      </c>
      <c r="D31" s="190" t="s">
        <v>2891</v>
      </c>
      <c r="E31" s="190" t="s">
        <v>2892</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2893</v>
      </c>
      <c r="B32" s="186"/>
      <c r="C32" s="186"/>
      <c r="D32" s="189" t="s">
        <v>2894</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2893</v>
      </c>
      <c r="B33" s="187"/>
      <c r="C33" s="188" t="s">
        <v>2895</v>
      </c>
      <c r="D33" s="190" t="s">
        <v>2896</v>
      </c>
      <c r="E33" s="190" t="s">
        <v>2897</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2893</v>
      </c>
      <c r="B34" s="187"/>
      <c r="C34" s="188" t="s">
        <v>2898</v>
      </c>
      <c r="D34" s="190" t="s">
        <v>2899</v>
      </c>
      <c r="E34" s="190" t="s">
        <v>2900</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2893</v>
      </c>
      <c r="B35" s="187"/>
      <c r="C35" s="188" t="s">
        <v>2901</v>
      </c>
      <c r="D35" s="190" t="s">
        <v>2902</v>
      </c>
      <c r="E35" s="190" t="s">
        <v>2903</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2893</v>
      </c>
      <c r="B36" s="186" t="s">
        <v>2904</v>
      </c>
      <c r="C36" s="186"/>
      <c r="D36" s="189" t="s">
        <v>2905</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2893</v>
      </c>
      <c r="B37" s="187" t="s">
        <v>2904</v>
      </c>
      <c r="C37" s="188" t="s">
        <v>2906</v>
      </c>
      <c r="D37" s="190" t="s">
        <v>2907</v>
      </c>
      <c r="E37" s="190" t="s">
        <v>2908</v>
      </c>
      <c r="F37" s="192">
        <f>IF(COUNTIF(G37:AT37,"&lt;&gt;")=0,"",SUMPRODUCT(((Recommendations[ImplStatus]="Implemented")+(Recommendations[ImplStatus]="Compensated"))*ISNUMBER(MATCH(Recommendations[Id],G37:AT37,0)))/COUNTIF(G37:AT37,"&lt;&gt;"))</f>
        <v>0</v>
      </c>
      <c r="G37" s="194" t="s">
        <v>59</v>
      </c>
      <c r="H37" s="194" t="s">
        <v>194</v>
      </c>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2893</v>
      </c>
      <c r="B38" s="187" t="s">
        <v>2904</v>
      </c>
      <c r="C38" s="188" t="s">
        <v>2909</v>
      </c>
      <c r="D38" s="190" t="s">
        <v>2910</v>
      </c>
      <c r="E38" s="190" t="s">
        <v>2911</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2893</v>
      </c>
      <c r="B39" s="187" t="s">
        <v>2904</v>
      </c>
      <c r="C39" s="188" t="s">
        <v>2912</v>
      </c>
      <c r="D39" s="190" t="s">
        <v>2913</v>
      </c>
      <c r="E39" s="190" t="s">
        <v>2914</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2893</v>
      </c>
      <c r="B40" s="187" t="s">
        <v>2904</v>
      </c>
      <c r="C40" s="188" t="s">
        <v>2915</v>
      </c>
      <c r="D40" s="190" t="s">
        <v>2916</v>
      </c>
      <c r="E40" s="190" t="s">
        <v>2917</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2893</v>
      </c>
      <c r="B41" s="187" t="s">
        <v>2904</v>
      </c>
      <c r="C41" s="188" t="s">
        <v>2918</v>
      </c>
      <c r="D41" s="190" t="s">
        <v>2919</v>
      </c>
      <c r="E41" s="190" t="s">
        <v>2920</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2893</v>
      </c>
      <c r="B42" s="187" t="s">
        <v>2904</v>
      </c>
      <c r="C42" s="188" t="s">
        <v>2921</v>
      </c>
      <c r="D42" s="190" t="s">
        <v>2922</v>
      </c>
      <c r="E42" s="190" t="s">
        <v>2923</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2893</v>
      </c>
      <c r="B43" s="187" t="s">
        <v>2904</v>
      </c>
      <c r="C43" s="188" t="s">
        <v>2924</v>
      </c>
      <c r="D43" s="190" t="s">
        <v>2925</v>
      </c>
      <c r="E43" s="190" t="s">
        <v>2926</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2893</v>
      </c>
      <c r="B44" s="187" t="s">
        <v>2904</v>
      </c>
      <c r="C44" s="188" t="s">
        <v>2927</v>
      </c>
      <c r="D44" s="190" t="s">
        <v>2928</v>
      </c>
      <c r="E44" s="190" t="s">
        <v>2929</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2893</v>
      </c>
      <c r="B45" s="187" t="s">
        <v>2904</v>
      </c>
      <c r="C45" s="188" t="s">
        <v>2930</v>
      </c>
      <c r="D45" s="190" t="s">
        <v>2931</v>
      </c>
      <c r="E45" s="190" t="s">
        <v>2932</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2893</v>
      </c>
      <c r="B46" s="187" t="s">
        <v>2904</v>
      </c>
      <c r="C46" s="188" t="s">
        <v>2933</v>
      </c>
      <c r="D46" s="190" t="s">
        <v>2934</v>
      </c>
      <c r="E46" s="190" t="s">
        <v>2935</v>
      </c>
      <c r="F46" s="192">
        <f>IF(COUNTIF(G46:AT46,"&lt;&gt;")=0,"",SUMPRODUCT(((Recommendations[ImplStatus]="Implemented")+(Recommendations[ImplStatus]="Compensated"))*ISNUMBER(MATCH(Recommendations[Id],G46:AT46,0)))/COUNTIF(G46:AT46,"&lt;&gt;"))</f>
        <v>0</v>
      </c>
      <c r="G46" s="194" t="s">
        <v>59</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2893</v>
      </c>
      <c r="B47" s="187" t="s">
        <v>2904</v>
      </c>
      <c r="C47" s="188" t="s">
        <v>2936</v>
      </c>
      <c r="D47" s="190" t="s">
        <v>2937</v>
      </c>
      <c r="E47" s="190" t="s">
        <v>2938</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2893</v>
      </c>
      <c r="B48" s="187" t="s">
        <v>2904</v>
      </c>
      <c r="C48" s="188" t="s">
        <v>2939</v>
      </c>
      <c r="D48" s="190" t="s">
        <v>2940</v>
      </c>
      <c r="E48" s="190" t="s">
        <v>2941</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2893</v>
      </c>
      <c r="B49" s="187" t="s">
        <v>2904</v>
      </c>
      <c r="C49" s="188" t="s">
        <v>2942</v>
      </c>
      <c r="D49" s="190" t="s">
        <v>2943</v>
      </c>
      <c r="E49" s="190" t="s">
        <v>2944</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2893</v>
      </c>
      <c r="B50" s="187" t="s">
        <v>2904</v>
      </c>
      <c r="C50" s="188" t="s">
        <v>2945</v>
      </c>
      <c r="D50" s="190" t="s">
        <v>2946</v>
      </c>
      <c r="E50" s="190" t="s">
        <v>2947</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2893</v>
      </c>
      <c r="B51" s="186" t="s">
        <v>2948</v>
      </c>
      <c r="C51" s="186"/>
      <c r="D51" s="189" t="s">
        <v>2949</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2893</v>
      </c>
      <c r="B52" s="187" t="s">
        <v>2948</v>
      </c>
      <c r="C52" s="188" t="s">
        <v>2950</v>
      </c>
      <c r="D52" s="190" t="s">
        <v>2951</v>
      </c>
      <c r="E52" s="190" t="s">
        <v>2952</v>
      </c>
      <c r="F52" s="192">
        <f>IF(COUNTIF(G52:AT52,"&lt;&gt;")=0,"",SUMPRODUCT(((Recommendations[ImplStatus]="Implemented")+(Recommendations[ImplStatus]="Compensated"))*ISNUMBER(MATCH(Recommendations[Id],G52:AT52,0)))/COUNTIF(G52:AT52,"&lt;&gt;"))</f>
        <v>0</v>
      </c>
      <c r="G52" s="194" t="s">
        <v>79</v>
      </c>
      <c r="H52" s="194" t="s">
        <v>201</v>
      </c>
      <c r="I52" s="194" t="s">
        <v>207</v>
      </c>
      <c r="J52" s="194" t="s">
        <v>213</v>
      </c>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2893</v>
      </c>
      <c r="B53" s="187" t="s">
        <v>2948</v>
      </c>
      <c r="C53" s="188" t="s">
        <v>2953</v>
      </c>
      <c r="D53" s="190" t="s">
        <v>2954</v>
      </c>
      <c r="E53" s="190" t="s">
        <v>2955</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2893</v>
      </c>
      <c r="B54" s="187" t="s">
        <v>2948</v>
      </c>
      <c r="C54" s="188" t="s">
        <v>2956</v>
      </c>
      <c r="D54" s="190" t="s">
        <v>2957</v>
      </c>
      <c r="E54" s="190" t="s">
        <v>2958</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2893</v>
      </c>
      <c r="B55" s="187" t="s">
        <v>2948</v>
      </c>
      <c r="C55" s="188" t="s">
        <v>2959</v>
      </c>
      <c r="D55" s="190" t="s">
        <v>2960</v>
      </c>
      <c r="E55" s="190" t="s">
        <v>2961</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2893</v>
      </c>
      <c r="B56" s="187" t="s">
        <v>2948</v>
      </c>
      <c r="C56" s="188" t="s">
        <v>2962</v>
      </c>
      <c r="D56" s="190" t="s">
        <v>2963</v>
      </c>
      <c r="E56" s="190" t="s">
        <v>2964</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2893</v>
      </c>
      <c r="B57" s="187" t="s">
        <v>2948</v>
      </c>
      <c r="C57" s="188" t="s">
        <v>2965</v>
      </c>
      <c r="D57" s="190" t="s">
        <v>2966</v>
      </c>
      <c r="E57" s="190" t="s">
        <v>2967</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2893</v>
      </c>
      <c r="B58" s="187" t="s">
        <v>2948</v>
      </c>
      <c r="C58" s="188" t="s">
        <v>2968</v>
      </c>
      <c r="D58" s="190" t="s">
        <v>2969</v>
      </c>
      <c r="E58" s="190" t="s">
        <v>2970</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2893</v>
      </c>
      <c r="B59" s="187" t="s">
        <v>2948</v>
      </c>
      <c r="C59" s="188" t="s">
        <v>2971</v>
      </c>
      <c r="D59" s="190" t="s">
        <v>2972</v>
      </c>
      <c r="E59" s="190" t="s">
        <v>2973</v>
      </c>
      <c r="F59" s="192">
        <f>IF(COUNTIF(G59:AT59,"&lt;&gt;")=0,"",SUMPRODUCT(((Recommendations[ImplStatus]="Implemented")+(Recommendations[ImplStatus]="Compensated"))*ISNUMBER(MATCH(Recommendations[Id],G59:AT59,0)))/COUNTIF(G59:AT59,"&lt;&gt;"))</f>
        <v>0</v>
      </c>
      <c r="G59" s="194" t="s">
        <v>104</v>
      </c>
      <c r="H59" s="194" t="s">
        <v>226</v>
      </c>
      <c r="I59" s="194" t="s">
        <v>338</v>
      </c>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2893</v>
      </c>
      <c r="B60" s="187" t="s">
        <v>2974</v>
      </c>
      <c r="C60" s="188" t="s">
        <v>2975</v>
      </c>
      <c r="D60" s="190" t="s">
        <v>2976</v>
      </c>
      <c r="E60" s="190" t="s">
        <v>2977</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2893</v>
      </c>
      <c r="B61" s="187" t="s">
        <v>2974</v>
      </c>
      <c r="C61" s="188" t="s">
        <v>2978</v>
      </c>
      <c r="D61" s="190" t="s">
        <v>2979</v>
      </c>
      <c r="E61" s="190" t="s">
        <v>2980</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2893</v>
      </c>
      <c r="B62" s="186" t="s">
        <v>2981</v>
      </c>
      <c r="C62" s="186"/>
      <c r="D62" s="189" t="s">
        <v>2982</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2893</v>
      </c>
      <c r="B63" s="187" t="s">
        <v>2981</v>
      </c>
      <c r="C63" s="188" t="s">
        <v>2983</v>
      </c>
      <c r="D63" s="190" t="s">
        <v>2984</v>
      </c>
      <c r="E63" s="190" t="s">
        <v>2985</v>
      </c>
      <c r="F63" s="192">
        <f>IF(COUNTIF(G63:AT63,"&lt;&gt;")=0,"",SUMPRODUCT(((Recommendations[ImplStatus]="Implemented")+(Recommendations[ImplStatus]="Compensated"))*ISNUMBER(MATCH(Recommendations[Id],G63:AT63,0)))/COUNTIF(G63:AT63,"&lt;&gt;"))</f>
        <v>0</v>
      </c>
      <c r="G63" s="194" t="s">
        <v>18</v>
      </c>
      <c r="H63" s="194" t="s">
        <v>30</v>
      </c>
      <c r="I63" s="194" t="s">
        <v>36</v>
      </c>
      <c r="J63" s="194" t="s">
        <v>42</v>
      </c>
      <c r="K63" s="194" t="s">
        <v>48</v>
      </c>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2893</v>
      </c>
      <c r="B64" s="187" t="s">
        <v>2981</v>
      </c>
      <c r="C64" s="188" t="s">
        <v>2986</v>
      </c>
      <c r="D64" s="190" t="s">
        <v>2987</v>
      </c>
      <c r="E64" s="190" t="s">
        <v>2988</v>
      </c>
      <c r="F64" s="192">
        <f>IF(COUNTIF(G64:AT64,"&lt;&gt;")=0,"",SUMPRODUCT(((Recommendations[ImplStatus]="Implemented")+(Recommendations[ImplStatus]="Compensated"))*ISNUMBER(MATCH(Recommendations[Id],G64:AT64,0)))/COUNTIF(G64:AT64,"&lt;&gt;"))</f>
        <v>0</v>
      </c>
      <c r="G64" s="194" t="s">
        <v>18</v>
      </c>
      <c r="H64" s="194" t="s">
        <v>42</v>
      </c>
      <c r="I64" s="194" t="s">
        <v>53</v>
      </c>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2893</v>
      </c>
      <c r="B65" s="187" t="s">
        <v>2981</v>
      </c>
      <c r="C65" s="188" t="s">
        <v>2989</v>
      </c>
      <c r="D65" s="190" t="s">
        <v>2990</v>
      </c>
      <c r="E65" s="190" t="s">
        <v>2991</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2893</v>
      </c>
      <c r="B66" s="187" t="s">
        <v>2981</v>
      </c>
      <c r="C66" s="188" t="s">
        <v>2992</v>
      </c>
      <c r="D66" s="190" t="s">
        <v>2993</v>
      </c>
      <c r="E66" s="190" t="s">
        <v>2994</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2893</v>
      </c>
      <c r="B67" s="187" t="s">
        <v>2981</v>
      </c>
      <c r="C67" s="188" t="s">
        <v>2995</v>
      </c>
      <c r="D67" s="190" t="s">
        <v>2996</v>
      </c>
      <c r="E67" s="190" t="s">
        <v>2997</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2893</v>
      </c>
      <c r="B68" s="187" t="s">
        <v>2981</v>
      </c>
      <c r="C68" s="188" t="s">
        <v>2998</v>
      </c>
      <c r="D68" s="190" t="s">
        <v>2999</v>
      </c>
      <c r="E68" s="190" t="s">
        <v>3000</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2893</v>
      </c>
      <c r="B69" s="187" t="s">
        <v>2981</v>
      </c>
      <c r="C69" s="188" t="s">
        <v>3001</v>
      </c>
      <c r="D69" s="190" t="s">
        <v>3002</v>
      </c>
      <c r="E69" s="190" t="s">
        <v>3003</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2893</v>
      </c>
      <c r="B70" s="187" t="s">
        <v>2981</v>
      </c>
      <c r="C70" s="188" t="s">
        <v>3004</v>
      </c>
      <c r="D70" s="190" t="s">
        <v>3005</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2893</v>
      </c>
      <c r="B71" s="187" t="s">
        <v>2981</v>
      </c>
      <c r="C71" s="188" t="s">
        <v>3006</v>
      </c>
      <c r="D71" s="190" t="s">
        <v>3007</v>
      </c>
      <c r="E71" s="190" t="s">
        <v>3008</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2893</v>
      </c>
      <c r="B72" s="187" t="s">
        <v>2981</v>
      </c>
      <c r="C72" s="188" t="s">
        <v>3009</v>
      </c>
      <c r="D72" s="190" t="s">
        <v>3010</v>
      </c>
      <c r="E72" s="190" t="s">
        <v>3011</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2893</v>
      </c>
      <c r="B73" s="187" t="s">
        <v>2981</v>
      </c>
      <c r="C73" s="188" t="s">
        <v>3012</v>
      </c>
      <c r="D73" s="190" t="s">
        <v>3013</v>
      </c>
      <c r="E73" s="190" t="s">
        <v>3014</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2893</v>
      </c>
      <c r="B74" s="187" t="s">
        <v>2981</v>
      </c>
      <c r="C74" s="188" t="s">
        <v>3015</v>
      </c>
      <c r="D74" s="190" t="s">
        <v>3016</v>
      </c>
      <c r="E74" s="190" t="s">
        <v>3017</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2893</v>
      </c>
      <c r="B75" s="187" t="s">
        <v>2981</v>
      </c>
      <c r="C75" s="188" t="s">
        <v>3018</v>
      </c>
      <c r="D75" s="190" t="s">
        <v>3019</v>
      </c>
      <c r="E75" s="190" t="s">
        <v>3020</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2893</v>
      </c>
      <c r="B76" s="187" t="s">
        <v>2981</v>
      </c>
      <c r="C76" s="188" t="s">
        <v>3021</v>
      </c>
      <c r="D76" s="190" t="s">
        <v>3022</v>
      </c>
      <c r="E76" s="190" t="s">
        <v>3023</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2893</v>
      </c>
      <c r="B77" s="187" t="s">
        <v>2981</v>
      </c>
      <c r="C77" s="188" t="s">
        <v>3024</v>
      </c>
      <c r="D77" s="190" t="s">
        <v>3025</v>
      </c>
      <c r="E77" s="190" t="s">
        <v>3026</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2893</v>
      </c>
      <c r="B78" s="187" t="s">
        <v>2981</v>
      </c>
      <c r="C78" s="188" t="s">
        <v>3027</v>
      </c>
      <c r="D78" s="190" t="s">
        <v>3028</v>
      </c>
      <c r="E78" s="190" t="s">
        <v>3029</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2893</v>
      </c>
      <c r="B79" s="186" t="s">
        <v>2981</v>
      </c>
      <c r="C79" s="186"/>
      <c r="D79" s="189" t="s">
        <v>3030</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3031</v>
      </c>
      <c r="B80" s="187"/>
      <c r="C80" s="188" t="s">
        <v>3032</v>
      </c>
      <c r="D80" s="190" t="s">
        <v>3033</v>
      </c>
      <c r="E80" s="190" t="s">
        <v>3034</v>
      </c>
      <c r="F80" s="192">
        <f>IF(COUNTIF(G80:AT80,"&lt;&gt;")=0,"",SUMPRODUCT(((Recommendations[ImplStatus]="Implemented")+(Recommendations[ImplStatus]="Compensated"))*ISNUMBER(MATCH(Recommendations[Id],G80:AT80,0)))/COUNTIF(G80:AT80,"&lt;&gt;"))</f>
        <v>0</v>
      </c>
      <c r="G80" s="194" t="s">
        <v>158</v>
      </c>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3031</v>
      </c>
      <c r="B81" s="187"/>
      <c r="C81" s="188" t="s">
        <v>3035</v>
      </c>
      <c r="D81" s="190" t="s">
        <v>3036</v>
      </c>
      <c r="E81" s="190" t="s">
        <v>3037</v>
      </c>
      <c r="F81" s="192">
        <f>IF(COUNTIF(G81:AT81,"&lt;&gt;")=0,"",SUMPRODUCT(((Recommendations[ImplStatus]="Implemented")+(Recommendations[ImplStatus]="Compensated"))*ISNUMBER(MATCH(Recommendations[Id],G81:AT81,0)))/COUNTIF(G81:AT81,"&lt;&gt;"))</f>
        <v>0</v>
      </c>
      <c r="G81" s="194" t="s">
        <v>128</v>
      </c>
      <c r="H81" s="194" t="s">
        <v>158</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3031</v>
      </c>
      <c r="B82" s="187"/>
      <c r="C82" s="188" t="s">
        <v>3038</v>
      </c>
      <c r="D82" s="190" t="s">
        <v>3039</v>
      </c>
      <c r="E82" s="190" t="s">
        <v>3040</v>
      </c>
      <c r="F82" s="192">
        <f>IF(COUNTIF(G82:AT82,"&lt;&gt;")=0,"",SUMPRODUCT(((Recommendations[ImplStatus]="Implemented")+(Recommendations[ImplStatus]="Compensated"))*ISNUMBER(MATCH(Recommendations[Id],G82:AT82,0)))/COUNTIF(G82:AT82,"&lt;&gt;"))</f>
        <v>0</v>
      </c>
      <c r="G82" s="194" t="s">
        <v>146</v>
      </c>
      <c r="H82" s="194" t="s">
        <v>152</v>
      </c>
      <c r="I82" s="194" t="s">
        <v>314</v>
      </c>
      <c r="J82" s="194" t="s">
        <v>332</v>
      </c>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3031</v>
      </c>
      <c r="B83" s="187"/>
      <c r="C83" s="188" t="s">
        <v>3041</v>
      </c>
      <c r="D83" s="190" t="s">
        <v>3042</v>
      </c>
      <c r="E83" s="190" t="s">
        <v>3043</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3031</v>
      </c>
      <c r="B84" s="186"/>
      <c r="C84" s="186"/>
      <c r="D84" s="189" t="s">
        <v>3044</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3045</v>
      </c>
      <c r="B85" s="187"/>
      <c r="C85" s="188" t="s">
        <v>3046</v>
      </c>
      <c r="D85" s="190" t="s">
        <v>3047</v>
      </c>
      <c r="E85" s="190" t="s">
        <v>3048</v>
      </c>
      <c r="F85" s="192">
        <f>IF(COUNTIF(G85:AT85,"&lt;&gt;")=0,"",SUMPRODUCT(((Recommendations[ImplStatus]="Implemented")+(Recommendations[ImplStatus]="Compensated"))*ISNUMBER(MATCH(Recommendations[Id],G85:AT85,0)))/COUNTIF(G85:AT85,"&lt;&gt;"))</f>
        <v>0</v>
      </c>
      <c r="G85" s="194" t="s">
        <v>301</v>
      </c>
      <c r="H85" s="194" t="s">
        <v>307</v>
      </c>
      <c r="I85" s="194" t="s">
        <v>314</v>
      </c>
      <c r="J85" s="194" t="s">
        <v>320</v>
      </c>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3045</v>
      </c>
      <c r="B86" s="187"/>
      <c r="C86" s="188" t="s">
        <v>3049</v>
      </c>
      <c r="D86" s="190" t="s">
        <v>3050</v>
      </c>
      <c r="E86" s="190" t="s">
        <v>3051</v>
      </c>
      <c r="F86" s="192">
        <f>IF(COUNTIF(G86:AT86,"&lt;&gt;")=0,"",SUMPRODUCT(((Recommendations[ImplStatus]="Implemented")+(Recommendations[ImplStatus]="Compensated"))*ISNUMBER(MATCH(Recommendations[Id],G86:AT86,0)))/COUNTIF(G86:AT86,"&lt;&gt;"))</f>
        <v>0</v>
      </c>
      <c r="G86" s="194" t="s">
        <v>301</v>
      </c>
      <c r="H86" s="194" t="s">
        <v>307</v>
      </c>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3045</v>
      </c>
      <c r="B87" s="187"/>
      <c r="C87" s="188" t="s">
        <v>3052</v>
      </c>
      <c r="D87" s="190" t="s">
        <v>3053</v>
      </c>
      <c r="E87" s="190" t="s">
        <v>3054</v>
      </c>
      <c r="F87" s="192">
        <f>IF(COUNTIF(G87:AT87,"&lt;&gt;")=0,"",SUMPRODUCT(((Recommendations[ImplStatus]="Implemented")+(Recommendations[ImplStatus]="Compensated"))*ISNUMBER(MATCH(Recommendations[Id],G87:AT87,0)))/COUNTIF(G87:AT87,"&lt;&gt;"))</f>
        <v>0</v>
      </c>
      <c r="G87" s="194" t="s">
        <v>110</v>
      </c>
      <c r="H87" s="194" t="s">
        <v>116</v>
      </c>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3045</v>
      </c>
      <c r="B88" s="187"/>
      <c r="C88" s="188" t="s">
        <v>3055</v>
      </c>
      <c r="D88" s="190" t="s">
        <v>3056</v>
      </c>
      <c r="E88" s="190" t="s">
        <v>3057</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3045</v>
      </c>
      <c r="B89" s="187"/>
      <c r="C89" s="188" t="s">
        <v>3058</v>
      </c>
      <c r="D89" s="190" t="s">
        <v>3059</v>
      </c>
      <c r="E89" s="190" t="s">
        <v>3060</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3045</v>
      </c>
      <c r="B90" s="186" t="s">
        <v>3061</v>
      </c>
      <c r="C90" s="186"/>
      <c r="D90" s="189" t="s">
        <v>3062</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3045</v>
      </c>
      <c r="B91" s="187" t="s">
        <v>3061</v>
      </c>
      <c r="C91" s="188" t="s">
        <v>3063</v>
      </c>
      <c r="D91" s="190" t="s">
        <v>3064</v>
      </c>
      <c r="E91" s="190" t="s">
        <v>3065</v>
      </c>
      <c r="F91" s="192">
        <f>IF(COUNTIF(G91:AT91,"&lt;&gt;")=0,"",SUMPRODUCT(((Recommendations[ImplStatus]="Implemented")+(Recommendations[ImplStatus]="Compensated"))*ISNUMBER(MATCH(Recommendations[Id],G91:AT91,0)))/COUNTIF(G91:AT91,"&lt;&gt;"))</f>
        <v>0</v>
      </c>
      <c r="G91" s="194" t="s">
        <v>256</v>
      </c>
      <c r="H91" s="194" t="s">
        <v>262</v>
      </c>
      <c r="I91" s="194" t="s">
        <v>268</v>
      </c>
      <c r="J91" s="194" t="s">
        <v>274</v>
      </c>
      <c r="K91" s="194" t="s">
        <v>279</v>
      </c>
      <c r="L91" s="194" t="s">
        <v>284</v>
      </c>
      <c r="M91" s="194" t="s">
        <v>289</v>
      </c>
      <c r="N91" s="194" t="s">
        <v>295</v>
      </c>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3045</v>
      </c>
      <c r="B92" s="187" t="s">
        <v>3061</v>
      </c>
      <c r="C92" s="188" t="s">
        <v>3066</v>
      </c>
      <c r="D92" s="190" t="s">
        <v>3067</v>
      </c>
      <c r="E92" s="190" t="s">
        <v>3068</v>
      </c>
      <c r="F92" s="192">
        <f>IF(COUNTIF(G92:AT92,"&lt;&gt;")=0,"",SUMPRODUCT(((Recommendations[ImplStatus]="Implemented")+(Recommendations[ImplStatus]="Compensated"))*ISNUMBER(MATCH(Recommendations[Id],G92:AT92,0)))/COUNTIF(G92:AT92,"&lt;&gt;"))</f>
        <v>0</v>
      </c>
      <c r="G92" s="194" t="s">
        <v>256</v>
      </c>
      <c r="H92" s="194" t="s">
        <v>295</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3061</v>
      </c>
      <c r="C93" s="188" t="s">
        <v>3069</v>
      </c>
      <c r="D93" s="190" t="s">
        <v>3070</v>
      </c>
      <c r="E93" s="190" t="s">
        <v>3071</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3061</v>
      </c>
      <c r="C94" s="188" t="s">
        <v>3072</v>
      </c>
      <c r="D94" s="190" t="s">
        <v>3073</v>
      </c>
      <c r="E94" s="190" t="s">
        <v>3074</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3061</v>
      </c>
      <c r="C95" s="188" t="s">
        <v>3075</v>
      </c>
      <c r="D95" s="190" t="s">
        <v>3076</v>
      </c>
      <c r="E95" s="190" t="s">
        <v>3077</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3061</v>
      </c>
      <c r="C96" s="188" t="s">
        <v>3078</v>
      </c>
      <c r="D96" s="190" t="s">
        <v>3079</v>
      </c>
      <c r="E96" s="190" t="s">
        <v>3080</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3061</v>
      </c>
      <c r="C97" s="188" t="s">
        <v>3081</v>
      </c>
      <c r="D97" s="190" t="s">
        <v>3082</v>
      </c>
      <c r="E97" s="190" t="s">
        <v>3083</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3061</v>
      </c>
      <c r="C98" s="188" t="s">
        <v>3084</v>
      </c>
      <c r="D98" s="190" t="s">
        <v>3085</v>
      </c>
      <c r="E98" s="190" t="s">
        <v>3086</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3087</v>
      </c>
      <c r="C99" s="186"/>
      <c r="D99" s="189" t="s">
        <v>3088</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3087</v>
      </c>
      <c r="C100" s="188" t="s">
        <v>3089</v>
      </c>
      <c r="D100" s="190" t="s">
        <v>3090</v>
      </c>
      <c r="E100" s="190" t="s">
        <v>3091</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3087</v>
      </c>
      <c r="C101" s="188" t="s">
        <v>3092</v>
      </c>
      <c r="D101" s="190" t="s">
        <v>3093</v>
      </c>
      <c r="E101" s="190" t="s">
        <v>3094</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3087</v>
      </c>
      <c r="C102" s="188" t="s">
        <v>3095</v>
      </c>
      <c r="D102" s="190" t="s">
        <v>3096</v>
      </c>
      <c r="E102" s="190" t="s">
        <v>3097</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3087</v>
      </c>
      <c r="C103" s="188" t="s">
        <v>3098</v>
      </c>
      <c r="D103" s="190" t="s">
        <v>3099</v>
      </c>
      <c r="E103" s="190" t="s">
        <v>3100</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3087</v>
      </c>
      <c r="C104" s="196" t="s">
        <v>3101</v>
      </c>
      <c r="D104" s="197" t="s">
        <v>3102</v>
      </c>
      <c r="E104" s="197" t="s">
        <v>3103</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357</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IFERROR(INDEX('Recommendations'!$I$2:$I$56, MATCH(G2,'Recommendations'!$B$2:$B$56,0))="Implemented", FALSE))</xm:f>
            <x14:dxf>
              <font>
                <color rgb="FF000000"/>
              </font>
              <fill>
                <patternFill>
                  <bgColor rgb="FF3C7D22"/>
                </patternFill>
              </fill>
            </x14:dxf>
          </x14:cfRule>
          <x14:cfRule type="expression" priority="2" id="{00000000-000E-0000-0800-000002000000}">
            <xm:f>AND(G2&lt;&gt;"", IFERROR(INDEX('Recommendations'!$I$2:$I$56, MATCH(G2,'Recommendations'!$B$2:$B$56,0))="Compensated", FALSE))</xm:f>
            <x14:dxf>
              <font>
                <color rgb="FF000000"/>
              </font>
              <fill>
                <patternFill>
                  <bgColor rgb="FFC6E0B4"/>
                </patternFill>
              </fill>
            </x14:dxf>
          </x14:cfRule>
          <x14:cfRule type="expression" priority="3" id="{00000000-000E-0000-0800-000003000000}">
            <xm:f>AND(G2&lt;&gt;"", IFERROR(INDEX('Recommendations'!$I$2:$I$56, MATCH(G2,'Recommendations'!$B$2:$B$56,0))="Testing", FALSE))</xm:f>
            <x14:dxf>
              <font>
                <color rgb="FF000000"/>
              </font>
              <fill>
                <patternFill>
                  <bgColor rgb="FFFFC000"/>
                </patternFill>
              </fill>
            </x14:dxf>
          </x14:cfRule>
          <x14:cfRule type="expression" priority="4" id="{00000000-000E-0000-0800-000004000000}">
            <xm:f>AND(G2&lt;&gt;"", IFERROR(INDEX('Recommendations'!$I$2:$I$56, MATCH(G2,'Recommendations'!$B$2:$B$56,0))="Failed", FALSE))</xm:f>
            <x14:dxf>
              <font>
                <color rgb="FF000000"/>
              </font>
              <fill>
                <patternFill>
                  <bgColor rgb="FFD82891"/>
                </patternFill>
              </fill>
            </x14:dxf>
          </x14:cfRule>
          <x14:cfRule type="expression" priority="5" id="{00000000-000E-0000-0800-000005000000}">
            <xm:f>AND(G2&lt;&gt;"", IFERROR(INDEX('Recommendations'!$I$2:$I$56, MATCH(G2,'Recommendations'!$B$2:$B$56,0))="Risk Accepted", FALSE))</xm:f>
            <x14:dxf>
              <font>
                <color rgb="FF000000"/>
              </font>
              <fill>
                <patternFill>
                  <bgColor rgb="FFD9D9D9"/>
                </patternFill>
              </fill>
            </x14:dxf>
          </x14:cfRule>
          <x14:cfRule type="expression" priority="6" id="{00000000-000E-0000-0800-000006000000}">
            <xm:f>AND(G2&lt;&gt;"", IFERROR(INDEX('Recommendations'!$I$2:$I$56, MATCH(G2,'Recommendations'!$B$2:$B$56,0))="N/A",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CIS Apple macOS 14.0 Sonoma Cloud-tailored Benchmark - SHGIR</dc:title>
  <dc:subject>Generated on: 2026-06-08 19:51:56</dc:subject>
  <dc:creator>Anicet Fopa Tchoffo</dc:creator>
  <cp:keywords>Baseline;Hardening;CIS;Benchmark</cp:keywords>
  <dc:description>Baseline Developed By: Center for Internet Security (CIS)</dc:description>
  <cp:lastModifiedBy>Anicet Fopa Tchoffo</cp:lastModifiedBy>
  <dcterms:modified xsi:type="dcterms:W3CDTF">2026-06-08T18:52:08Z</dcterms:modified>
  <cp:category>CIS</cp:category>
  <cp:contentStatus>Draft</cp:contentStatus>
</cp:coreProperties>
</file>