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ASD/"/>
    </mc:Choice>
  </mc:AlternateContent>
  <xr:revisionPtr revIDLastSave="52" documentId="11_9AEF891E789945E33CB2EEF934D6AF295C60D601" xr6:coauthVersionLast="47" xr6:coauthVersionMax="47" xr10:uidLastSave="{4465CA0D-0259-4E82-9F3E-B21993854ADE}"/>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R419" i="1"/>
  <c r="R418" i="1"/>
  <c r="R417" i="1"/>
  <c r="R416" i="1"/>
  <c r="R415" i="1"/>
  <c r="R414" i="1"/>
  <c r="R413" i="1"/>
  <c r="R412" i="1"/>
  <c r="R411" i="1"/>
  <c r="R410" i="1"/>
  <c r="C30" i="3" s="1"/>
  <c r="F30" i="3" s="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 i="1"/>
  <c r="R3" i="1"/>
  <c r="R2" i="1"/>
  <c r="F142" i="3" s="1"/>
  <c r="R217" i="3"/>
  <c r="R216" i="3"/>
  <c r="R215" i="3"/>
  <c r="R214" i="3"/>
  <c r="R213" i="3"/>
  <c r="R212" i="3"/>
  <c r="R211" i="3"/>
  <c r="R210" i="3"/>
  <c r="R209" i="3"/>
  <c r="R208" i="3"/>
  <c r="R207" i="3"/>
  <c r="R206" i="3"/>
  <c r="R205" i="3"/>
  <c r="R204" i="3"/>
  <c r="R203" i="3"/>
  <c r="R202" i="3"/>
  <c r="R201" i="3"/>
  <c r="R200" i="3"/>
  <c r="R199" i="3"/>
  <c r="R198" i="3"/>
  <c r="O142" i="3"/>
  <c r="N142" i="3"/>
  <c r="M142" i="3"/>
  <c r="L142" i="3"/>
  <c r="K142" i="3"/>
  <c r="E142" i="3"/>
  <c r="O141" i="3"/>
  <c r="N141" i="3"/>
  <c r="M141" i="3"/>
  <c r="L141" i="3"/>
  <c r="K141" i="3"/>
  <c r="F141" i="3"/>
  <c r="E141" i="3"/>
  <c r="G141" i="3" s="1"/>
  <c r="O140" i="3"/>
  <c r="N140" i="3"/>
  <c r="M140" i="3"/>
  <c r="L140" i="3"/>
  <c r="K140" i="3"/>
  <c r="F140" i="3"/>
  <c r="E140" i="3"/>
  <c r="G140" i="3" s="1"/>
  <c r="O139" i="3"/>
  <c r="N139" i="3"/>
  <c r="M139" i="3"/>
  <c r="L139" i="3"/>
  <c r="K139" i="3"/>
  <c r="F139" i="3"/>
  <c r="E139" i="3"/>
  <c r="G139" i="3" s="1"/>
  <c r="O138" i="3"/>
  <c r="N138" i="3"/>
  <c r="M138" i="3"/>
  <c r="L138" i="3"/>
  <c r="K138" i="3"/>
  <c r="F138" i="3"/>
  <c r="E138" i="3"/>
  <c r="G138" i="3" s="1"/>
  <c r="O137" i="3"/>
  <c r="N137" i="3"/>
  <c r="M137" i="3"/>
  <c r="L137" i="3"/>
  <c r="K137" i="3"/>
  <c r="F137" i="3"/>
  <c r="E137" i="3"/>
  <c r="G137" i="3" s="1"/>
  <c r="E123" i="3"/>
  <c r="D123" i="3"/>
  <c r="C123" i="3"/>
  <c r="F123" i="3" s="1"/>
  <c r="E122" i="3"/>
  <c r="D122" i="3"/>
  <c r="C122" i="3"/>
  <c r="F122" i="3" s="1"/>
  <c r="E121" i="3"/>
  <c r="D121" i="3"/>
  <c r="C121" i="3"/>
  <c r="F121" i="3" s="1"/>
  <c r="E120" i="3"/>
  <c r="D120" i="3"/>
  <c r="C120" i="3"/>
  <c r="F120" i="3" s="1"/>
  <c r="E103" i="3"/>
  <c r="D103" i="3"/>
  <c r="C103" i="3"/>
  <c r="F103" i="3" s="1"/>
  <c r="F102" i="3"/>
  <c r="E110" i="3" s="1"/>
  <c r="E102" i="3"/>
  <c r="D102" i="3"/>
  <c r="C102" i="3"/>
  <c r="E101" i="3"/>
  <c r="D101" i="3"/>
  <c r="C101" i="3"/>
  <c r="W153" i="3" s="1"/>
  <c r="F100" i="3"/>
  <c r="V185" i="3" s="1"/>
  <c r="E100" i="3"/>
  <c r="D100" i="3"/>
  <c r="C100" i="3"/>
  <c r="U153" i="3" s="1"/>
  <c r="F99" i="3"/>
  <c r="T181" i="3" s="1"/>
  <c r="E99" i="3"/>
  <c r="D99" i="3"/>
  <c r="C99" i="3"/>
  <c r="S153" i="3" s="1"/>
  <c r="E81" i="3"/>
  <c r="D81" i="3"/>
  <c r="C81" i="3"/>
  <c r="F81" i="3" s="1"/>
  <c r="E80" i="3"/>
  <c r="D80" i="3"/>
  <c r="F80" i="3" s="1"/>
  <c r="C80" i="3"/>
  <c r="E79" i="3"/>
  <c r="D79" i="3"/>
  <c r="C79" i="3"/>
  <c r="F79" i="3" s="1"/>
  <c r="E78" i="3"/>
  <c r="D78" i="3"/>
  <c r="C78" i="3"/>
  <c r="F78" i="3" s="1"/>
  <c r="E77" i="3"/>
  <c r="D77" i="3"/>
  <c r="C77" i="3"/>
  <c r="F77" i="3" s="1"/>
  <c r="E76" i="3"/>
  <c r="D76" i="3"/>
  <c r="C76" i="3"/>
  <c r="F76" i="3" s="1"/>
  <c r="E62" i="3"/>
  <c r="D62" i="3"/>
  <c r="C62" i="3"/>
  <c r="F62" i="3" s="1"/>
  <c r="E61" i="3"/>
  <c r="D61" i="3"/>
  <c r="C61" i="3"/>
  <c r="F61" i="3" s="1"/>
  <c r="E47" i="3"/>
  <c r="D47" i="3"/>
  <c r="F47" i="3" s="1"/>
  <c r="C47" i="3"/>
  <c r="E46" i="3"/>
  <c r="D46" i="3"/>
  <c r="C46" i="3"/>
  <c r="F46" i="3" s="1"/>
  <c r="E31" i="3"/>
  <c r="D31" i="3"/>
  <c r="C31" i="3"/>
  <c r="F31" i="3" s="1"/>
  <c r="E30" i="3"/>
  <c r="D30" i="3"/>
  <c r="E29" i="3"/>
  <c r="D29" i="3"/>
  <c r="C29" i="3"/>
  <c r="F29" i="3" s="1"/>
  <c r="E16" i="3"/>
  <c r="D16" i="3"/>
  <c r="F16" i="3" s="1"/>
  <c r="C16" i="3"/>
  <c r="Q153" i="3" s="1"/>
  <c r="C9" i="3"/>
  <c r="D9" i="3" s="1"/>
  <c r="C8" i="3"/>
  <c r="D8" i="3" s="1"/>
  <c r="C7" i="3"/>
  <c r="D7" i="3" s="1"/>
  <c r="E89" i="3" l="1"/>
  <c r="D89" i="3"/>
  <c r="C89" i="3"/>
  <c r="E111" i="3"/>
  <c r="D111" i="3"/>
  <c r="C111" i="3"/>
  <c r="E66" i="3"/>
  <c r="D66" i="3"/>
  <c r="C66" i="3"/>
  <c r="E36" i="3"/>
  <c r="D36" i="3"/>
  <c r="C36" i="3"/>
  <c r="E52" i="3"/>
  <c r="D52" i="3"/>
  <c r="C52" i="3"/>
  <c r="E127" i="3"/>
  <c r="D127" i="3"/>
  <c r="C127" i="3"/>
  <c r="R181" i="3"/>
  <c r="R176" i="3"/>
  <c r="R171" i="3"/>
  <c r="R166" i="3"/>
  <c r="R161" i="3"/>
  <c r="R156" i="3"/>
  <c r="R185" i="3"/>
  <c r="R180" i="3"/>
  <c r="R175" i="3"/>
  <c r="R170" i="3"/>
  <c r="R165" i="3"/>
  <c r="R160" i="3"/>
  <c r="R155" i="3"/>
  <c r="D20" i="3"/>
  <c r="C20" i="3"/>
  <c r="R184" i="3"/>
  <c r="R179" i="3"/>
  <c r="R174" i="3"/>
  <c r="R169" i="3"/>
  <c r="R164" i="3"/>
  <c r="R159" i="3"/>
  <c r="R183" i="3"/>
  <c r="R178" i="3"/>
  <c r="R173" i="3"/>
  <c r="R168" i="3"/>
  <c r="R163" i="3"/>
  <c r="R158" i="3"/>
  <c r="E20" i="3"/>
  <c r="R182" i="3"/>
  <c r="R177" i="3"/>
  <c r="R172" i="3"/>
  <c r="R167" i="3"/>
  <c r="R162" i="3"/>
  <c r="R157" i="3"/>
  <c r="D90" i="3"/>
  <c r="C90" i="3"/>
  <c r="E90" i="3"/>
  <c r="E35" i="3"/>
  <c r="D35" i="3"/>
  <c r="C35" i="3"/>
  <c r="D86" i="3"/>
  <c r="C86" i="3"/>
  <c r="E86" i="3"/>
  <c r="G142" i="3"/>
  <c r="E129" i="3"/>
  <c r="D129" i="3"/>
  <c r="C129" i="3"/>
  <c r="E67" i="3"/>
  <c r="D67" i="3"/>
  <c r="C67" i="3"/>
  <c r="E85" i="3"/>
  <c r="D85" i="3"/>
  <c r="C85" i="3"/>
  <c r="C37" i="3"/>
  <c r="E37" i="3"/>
  <c r="D37" i="3"/>
  <c r="E87" i="3"/>
  <c r="D87" i="3"/>
  <c r="C87" i="3"/>
  <c r="E51" i="3"/>
  <c r="D51" i="3"/>
  <c r="C51" i="3"/>
  <c r="E128" i="3"/>
  <c r="D128" i="3"/>
  <c r="C128" i="3"/>
  <c r="E130" i="3"/>
  <c r="D130" i="3"/>
  <c r="C130" i="3"/>
  <c r="E88" i="3"/>
  <c r="D88" i="3"/>
  <c r="C88" i="3"/>
  <c r="D107" i="3"/>
  <c r="V156" i="3"/>
  <c r="V161" i="3"/>
  <c r="V166" i="3"/>
  <c r="V171" i="3"/>
  <c r="V176" i="3"/>
  <c r="V181" i="3"/>
  <c r="E107" i="3"/>
  <c r="C108" i="3"/>
  <c r="D108" i="3"/>
  <c r="T157" i="3"/>
  <c r="T162" i="3"/>
  <c r="T167" i="3"/>
  <c r="T172" i="3"/>
  <c r="T177" i="3"/>
  <c r="T182" i="3"/>
  <c r="E108" i="3"/>
  <c r="V157" i="3"/>
  <c r="V162" i="3"/>
  <c r="V167" i="3"/>
  <c r="V172" i="3"/>
  <c r="V177" i="3"/>
  <c r="V182" i="3"/>
  <c r="T158" i="3"/>
  <c r="T163" i="3"/>
  <c r="T168" i="3"/>
  <c r="T173" i="3"/>
  <c r="T178" i="3"/>
  <c r="T183" i="3"/>
  <c r="C110" i="3"/>
  <c r="V158" i="3"/>
  <c r="V163" i="3"/>
  <c r="V168" i="3"/>
  <c r="V173" i="3"/>
  <c r="V178" i="3"/>
  <c r="V183" i="3"/>
  <c r="D110" i="3"/>
  <c r="T159" i="3"/>
  <c r="T164" i="3"/>
  <c r="T169" i="3"/>
  <c r="T174" i="3"/>
  <c r="T179" i="3"/>
  <c r="T184" i="3"/>
  <c r="F101" i="3"/>
  <c r="V159" i="3"/>
  <c r="V164" i="3"/>
  <c r="V169" i="3"/>
  <c r="V174" i="3"/>
  <c r="V179" i="3"/>
  <c r="V184" i="3"/>
  <c r="T155" i="3"/>
  <c r="T160" i="3"/>
  <c r="T165" i="3"/>
  <c r="T170" i="3"/>
  <c r="T175" i="3"/>
  <c r="T180" i="3"/>
  <c r="T185" i="3"/>
  <c r="V155" i="3"/>
  <c r="V160" i="3"/>
  <c r="V165" i="3"/>
  <c r="V170" i="3"/>
  <c r="V175" i="3"/>
  <c r="V180" i="3"/>
  <c r="C107" i="3"/>
  <c r="T156" i="3"/>
  <c r="T161" i="3"/>
  <c r="T166" i="3"/>
  <c r="T171" i="3"/>
  <c r="T176" i="3"/>
  <c r="X185" i="3" l="1"/>
  <c r="X180" i="3"/>
  <c r="X175" i="3"/>
  <c r="X170" i="3"/>
  <c r="X165" i="3"/>
  <c r="X160" i="3"/>
  <c r="X155" i="3"/>
  <c r="X184" i="3"/>
  <c r="X179" i="3"/>
  <c r="X174" i="3"/>
  <c r="X169" i="3"/>
  <c r="X164" i="3"/>
  <c r="X159" i="3"/>
  <c r="E109" i="3"/>
  <c r="X183" i="3"/>
  <c r="X178" i="3"/>
  <c r="X173" i="3"/>
  <c r="X168" i="3"/>
  <c r="X163" i="3"/>
  <c r="X158" i="3"/>
  <c r="X182" i="3"/>
  <c r="X177" i="3"/>
  <c r="X172" i="3"/>
  <c r="X167" i="3"/>
  <c r="X162" i="3"/>
  <c r="X157" i="3"/>
  <c r="C109" i="3"/>
  <c r="D109" i="3"/>
  <c r="X181" i="3"/>
  <c r="X176" i="3"/>
  <c r="X171" i="3"/>
  <c r="X166" i="3"/>
  <c r="X161" i="3"/>
  <c r="X15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PCI\CC_0C0010, PCI\CC_0C0A</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Set authorized domains for HTTPS authentication in MSIX streaming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 &lt;organisation-defined domains&gt;</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Allowed package family names for non-admin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Remove Default Microsoft Store packages from the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 authorId="0" shapeId="0" xr:uid="{00000000-0006-0000-0400-000008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400-000009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 authorId="0" shapeId="0" xr:uid="{00000000-0006-0000-0400-00000A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B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J19" authorId="0" shapeId="0" xr:uid="{00000000-0006-0000-0400-00000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9" authorId="0" shapeId="0" xr:uid="{00000000-0006-0000-0400-00000D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E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1E000000}">
      <text>
        <r>
          <rPr>
            <sz val="11"/>
            <rFont val="Calibri"/>
          </rPr>
          <t xml:space="preserve">Ensure </t>
        </r>
        <r>
          <rPr>
            <sz val="11"/>
            <color rgb="FF000000"/>
            <rFont val="Calibri"/>
          </rPr>
          <t>'</t>
        </r>
        <r>
          <rPr>
            <b/>
            <sz val="11"/>
            <color rgb="FF000000"/>
            <rFont val="Calibri"/>
          </rPr>
          <t>Choose drive encryption method and cipher strength (Windows 10 [Version 1511] and later)</t>
        </r>
        <r>
          <rPr>
            <sz val="11"/>
            <color rgb="FF000000"/>
            <rFont val="Calibri"/>
          </rPr>
          <t>'</t>
        </r>
        <r>
          <rPr>
            <sz val="11"/>
            <color rgb="FF000000"/>
            <rFont val="Calibri"/>
          </rPr>
          <t xml:space="preserve"> is set to </t>
        </r>
        <r>
          <rPr>
            <sz val="11"/>
            <color rgb="FF000000"/>
            <rFont val="Calibri"/>
          </rPr>
          <t>'</t>
        </r>
        <r>
          <rPr>
            <b/>
            <sz val="11"/>
            <color rgb="FF000000"/>
            <rFont val="Calibri"/>
          </rPr>
          <t>Enabled: XTS-AES 128-bit for OS and fixed drives, XTS-AES 128-bit for removable drives</t>
        </r>
        <r>
          <rPr>
            <sz val="11"/>
            <color rgb="FF000000"/>
            <rFont val="Calibri"/>
          </rPr>
          <t>'</t>
        </r>
      </text>
    </comment>
    <comment ref="L22" authorId="0" shapeId="0" xr:uid="{00000000-0006-0000-0400-00001F000000}">
      <text>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2" authorId="0" shapeId="0" xr:uid="{00000000-0006-0000-0400-000020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backup recovery passwords and key packages to AD DS; do not enable BitLocker until recovery information is stored</t>
        </r>
        <r>
          <rPr>
            <sz val="11"/>
            <color rgb="FF000000"/>
            <rFont val="Calibri"/>
          </rPr>
          <t>'</t>
        </r>
      </text>
    </comment>
    <comment ref="N22" authorId="0" shapeId="0" xr:uid="{00000000-0006-0000-0400-000021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password complexity, minimum length 15</t>
        </r>
        <r>
          <rPr>
            <sz val="11"/>
            <color rgb="FF000000"/>
            <rFont val="Calibri"/>
          </rPr>
          <t>'</t>
        </r>
      </text>
    </comment>
    <comment ref="O22" authorId="0" shapeId="0" xr:uid="{00000000-0006-0000-0400-000022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2" authorId="0" shapeId="0" xr:uid="{00000000-0006-0000-0400-000023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Q22" authorId="0" shapeId="0" xr:uid="{00000000-0006-0000-0400-00000F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2" authorId="0" shapeId="0" xr:uid="{00000000-0006-0000-0400-000010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2" authorId="0" shapeId="0" xr:uid="{00000000-0006-0000-0400-00001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store recovery passwords and key packages to AD DS; do not enable BitLocker until recovery information is stored</t>
        </r>
        <r>
          <rPr>
            <sz val="11"/>
            <color rgb="FF000000"/>
            <rFont val="Calibri"/>
          </rPr>
          <t>'</t>
        </r>
      </text>
    </comment>
    <comment ref="T22" authorId="0" shapeId="0" xr:uid="{00000000-0006-0000-0400-000012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characters: 15</t>
        </r>
        <r>
          <rPr>
            <sz val="11"/>
            <color rgb="FF000000"/>
            <rFont val="Calibri"/>
          </rPr>
          <t>'</t>
        </r>
      </text>
    </comment>
    <comment ref="U22" authorId="0" shapeId="0" xr:uid="{00000000-0006-0000-0400-000013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V22" authorId="0" shapeId="0" xr:uid="{00000000-0006-0000-0400-00001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text>
    </comment>
    <comment ref="W22" authorId="0" shapeId="0" xr:uid="{00000000-0006-0000-0400-000015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2" authorId="0" shapeId="0" xr:uid="{00000000-0006-0000-0400-000016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2" authorId="0" shapeId="0" xr:uid="{00000000-0006-0000-0400-000017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2" authorId="0" shapeId="0" xr:uid="{00000000-0006-0000-0400-000018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2" authorId="0" shapeId="0" xr:uid="{00000000-0006-0000-0400-000019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2" authorId="0" shapeId="0" xr:uid="{00000000-0006-0000-0400-00001A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2" authorId="0" shapeId="0" xr:uid="{00000000-0006-0000-0400-00001B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2" authorId="0" shapeId="0" xr:uid="{00000000-0006-0000-0400-00001C000000}">
      <text>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2" authorId="0" shapeId="0" xr:uid="{00000000-0006-0000-0400-00001D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 authorId="0" shapeId="0" xr:uid="{00000000-0006-0000-0400-000024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6" authorId="0" shapeId="0" xr:uid="{00000000-0006-0000-0400-000025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31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3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and \\*\NETLOGON with RequireMutualAuthentication=1, RequireIntegrity=1</t>
        </r>
        <r>
          <rPr>
            <sz val="11"/>
            <color rgb="FF000000"/>
            <rFont val="Calibri"/>
          </rPr>
          <t>'</t>
        </r>
      </text>
    </comment>
    <comment ref="M26" authorId="0" shapeId="0" xr:uid="{00000000-0006-0000-0400-000033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N26" authorId="0" shapeId="0" xr:uid="{00000000-0006-0000-0400-00003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O26" authorId="0" shapeId="0" xr:uid="{00000000-0006-0000-0400-00003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6" authorId="0" shapeId="0" xr:uid="{00000000-0006-0000-0400-00003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6" authorId="0" shapeId="0" xr:uid="{00000000-0006-0000-0400-00003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3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39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T26" authorId="0" shapeId="0" xr:uid="{00000000-0006-0000-0400-00003A000000}">
      <text>
        <r>
          <rPr>
            <sz val="11"/>
            <rFont val="Calibri"/>
          </rPr>
          <t xml:space="preserve">Ensure </t>
        </r>
        <r>
          <rPr>
            <sz val="11"/>
            <color rgb="FF000000"/>
            <rFont val="Calibri"/>
          </rPr>
          <t>'</t>
        </r>
        <r>
          <rPr>
            <b/>
            <sz val="11"/>
            <color rgb="FF000000"/>
            <rFont val="Calibri"/>
          </rPr>
          <t>Set TLS/SSL security policy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U26" authorId="0" shapeId="0" xr:uid="{00000000-0006-0000-0400-00003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V26" authorId="0" shapeId="0" xr:uid="{00000000-0006-0000-0400-00003C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W26" authorId="0" shapeId="0" xr:uid="{00000000-0006-0000-0400-00003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3E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Y26" authorId="0" shapeId="0" xr:uid="{00000000-0006-0000-0400-00003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4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A26" authorId="0" shapeId="0" xr:uid="{00000000-0006-0000-0400-000041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4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4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44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4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AF26" authorId="0" shapeId="0" xr:uid="{00000000-0006-0000-0400-00002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2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 authorId="0" shapeId="0" xr:uid="{00000000-0006-0000-0400-00002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29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J26" authorId="0" shapeId="0" xr:uid="{00000000-0006-0000-0400-00002A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B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 authorId="0" shapeId="0" xr:uid="{00000000-0006-0000-0400-00002C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2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E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400-00002F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 authorId="0" shapeId="0" xr:uid="{00000000-0006-0000-0400-00003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46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4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4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49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J28" authorId="0" shapeId="0" xr:uid="{00000000-0006-0000-0400-00004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4B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4D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2" authorId="0" shapeId="0" xr:uid="{00000000-0006-0000-0400-00004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4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50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5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2" authorId="0" shapeId="0" xr:uid="{00000000-0006-0000-0400-00005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Q32" authorId="0" shapeId="0" xr:uid="{00000000-0006-0000-0400-00005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54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text>
    </comment>
    <comment ref="S32" authorId="0" shapeId="0" xr:uid="{00000000-0006-0000-0400-00005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5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57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Default</t>
        </r>
        <r>
          <rPr>
            <sz val="11"/>
            <color rgb="FF000000"/>
            <rFont val="Calibri"/>
          </rPr>
          <t>'</t>
        </r>
      </text>
    </comment>
    <comment ref="V32" authorId="0" shapeId="0" xr:uid="{00000000-0006-0000-0400-000058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Negotiate</t>
        </r>
        <r>
          <rPr>
            <sz val="11"/>
            <color rgb="FF000000"/>
            <rFont val="Calibri"/>
          </rPr>
          <t>'</t>
        </r>
      </text>
    </comment>
    <comment ref="W32" authorId="0" shapeId="0" xr:uid="{00000000-0006-0000-0400-00005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port: 0</t>
        </r>
        <r>
          <rPr>
            <sz val="11"/>
            <color rgb="FF000000"/>
            <rFont val="Calibri"/>
          </rPr>
          <t>'</t>
        </r>
      </text>
    </comment>
    <comment ref="X32" authorId="0" shapeId="0" xr:uid="{00000000-0006-0000-0400-00005A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5B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32" authorId="0" shapeId="0" xr:uid="{00000000-0006-0000-0400-00005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5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 or Enabled (hybrid and Azure AD)</t>
        </r>
        <r>
          <rPr>
            <sz val="11"/>
            <color rgb="FF000000"/>
            <rFont val="Calibri"/>
          </rPr>
          <t>'</t>
        </r>
      </text>
    </comment>
    <comment ref="AB32" authorId="0" shapeId="0" xr:uid="{00000000-0006-0000-0400-00005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J33" authorId="0" shapeId="0" xr:uid="{00000000-0006-0000-0400-00005F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K33" authorId="0" shapeId="0" xr:uid="{00000000-0006-0000-0400-000060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J34" authorId="0" shapeId="0" xr:uid="{00000000-0006-0000-0400-000061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62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63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64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65000000}">
      <text>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text>
    </comment>
    <comment ref="O34" authorId="0" shapeId="0" xr:uid="{00000000-0006-0000-0400-000066000000}">
      <text>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text>
    </comment>
    <comment ref="P34" authorId="0" shapeId="0" xr:uid="{00000000-0006-0000-0400-000067000000}">
      <text>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text>
    </comment>
    <comment ref="Q34" authorId="0" shapeId="0" xr:uid="{00000000-0006-0000-0400-000068000000}">
      <text>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text>
    </comment>
    <comment ref="R34" authorId="0" shapeId="0" xr:uid="{00000000-0006-0000-0400-000069000000}">
      <text>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text>
    </comment>
    <comment ref="S34" authorId="0" shapeId="0" xr:uid="{00000000-0006-0000-0400-00006A000000}">
      <text>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text>
    </comment>
    <comment ref="T34" authorId="0" shapeId="0" xr:uid="{00000000-0006-0000-0400-00006B000000}">
      <text>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6C000000}">
      <text>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 authorId="0" shapeId="0" xr:uid="{00000000-0006-0000-0400-00006D000000}">
      <text>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4" authorId="0" shapeId="0" xr:uid="{00000000-0006-0000-0400-00006E000000}">
      <text>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4" authorId="0" shapeId="0" xr:uid="{00000000-0006-0000-0400-00006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4" authorId="0" shapeId="0" xr:uid="{00000000-0006-0000-0400-00007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 authorId="0" shapeId="0" xr:uid="{00000000-0006-0000-0400-000071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4" authorId="0" shapeId="0" xr:uid="{00000000-0006-0000-0400-000072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 for all apps: Force Deny</t>
        </r>
        <r>
          <rPr>
            <sz val="11"/>
            <color rgb="FF000000"/>
            <rFont val="Calibri"/>
          </rPr>
          <t>'</t>
        </r>
      </text>
    </comment>
    <comment ref="AB34" authorId="0" shapeId="0" xr:uid="{00000000-0006-0000-0400-00007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C34" authorId="0" shapeId="0" xr:uid="{00000000-0006-0000-0400-00007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AD34" authorId="0" shapeId="0" xr:uid="{00000000-0006-0000-0400-000075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4" authorId="0" shapeId="0" xr:uid="{00000000-0006-0000-0400-000076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4" authorId="0" shapeId="0" xr:uid="{00000000-0006-0000-0400-000077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Seconds: 900</t>
        </r>
        <r>
          <rPr>
            <sz val="11"/>
            <color rgb="FF000000"/>
            <rFont val="Calibri"/>
          </rPr>
          <t>'</t>
        </r>
      </text>
    </comment>
    <comment ref="AG34" authorId="0" shapeId="0" xr:uid="{00000000-0006-0000-0400-000078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7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DisableIPSourceRoutingIPv6: Highest protection, source routing is completely disabled</t>
        </r>
        <r>
          <rPr>
            <sz val="11"/>
            <color rgb="FF000000"/>
            <rFont val="Calibri"/>
          </rPr>
          <t>'</t>
        </r>
      </text>
    </comment>
    <comment ref="K35" authorId="0" shapeId="0" xr:uid="{00000000-0006-0000-0400-00007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 Highest protection, source routing is completely disabled</t>
        </r>
        <r>
          <rPr>
            <sz val="11"/>
            <color rgb="FF000000"/>
            <rFont val="Calibri"/>
          </rPr>
          <t>'</t>
        </r>
      </text>
    </comment>
    <comment ref="L35" authorId="0" shapeId="0" xr:uid="{00000000-0006-0000-0400-00007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400-00007C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7D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82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8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M39" authorId="0" shapeId="0" xr:uid="{00000000-0006-0000-0400-00008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 authorId="0" shapeId="0" xr:uid="{00000000-0006-0000-0400-000085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86000000}">
      <text>
        <r>
          <rPr>
            <sz val="11"/>
            <rFont val="Calibri"/>
          </rPr>
          <t xml:space="preserve">Ensure </t>
        </r>
        <r>
          <rPr>
            <sz val="11"/>
            <color rgb="FF000000"/>
            <rFont val="Calibri"/>
          </rPr>
          <t>'</t>
        </r>
        <r>
          <rPr>
            <b/>
            <sz val="11"/>
            <color rgb="FF000000"/>
            <rFont val="Calibri"/>
          </rPr>
          <t>Disable Widgets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87000000}">
      <text>
        <r>
          <rPr>
            <sz val="11"/>
            <rFont val="Calibri"/>
          </rPr>
          <t xml:space="preserve">Ensure </t>
        </r>
        <r>
          <rPr>
            <sz val="11"/>
            <color rgb="FF000000"/>
            <rFont val="Calibri"/>
          </rPr>
          <t>'</t>
        </r>
        <r>
          <rPr>
            <b/>
            <sz val="11"/>
            <color rgb="FF000000"/>
            <rFont val="Calibri"/>
          </rPr>
          <t>Disable Widgets Board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88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9" authorId="0" shapeId="0" xr:uid="{00000000-0006-0000-0400-000089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8A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T39" authorId="0" shapeId="0" xr:uid="{00000000-0006-0000-0400-00008B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8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8D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8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8F000000}">
      <text>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9000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text>
    </comment>
    <comment ref="Z39" authorId="0" shapeId="0" xr:uid="{00000000-0006-0000-0400-000091000000}">
      <text>
        <r>
          <rPr>
            <sz val="11"/>
            <rFont val="Calibri"/>
          </rPr>
          <t xml:space="preserve">Ensure </t>
        </r>
        <r>
          <rPr>
            <sz val="11"/>
            <color rgb="FF000000"/>
            <rFont val="Calibri"/>
          </rPr>
          <t>'</t>
        </r>
        <r>
          <rPr>
            <b/>
            <sz val="11"/>
            <color rgb="FF000000"/>
            <rFont val="Calibri"/>
          </rPr>
          <t>Configure Corporate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 Connect using SSL with organisation-defined server name and port</t>
        </r>
        <r>
          <rPr>
            <sz val="11"/>
            <color rgb="FF000000"/>
            <rFont val="Calibri"/>
          </rPr>
          <t>'</t>
        </r>
      </text>
    </comment>
    <comment ref="AA39" authorId="0" shapeId="0" xr:uid="{00000000-0006-0000-0400-000092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93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94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9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96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97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98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9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AI39" authorId="0" shapeId="0" xr:uid="{00000000-0006-0000-0400-00009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9" authorId="0" shapeId="0" xr:uid="{00000000-0006-0000-0400-00009B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9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9D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9E000000}">
      <text>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9F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A0000000}">
      <text>
        <r>
          <rPr>
            <sz val="11"/>
            <rFont val="Calibri"/>
          </rPr>
          <t xml:space="preserve">Ensure </t>
        </r>
        <r>
          <rPr>
            <sz val="11"/>
            <color rgb="FF000000"/>
            <rFont val="Calibri"/>
          </rPr>
          <t>'</t>
        </r>
        <r>
          <rPr>
            <b/>
            <sz val="11"/>
            <color rgb="FF000000"/>
            <rFont val="Calibri"/>
          </rPr>
          <t>Don't search the web or display web results in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A100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in HKEY_CURRENT_USER\Software\Microsoft\Windows\CurrentVersion\Explorer\Advanced</t>
        </r>
      </text>
    </comment>
    <comment ref="AQ39" authorId="0" shapeId="0" xr:uid="{00000000-0006-0000-0400-00007E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7F000000}">
      <text>
        <r>
          <rPr>
            <sz val="11"/>
            <rFont val="Calibri"/>
          </rPr>
          <t xml:space="preserve">Ensure </t>
        </r>
        <r>
          <rPr>
            <sz val="11"/>
            <color rgb="FF000000"/>
            <rFont val="Calibri"/>
          </rPr>
          <t>'</t>
        </r>
        <r>
          <rPr>
            <b/>
            <sz val="11"/>
            <color rgb="FF000000"/>
            <rFont val="Calibri"/>
          </rPr>
          <t>Turn off location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80000000}">
      <text>
        <r>
          <rPr>
            <sz val="11"/>
            <rFont val="Calibri"/>
          </rPr>
          <t xml:space="preserve">Ensure </t>
        </r>
        <r>
          <rPr>
            <sz val="11"/>
            <color rgb="FF000000"/>
            <rFont val="Calibri"/>
          </rPr>
          <t>'</t>
        </r>
        <r>
          <rPr>
            <b/>
            <sz val="11"/>
            <color rgb="FF000000"/>
            <rFont val="Calibri"/>
          </rPr>
          <t>Turn off Windows Location Provider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81000000}">
      <text>
        <r>
          <rPr>
            <sz val="11"/>
            <rFont val="Calibri"/>
          </rPr>
          <t xml:space="preserve">Ensure </t>
        </r>
        <r>
          <rPr>
            <sz val="11"/>
            <color rgb="FF000000"/>
            <rFont val="Calibri"/>
          </rPr>
          <t>'</t>
        </r>
        <r>
          <rPr>
            <b/>
            <sz val="11"/>
            <color rgb="FF000000"/>
            <rFont val="Calibri"/>
          </rPr>
          <t>Remove Default Microsoft Store packages from the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A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K41" authorId="0" shapeId="0" xr:uid="{00000000-0006-0000-0400-0000A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L41" authorId="0" shapeId="0" xr:uid="{00000000-0006-0000-0400-0000A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A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J45" authorId="0" shapeId="0" xr:uid="{00000000-0006-0000-0400-0000A6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A7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400-0000A8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A9000000}">
      <text>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text>
    </comment>
    <comment ref="K46" authorId="0" shapeId="0" xr:uid="{00000000-0006-0000-0400-0000A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46" authorId="0" shapeId="0" xr:uid="{00000000-0006-0000-0400-0000A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M46" authorId="0" shapeId="0" xr:uid="{00000000-0006-0000-0400-0000A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6" authorId="0" shapeId="0" xr:uid="{00000000-0006-0000-0400-0000A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O46" authorId="0" shapeId="0" xr:uid="{00000000-0006-0000-0400-0000AE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password complexity, minimum length 15</t>
        </r>
        <r>
          <rPr>
            <sz val="11"/>
            <color rgb="FF000000"/>
            <rFont val="Calibri"/>
          </rPr>
          <t>'</t>
        </r>
      </text>
    </comment>
    <comment ref="P46" authorId="0" shapeId="0" xr:uid="{00000000-0006-0000-0400-0000AF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B0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characters: 15</t>
        </r>
        <r>
          <rPr>
            <sz val="11"/>
            <color rgb="FF000000"/>
            <rFont val="Calibri"/>
          </rPr>
          <t>'</t>
        </r>
      </text>
    </comment>
    <comment ref="R46" authorId="0" shapeId="0" xr:uid="{00000000-0006-0000-0400-0000B1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text>
    </comment>
    <comment ref="S46" authorId="0" shapeId="0" xr:uid="{00000000-0006-0000-0400-0000B2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T46" authorId="0" shapeId="0" xr:uid="{00000000-0006-0000-0400-0000B3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B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6" authorId="0" shapeId="0" xr:uid="{00000000-0006-0000-0400-0000B5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W46" authorId="0" shapeId="0" xr:uid="{00000000-0006-0000-0400-0000B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X46" authorId="0" shapeId="0" xr:uid="{00000000-0006-0000-0400-0000B7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6" authorId="0" shapeId="0" xr:uid="{00000000-0006-0000-0400-0000B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46" authorId="0" shapeId="0" xr:uid="{00000000-0006-0000-0400-0000B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46" authorId="0" shapeId="0" xr:uid="{00000000-0006-0000-0400-0000B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6" authorId="0" shapeId="0" xr:uid="{00000000-0006-0000-0400-0000B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46" authorId="0" shapeId="0" xr:uid="{00000000-0006-0000-0400-0000B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J47" authorId="0" shapeId="0" xr:uid="{00000000-0006-0000-0400-0000BD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K47" authorId="0" shapeId="0" xr:uid="{00000000-0006-0000-0400-0000BE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BF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7" authorId="0" shapeId="0" xr:uid="{00000000-0006-0000-0400-0000C0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N47" authorId="0" shapeId="0" xr:uid="{00000000-0006-0000-0400-0000C1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7" authorId="0" shapeId="0" xr:uid="{00000000-0006-0000-0400-0000C2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400-0000C3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C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8" authorId="0" shapeId="0" xr:uid="{00000000-0006-0000-0400-0000C8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400-0000C9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400-0000CA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CB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400-0000CC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400-0000C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400-0000CE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8" authorId="0" shapeId="0" xr:uid="{00000000-0006-0000-0400-0000C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D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U48" authorId="0" shapeId="0" xr:uid="{00000000-0006-0000-0400-0000D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V48" authorId="0" shapeId="0" xr:uid="{00000000-0006-0000-0400-0000D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8" authorId="0" shapeId="0" xr:uid="{00000000-0006-0000-0400-0000D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8" authorId="0" shapeId="0" xr:uid="{00000000-0006-0000-0400-0000D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8" authorId="0" shapeId="0" xr:uid="{00000000-0006-0000-0400-0000D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400-0000D6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text>
    </comment>
    <comment ref="AA48" authorId="0" shapeId="0" xr:uid="{00000000-0006-0000-0400-0000D7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8" authorId="0" shapeId="0" xr:uid="{00000000-0006-0000-0400-0000D8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text>
    </comment>
    <comment ref="AC48" authorId="0" shapeId="0" xr:uid="{00000000-0006-0000-0400-0000D9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D48" authorId="0" shapeId="0" xr:uid="{00000000-0006-0000-0400-0000D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E48" authorId="0" shapeId="0" xr:uid="{00000000-0006-0000-0400-0000DB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in HKEY_LOCAL_MACHINE\SOFTWARE\Microsoft\Windows\CurrentVersion\Policies\System</t>
        </r>
      </text>
    </comment>
    <comment ref="AF48" authorId="0" shapeId="0" xr:uid="{00000000-0006-0000-0400-0000D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DD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D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I48" authorId="0" shapeId="0" xr:uid="{00000000-0006-0000-0400-0000D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J48" authorId="0" shapeId="0" xr:uid="{00000000-0006-0000-0400-0000E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K48" authorId="0" shapeId="0" xr:uid="{00000000-0006-0000-0400-0000E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AL48" authorId="0" shapeId="0" xr:uid="{00000000-0006-0000-0400-0000E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E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N48" authorId="0" shapeId="0" xr:uid="{00000000-0006-0000-0400-0000E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O48" authorId="0" shapeId="0" xr:uid="{00000000-0006-0000-0400-0000E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P48" authorId="0" shapeId="0" xr:uid="{00000000-0006-0000-0400-0000E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48" authorId="0" shapeId="0" xr:uid="{00000000-0006-0000-0400-0000E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48" authorId="0" shapeId="0" xr:uid="{00000000-0006-0000-0400-0000E8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48" authorId="0" shapeId="0" xr:uid="{00000000-0006-0000-0400-0000E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48" authorId="0" shapeId="0" xr:uid="{00000000-0006-0000-0400-0000E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U48" authorId="0" shapeId="0" xr:uid="{00000000-0006-0000-0400-0000C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48" authorId="0" shapeId="0" xr:uid="{00000000-0006-0000-0400-0000C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W48" authorId="0" shapeId="0" xr:uid="{00000000-0006-0000-0400-0000C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0" authorId="0" shapeId="0" xr:uid="{00000000-0006-0000-0400-0000EB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0" authorId="0" shapeId="0" xr:uid="{00000000-0006-0000-0400-0000EC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E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EE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K54" authorId="0" shapeId="0" xr:uid="{00000000-0006-0000-0400-0000EF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L54" authorId="0" shapeId="0" xr:uid="{00000000-0006-0000-0400-0000F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4" authorId="0" shapeId="0" xr:uid="{00000000-0006-0000-0400-0000F1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N54" authorId="0" shapeId="0" xr:uid="{00000000-0006-0000-0400-0000F2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4" authorId="0" shapeId="0" xr:uid="{00000000-0006-0000-0400-0000F3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4" authorId="0" shapeId="0" xr:uid="{00000000-0006-0000-0400-0000F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5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K56" authorId="0" shapeId="0" xr:uid="{00000000-0006-0000-0400-0000F6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L56" authorId="0" shapeId="0" xr:uid="{00000000-0006-0000-0400-0000F7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M56" authorId="0" shapeId="0" xr:uid="{00000000-0006-0000-0400-0000F8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6" authorId="0" shapeId="0" xr:uid="{00000000-0006-0000-0400-0000F9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59" authorId="0" shapeId="0" xr:uid="{00000000-0006-0000-0400-0000FB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L59" authorId="0" shapeId="0" xr:uid="{00000000-0006-0000-0400-0000F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M59" authorId="0" shapeId="0" xr:uid="{00000000-0006-0000-0400-0000F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N59" authorId="0" shapeId="0" xr:uid="{00000000-0006-0000-0400-0000F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59" authorId="0" shapeId="0" xr:uid="{00000000-0006-0000-0400-0000FF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59" authorId="0" shapeId="0" xr:uid="{00000000-0006-0000-0400-000000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Q59" authorId="0" shapeId="0" xr:uid="{00000000-0006-0000-0400-000001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R59" authorId="0" shapeId="0" xr:uid="{00000000-0006-0000-0400-000002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S59" authorId="0" shapeId="0" xr:uid="{00000000-0006-0000-0400-000003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T59" authorId="0" shapeId="0" xr:uid="{00000000-0006-0000-0400-000004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05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V59" authorId="0" shapeId="0" xr:uid="{00000000-0006-0000-0400-000006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59" authorId="0" shapeId="0" xr:uid="{00000000-0006-0000-0400-000007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X59" authorId="0" shapeId="0" xr:uid="{00000000-0006-0000-0400-000008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59" authorId="0" shapeId="0" xr:uid="{00000000-0006-0000-0400-00000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Z59" authorId="0" shapeId="0" xr:uid="{00000000-0006-0000-0400-00000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59" authorId="0" shapeId="0" xr:uid="{00000000-0006-0000-0400-00000B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59" authorId="0" shapeId="0" xr:uid="{00000000-0006-0000-0400-00000C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59" authorId="0" shapeId="0" xr:uid="{00000000-0006-0000-0400-00000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59" authorId="0" shapeId="0" xr:uid="{00000000-0006-0000-0400-00000E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59" authorId="0" shapeId="0" xr:uid="{00000000-0006-0000-0400-00000F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59" authorId="0" shapeId="0" xr:uid="{00000000-0006-0000-0400-000010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59" authorId="0" shapeId="0" xr:uid="{00000000-0006-0000-0400-000011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H59" authorId="0" shapeId="0" xr:uid="{00000000-0006-0000-0400-00001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13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14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15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1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63" authorId="0" shapeId="0" xr:uid="{00000000-0006-0000-0400-000017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1801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3" authorId="0" shapeId="0" xr:uid="{00000000-0006-0000-0400-00001901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3" authorId="0" shapeId="0" xr:uid="{00000000-0006-0000-0400-00001A01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server address (when using WSUS)</t>
        </r>
      </text>
    </comment>
    <comment ref="J69" authorId="0" shapeId="0" xr:uid="{00000000-0006-0000-0400-00001B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1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70" authorId="0" shapeId="0" xr:uid="{00000000-0006-0000-0400-00001D010000}">
      <text>
        <r>
          <rPr>
            <sz val="11"/>
            <rFont val="Calibri"/>
          </rPr>
          <t xml:space="preserve">Ensure </t>
        </r>
        <r>
          <rPr>
            <sz val="11"/>
            <color rgb="FF000000"/>
            <rFont val="Calibri"/>
          </rPr>
          <t>'</t>
        </r>
        <r>
          <rPr>
            <b/>
            <sz val="11"/>
            <color rgb="FF000000"/>
            <rFont val="Calibri"/>
          </rPr>
          <t>Enable / disable CLFS log 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L70" authorId="0" shapeId="0" xr:uid="{00000000-0006-0000-0400-00001E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M70" authorId="0" shapeId="0" xr:uid="{00000000-0006-0000-0400-00001F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N70" authorId="0" shapeId="0" xr:uid="{00000000-0006-0000-0400-000020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O70" authorId="0" shapeId="0" xr:uid="{00000000-0006-0000-0400-000021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P70" authorId="0" shapeId="0" xr:uid="{00000000-0006-0000-0400-00002201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70" authorId="0" shapeId="0" xr:uid="{00000000-0006-0000-0400-000023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0" authorId="0" shapeId="0" xr:uid="{00000000-0006-0000-0400-000024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0" authorId="0" shapeId="0" xr:uid="{00000000-0006-0000-0400-000025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T70" authorId="0" shapeId="0" xr:uid="{00000000-0006-0000-0400-000026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U70" authorId="0" shapeId="0" xr:uid="{00000000-0006-0000-0400-00002701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V70" authorId="0" shapeId="0" xr:uid="{00000000-0006-0000-0400-00002801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W70" authorId="0" shapeId="0" xr:uid="{00000000-0006-0000-0400-00002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X70" authorId="0" shapeId="0" xr:uid="{00000000-0006-0000-0400-00002A01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Y70" authorId="0" shapeId="0" xr:uid="{00000000-0006-0000-0400-00002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Z70" authorId="0" shapeId="0" xr:uid="{00000000-0006-0000-0400-00002C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2D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B70" authorId="0" shapeId="0" xr:uid="{00000000-0006-0000-0400-00002E010000}">
      <text>
        <r>
          <rPr>
            <sz val="11"/>
            <rFont val="Calibri"/>
          </rPr>
          <t xml:space="preserve">Ensure </t>
        </r>
        <r>
          <rPr>
            <sz val="11"/>
            <color rgb="FF000000"/>
            <rFont val="Calibri"/>
          </rPr>
          <t>'</t>
        </r>
        <r>
          <rPr>
            <b/>
            <sz val="11"/>
            <color rgb="FF000000"/>
            <rFont val="Calibri"/>
          </rPr>
          <t>Log Enhanced Domain-wide NTLM Logs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70" authorId="0" shapeId="0" xr:uid="{00000000-0006-0000-0400-00002F010000}">
      <text>
        <r>
          <rPr>
            <sz val="11"/>
            <rFont val="Calibri"/>
          </rPr>
          <t xml:space="preserve">Ensure </t>
        </r>
        <r>
          <rPr>
            <sz val="11"/>
            <color rgb="FF000000"/>
            <rFont val="Calibri"/>
          </rPr>
          <t>'</t>
        </r>
        <r>
          <rPr>
            <b/>
            <sz val="11"/>
            <color rgb="FF000000"/>
            <rFont val="Calibri"/>
          </rPr>
          <t>NTLM Enhanced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70" authorId="0" shapeId="0" xr:uid="{00000000-0006-0000-0400-000030010000}">
      <text>
        <r>
          <rPr>
            <sz val="11"/>
            <rFont val="Calibri"/>
          </rPr>
          <t xml:space="preserve">Ensure </t>
        </r>
        <r>
          <rPr>
            <sz val="11"/>
            <color rgb="FF000000"/>
            <rFont val="Calibri"/>
          </rPr>
          <t>'</t>
        </r>
        <r>
          <rPr>
            <b/>
            <sz val="11"/>
            <color rgb="FF000000"/>
            <rFont val="Calibri"/>
          </rPr>
          <t>Audit SMB client SPN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31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(Application) is set to </t>
        </r>
        <r>
          <rPr>
            <sz val="11"/>
            <color rgb="FF000000"/>
            <rFont val="Calibri"/>
          </rPr>
          <t>'</t>
        </r>
        <r>
          <rPr>
            <b/>
            <sz val="11"/>
            <color rgb="FF000000"/>
            <rFont val="Calibri"/>
          </rPr>
          <t>Enabled: 65536 or greater</t>
        </r>
        <r>
          <rPr>
            <sz val="11"/>
            <color rgb="FF000000"/>
            <rFont val="Calibri"/>
          </rPr>
          <t>'</t>
        </r>
      </text>
    </comment>
    <comment ref="K71" authorId="0" shapeId="0" xr:uid="{00000000-0006-0000-0400-000032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(Security) is set to </t>
        </r>
        <r>
          <rPr>
            <sz val="11"/>
            <color rgb="FF000000"/>
            <rFont val="Calibri"/>
          </rPr>
          <t>'</t>
        </r>
        <r>
          <rPr>
            <b/>
            <sz val="11"/>
            <color rgb="FF000000"/>
            <rFont val="Calibri"/>
          </rPr>
          <t>Enabled: 2097152 or greater</t>
        </r>
        <r>
          <rPr>
            <sz val="11"/>
            <color rgb="FF000000"/>
            <rFont val="Calibri"/>
          </rPr>
          <t>'</t>
        </r>
      </text>
    </comment>
    <comment ref="L71" authorId="0" shapeId="0" xr:uid="{00000000-0006-0000-0400-000033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(System) is set to </t>
        </r>
        <r>
          <rPr>
            <sz val="11"/>
            <color rgb="FF000000"/>
            <rFont val="Calibri"/>
          </rPr>
          <t>'</t>
        </r>
        <r>
          <rPr>
            <b/>
            <sz val="11"/>
            <color rgb="FF000000"/>
            <rFont val="Calibri"/>
          </rPr>
          <t>Enabled: 65536 or greater</t>
        </r>
        <r>
          <rPr>
            <sz val="11"/>
            <color rgb="FF000000"/>
            <rFont val="Calibri"/>
          </rPr>
          <t>'</t>
        </r>
      </text>
    </comment>
    <comment ref="J72" authorId="0" shapeId="0" xr:uid="{00000000-0006-0000-0400-00003401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NTP server</t>
        </r>
      </text>
    </comment>
    <comment ref="K72" authorId="0" shapeId="0" xr:uid="{00000000-0006-0000-0400-00003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73" authorId="0" shapeId="0" xr:uid="{00000000-0006-0000-0400-000036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K73" authorId="0" shapeId="0" xr:uid="{00000000-0006-0000-0400-000037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L73" authorId="0" shapeId="0" xr:uid="{00000000-0006-0000-0400-000038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73" authorId="0" shapeId="0" xr:uid="{00000000-0006-0000-0400-000039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73" authorId="0" shapeId="0" xr:uid="{00000000-0006-0000-0400-00003A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73" authorId="0" shapeId="0" xr:uid="{00000000-0006-0000-0400-00003B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3" authorId="0" shapeId="0" xr:uid="{00000000-0006-0000-0400-00003C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Q73" authorId="0" shapeId="0" xr:uid="{00000000-0006-0000-0400-00003D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R73" authorId="0" shapeId="0" xr:uid="{00000000-0006-0000-0400-00003E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S73" authorId="0" shapeId="0" xr:uid="{00000000-0006-0000-0400-00003F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T73" authorId="0" shapeId="0" xr:uid="{00000000-0006-0000-0400-000040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U73" authorId="0" shapeId="0" xr:uid="{00000000-0006-0000-0400-000041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V73" authorId="0" shapeId="0" xr:uid="{00000000-0006-0000-0400-000042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W73" authorId="0" shapeId="0" xr:uid="{00000000-0006-0000-0400-000043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4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45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4601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Module Names: *</t>
        </r>
        <r>
          <rPr>
            <sz val="11"/>
            <color rgb="FF000000"/>
            <rFont val="Calibri"/>
          </rPr>
          <t>'</t>
        </r>
      </text>
    </comment>
    <comment ref="L76" authorId="0" shapeId="0" xr:uid="{00000000-0006-0000-0400-000047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48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 Transcript output directory: &lt;organisation defined&gt;</t>
        </r>
        <r>
          <rPr>
            <sz val="11"/>
            <color rgb="FF000000"/>
            <rFont val="Calibri"/>
          </rPr>
          <t>'</t>
        </r>
      </text>
    </comment>
    <comment ref="J84" authorId="0" shapeId="0" xr:uid="{00000000-0006-0000-0400-000049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4" authorId="0" shapeId="0" xr:uid="{00000000-0006-0000-0400-00004A01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4B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84" authorId="0" shapeId="0" xr:uid="{00000000-0006-0000-0400-00004C010000}">
      <text>
        <r>
          <rPr>
            <sz val="11"/>
            <rFont val="Calibri"/>
          </rPr>
          <t xml:space="preserve">Ensure </t>
        </r>
        <r>
          <rPr>
            <sz val="11"/>
            <color rgb="FF000000"/>
            <rFont val="Calibri"/>
          </rPr>
          <t>'</t>
        </r>
        <r>
          <rPr>
            <b/>
            <sz val="11"/>
            <color rgb="FF000000"/>
            <rFont val="Calibri"/>
          </rPr>
          <t>Configure Windows Defender SmartScreen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84" authorId="0" shapeId="0" xr:uid="{00000000-0006-0000-0400-00004D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4" authorId="0" shapeId="0" xr:uid="{00000000-0006-0000-0400-00004E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4F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50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51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0" authorId="0" shapeId="0" xr:uid="{00000000-0006-0000-0400-00005201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400-000053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54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400-000055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0" authorId="0" shapeId="0" xr:uid="{00000000-0006-0000-0400-000056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57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58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S90" authorId="0" shapeId="0" xr:uid="{00000000-0006-0000-0400-000059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T90" authorId="0" shapeId="0" xr:uid="{00000000-0006-0000-0400-00005A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text>
    </comment>
    <comment ref="U90" authorId="0" shapeId="0" xr:uid="{00000000-0006-0000-0400-00005B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5C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text>
    </comment>
    <comment ref="W90" authorId="0" shapeId="0" xr:uid="{00000000-0006-0000-0400-00005D01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400-00005E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5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6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400-000061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62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63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400-00006401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0" authorId="0" shapeId="0" xr:uid="{00000000-0006-0000-0400-00006501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0" authorId="0" shapeId="0" xr:uid="{00000000-0006-0000-0400-00006601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0" authorId="0" shapeId="0" xr:uid="{00000000-0006-0000-0400-000067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0" authorId="0" shapeId="0" xr:uid="{00000000-0006-0000-0400-000068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6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2" authorId="0" shapeId="0" xr:uid="{00000000-0006-0000-0400-00006A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6B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6C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6D01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2" authorId="0" shapeId="0" xr:uid="{00000000-0006-0000-0400-00006E01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2" authorId="0" shapeId="0" xr:uid="{00000000-0006-0000-0400-00006F01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2" authorId="0" shapeId="0" xr:uid="{00000000-0006-0000-0400-00007001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2" authorId="0" shapeId="0" xr:uid="{00000000-0006-0000-0400-00007101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2" authorId="0" shapeId="0" xr:uid="{00000000-0006-0000-0400-00007201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400-000073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74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75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4" authorId="0" shapeId="0" xr:uid="{00000000-0006-0000-0400-000076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4" authorId="0" shapeId="0" xr:uid="{00000000-0006-0000-0400-000077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4" authorId="0" shapeId="0" xr:uid="{00000000-0006-0000-0400-00007801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4" authorId="0" shapeId="0" xr:uid="{00000000-0006-0000-0400-000079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4" authorId="0" shapeId="0" xr:uid="{00000000-0006-0000-0400-00007A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4" authorId="0" shapeId="0" xr:uid="{00000000-0006-0000-0400-00007B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4" authorId="0" shapeId="0" xr:uid="{00000000-0006-0000-0400-00007C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4" authorId="0" shapeId="0" xr:uid="{00000000-0006-0000-0400-00007D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4" authorId="0" shapeId="0" xr:uid="{00000000-0006-0000-0400-00007E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4" authorId="0" shapeId="0" xr:uid="{00000000-0006-0000-0400-00007F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4" authorId="0" shapeId="0" xr:uid="{00000000-0006-0000-0400-000080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4" authorId="0" shapeId="0" xr:uid="{00000000-0006-0000-0400-000081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4" authorId="0" shapeId="0" xr:uid="{00000000-0006-0000-0400-000082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4" authorId="0" shapeId="0" xr:uid="{00000000-0006-0000-0400-000083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4" authorId="0" shapeId="0" xr:uid="{00000000-0006-0000-0400-000084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4" authorId="0" shapeId="0" xr:uid="{00000000-0006-0000-0400-00008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Secure Boot and DMA Protection, Enabled with UEFI lock for Code Integrity and Credential Guard, and Enabled in enforcement mode for Kernel-mode Stack Protection</t>
        </r>
      </text>
    </comment>
    <comment ref="AA94" authorId="0" shapeId="0" xr:uid="{00000000-0006-0000-0400-00008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AB94" authorId="0" shapeId="0" xr:uid="{00000000-0006-0000-0400-000087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C94" authorId="0" shapeId="0" xr:uid="{00000000-0006-0000-0400-000088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4" authorId="0" shapeId="0" xr:uid="{00000000-0006-0000-0400-00008901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AE94" authorId="0" shapeId="0" xr:uid="{00000000-0006-0000-0400-00008A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4" authorId="0" shapeId="0" xr:uid="{00000000-0006-0000-0400-00008B01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G94" authorId="0" shapeId="0" xr:uid="{00000000-0006-0000-0400-00008C01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AH94" authorId="0" shapeId="0" xr:uid="{00000000-0006-0000-0400-00008D01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I94" authorId="0" shapeId="0" xr:uid="{00000000-0006-0000-0400-00008E01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AJ94" authorId="0" shapeId="0" xr:uid="{00000000-0006-0000-0400-00008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K94" authorId="0" shapeId="0" xr:uid="{00000000-0006-0000-0400-00009001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AL94" authorId="0" shapeId="0" xr:uid="{00000000-0006-0000-0400-000091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4" authorId="0" shapeId="0" xr:uid="{00000000-0006-0000-0400-000092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4" authorId="0" shapeId="0" xr:uid="{00000000-0006-0000-0400-00009301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4" authorId="0" shapeId="0" xr:uid="{00000000-0006-0000-0400-000094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AP94" authorId="0" shapeId="0" xr:uid="{00000000-0006-0000-0400-000095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4" authorId="0" shapeId="0" xr:uid="{00000000-0006-0000-0400-000096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R94" authorId="0" shapeId="0" xr:uid="{00000000-0006-0000-0400-000097010000}">
      <text>
        <r>
          <rPr>
            <sz val="11"/>
            <rFont val="Calibri"/>
          </rPr>
          <t xml:space="preserve">Ensure </t>
        </r>
        <r>
          <rPr>
            <sz val="11"/>
            <color rgb="FF000000"/>
            <rFont val="Calibri"/>
          </rPr>
          <t>'</t>
        </r>
        <r>
          <rPr>
            <b/>
            <sz val="11"/>
            <color rgb="FF000000"/>
            <rFont val="Calibri"/>
          </rPr>
          <t>Configure Windows Defender SmartScreen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S94" authorId="0" shapeId="0" xr:uid="{00000000-0006-0000-0400-000098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Options: Redirection Guard Enabled</t>
        </r>
        <r>
          <rPr>
            <sz val="11"/>
            <color rgb="FF000000"/>
            <rFont val="Calibri"/>
          </rPr>
          <t>'</t>
        </r>
      </text>
    </comment>
    <comment ref="AT94" authorId="0" shapeId="0" xr:uid="{00000000-0006-0000-0400-000099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U94" authorId="0" shapeId="0" xr:uid="{00000000-0006-0000-0400-00009A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V94" authorId="0" shapeId="0" xr:uid="{00000000-0006-0000-0400-00009B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4" authorId="0" shapeId="0" xr:uid="{00000000-0006-0000-0400-00009C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6" authorId="0" shapeId="0" xr:uid="{00000000-0006-0000-0400-00009D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6" authorId="0" shapeId="0" xr:uid="{00000000-0006-0000-0400-00009E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6" authorId="0" shapeId="0" xr:uid="{00000000-0006-0000-0400-00009F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6" authorId="0" shapeId="0" xr:uid="{00000000-0006-0000-0400-0000A001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6" authorId="0" shapeId="0" xr:uid="{00000000-0006-0000-0400-0000A1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6" authorId="0" shapeId="0" xr:uid="{00000000-0006-0000-0400-0000A2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6" authorId="0" shapeId="0" xr:uid="{00000000-0006-0000-0400-0000A3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6" authorId="0" shapeId="0" xr:uid="{00000000-0006-0000-0400-0000A4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6" authorId="0" shapeId="0" xr:uid="{00000000-0006-0000-0400-0000A5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6" authorId="0" shapeId="0" xr:uid="{00000000-0006-0000-0400-0000A6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6" authorId="0" shapeId="0" xr:uid="{00000000-0006-0000-0400-0000A7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6" authorId="0" shapeId="0" xr:uid="{00000000-0006-0000-0400-0000A8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6" authorId="0" shapeId="0" xr:uid="{00000000-0006-0000-0400-0000A9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6" authorId="0" shapeId="0" xr:uid="{00000000-0006-0000-0400-0000AA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6" authorId="0" shapeId="0" xr:uid="{00000000-0006-0000-0400-0000AB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6" authorId="0" shapeId="0" xr:uid="{00000000-0006-0000-0400-0000AC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6" authorId="0" shapeId="0" xr:uid="{00000000-0006-0000-0400-0000AD01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AA96" authorId="0" shapeId="0" xr:uid="{00000000-0006-0000-0400-0000AE01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B96" authorId="0" shapeId="0" xr:uid="{00000000-0006-0000-0400-0000AF01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AC96" authorId="0" shapeId="0" xr:uid="{00000000-0006-0000-0400-0000B0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6" authorId="0" shapeId="0" xr:uid="{00000000-0006-0000-0400-0000B1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6" authorId="0" shapeId="0" xr:uid="{00000000-0006-0000-0400-0000B201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J106" authorId="0" shapeId="0" xr:uid="{00000000-0006-0000-0400-0000B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B4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B5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text>
    </comment>
    <comment ref="L109" authorId="0" shapeId="0" xr:uid="{00000000-0006-0000-0400-0000B6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B701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21" authorId="0" shapeId="0" xr:uid="{00000000-0006-0000-0400-0000B801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1" authorId="0" shapeId="0" xr:uid="{00000000-0006-0000-0400-0000B901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1" authorId="0" shapeId="0" xr:uid="{00000000-0006-0000-0400-0000BA01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1" authorId="0" shapeId="0" xr:uid="{00000000-0006-0000-0400-0000BB01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Secure Boot and DMA Protection, Enabled with UEFI lock for Code Integrity and Credential Guard, and Enabled in enforcement mode for Kernel-mode Stack Protection</t>
        </r>
      </text>
    </comment>
    <comment ref="I4" authorId="0" shapeId="0" xr:uid="{00000000-0006-0000-0500-00001D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J4" authorId="0" shapeId="0" xr:uid="{00000000-0006-0000-0500-000002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4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M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N4" authorId="0" shapeId="0" xr:uid="{00000000-0006-0000-05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O4" authorId="0" shapeId="0" xr:uid="{00000000-0006-0000-0500-000007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500-000009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S4" authorId="0" shapeId="0" xr:uid="{00000000-0006-0000-0500-00000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T4" authorId="0" shapeId="0" xr:uid="{00000000-0006-0000-0500-00000C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text>
    </comment>
    <comment ref="U4" authorId="0" shapeId="0" xr:uid="{00000000-0006-0000-0500-00000D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0E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text>
    </comment>
    <comment ref="W4" authorId="0" shapeId="0" xr:uid="{00000000-0006-0000-0500-00000F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 authorId="0" shapeId="0" xr:uid="{00000000-0006-0000-0500-000010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1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500-000012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4" authorId="0" shapeId="0" xr:uid="{00000000-0006-0000-0500-00001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 authorId="0" shapeId="0" xr:uid="{00000000-0006-0000-0500-000014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 authorId="0" shapeId="0" xr:uid="{00000000-0006-0000-0500-000015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4" authorId="0" shapeId="0" xr:uid="{00000000-0006-0000-0500-000016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 authorId="0" shapeId="0" xr:uid="{00000000-0006-0000-0500-000017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4" authorId="0" shapeId="0" xr:uid="{00000000-0006-0000-0500-000018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4" authorId="0" shapeId="0" xr:uid="{00000000-0006-0000-0500-000019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 authorId="0" shapeId="0" xr:uid="{00000000-0006-0000-05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4" authorId="0" shapeId="0" xr:uid="{00000000-0006-0000-0500-00001B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4" authorId="0" shapeId="0" xr:uid="{00000000-0006-0000-0500-00001C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 authorId="0" shapeId="0" xr:uid="{00000000-0006-0000-0500-00001E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8" authorId="0" shapeId="0" xr:uid="{00000000-0006-0000-0500-00001F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8" authorId="0" shapeId="0" xr:uid="{00000000-0006-0000-0500-000020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8" authorId="0" shapeId="0" xr:uid="{00000000-0006-0000-0500-000021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8" authorId="0" shapeId="0" xr:uid="{00000000-0006-0000-0500-000022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 authorId="0" shapeId="0" xr:uid="{00000000-0006-0000-0500-000023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8" authorId="0" shapeId="0" xr:uid="{00000000-0006-0000-0500-000024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8" authorId="0" shapeId="0" xr:uid="{00000000-0006-0000-0500-000025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 authorId="0" shapeId="0" xr:uid="{00000000-0006-0000-0500-000026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8" authorId="0" shapeId="0" xr:uid="{00000000-0006-0000-0500-000027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8" authorId="0" shapeId="0" xr:uid="{00000000-0006-0000-0500-000028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 authorId="0" shapeId="0" xr:uid="{00000000-0006-0000-0500-000029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8" authorId="0" shapeId="0" xr:uid="{00000000-0006-0000-0500-00002A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8" authorId="0" shapeId="0" xr:uid="{00000000-0006-0000-0500-00002B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8" authorId="0" shapeId="0" xr:uid="{00000000-0006-0000-0500-00002C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8" authorId="0" shapeId="0" xr:uid="{00000000-0006-0000-0500-00002D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W8" authorId="0" shapeId="0" xr:uid="{00000000-0006-0000-0500-00002E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X8" authorId="0" shapeId="0" xr:uid="{00000000-0006-0000-0500-00002F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Y8" authorId="0" shapeId="0" xr:uid="{00000000-0006-0000-0500-000030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Z8" authorId="0" shapeId="0" xr:uid="{00000000-0006-0000-0500-000031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0" authorId="0" shapeId="0" xr:uid="{00000000-0006-0000-0500-000032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H11" authorId="0" shapeId="0" xr:uid="{00000000-0006-0000-0500-00003300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I11" authorId="0" shapeId="0" xr:uid="{00000000-0006-0000-0500-00003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 authorId="0" shapeId="0" xr:uid="{00000000-0006-0000-0500-00003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 authorId="0" shapeId="0" xr:uid="{00000000-0006-0000-0500-00003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14" authorId="0" shapeId="0" xr:uid="{00000000-0006-0000-0500-00003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14" authorId="0" shapeId="0" xr:uid="{00000000-0006-0000-0500-000038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PCI\CC_0C0010, PCI\CC_0C0A</t>
        </r>
        <r>
          <rPr>
            <sz val="11"/>
            <color rgb="FF000000"/>
            <rFont val="Calibri"/>
          </rPr>
          <t>'</t>
        </r>
      </text>
    </comment>
    <comment ref="L14" authorId="0" shapeId="0" xr:uid="{00000000-0006-0000-0500-000039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M14" authorId="0" shapeId="0" xr:uid="{00000000-0006-0000-0500-00003A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500-00003B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3C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 authorId="0" shapeId="0" xr:uid="{00000000-0006-0000-0500-00003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Q14" authorId="0" shapeId="0" xr:uid="{00000000-0006-0000-0500-00003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 authorId="0" shapeId="0" xr:uid="{00000000-0006-0000-0500-00003F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40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4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K16" authorId="0" shapeId="0" xr:uid="{00000000-0006-0000-0500-000042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L16" authorId="0" shapeId="0" xr:uid="{00000000-0006-0000-0500-00004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44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4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46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P16" authorId="0" shapeId="0" xr:uid="{00000000-0006-0000-0500-00004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Q16" authorId="0" shapeId="0" xr:uid="{00000000-0006-0000-0500-000048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49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 authorId="0" shapeId="0" xr:uid="{00000000-0006-0000-0500-00004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 authorId="0" shapeId="0" xr:uid="{00000000-0006-0000-0500-00004B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4C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6" authorId="0" shapeId="0" xr:uid="{00000000-0006-0000-0500-00004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4E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18" authorId="0" shapeId="0" xr:uid="{00000000-0006-0000-0500-00004F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8" authorId="0" shapeId="0" xr:uid="{00000000-0006-0000-0500-000050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8" authorId="0" shapeId="0" xr:uid="{00000000-0006-0000-0500-000051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8" authorId="0" shapeId="0" xr:uid="{00000000-0006-0000-0500-000052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8" authorId="0" shapeId="0" xr:uid="{00000000-0006-0000-0500-000053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8" authorId="0" shapeId="0" xr:uid="{00000000-0006-0000-0500-000054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8" authorId="0" shapeId="0" xr:uid="{00000000-0006-0000-0500-000055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8" authorId="0" shapeId="0" xr:uid="{00000000-0006-0000-0500-000056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8" authorId="0" shapeId="0" xr:uid="{00000000-0006-0000-0500-000057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8" authorId="0" shapeId="0" xr:uid="{00000000-0006-0000-0500-000058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8" authorId="0" shapeId="0" xr:uid="{00000000-0006-0000-0500-000059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8" authorId="0" shapeId="0" xr:uid="{00000000-0006-0000-0500-00005A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18" authorId="0" shapeId="0" xr:uid="{00000000-0006-0000-0500-00005B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8" authorId="0" shapeId="0" xr:uid="{00000000-0006-0000-0500-00005C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8" authorId="0" shapeId="0" xr:uid="{00000000-0006-0000-0500-00005D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text>
    </comment>
    <comment ref="X18" authorId="0" shapeId="0" xr:uid="{00000000-0006-0000-0500-00005E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8" authorId="0" shapeId="0" xr:uid="{00000000-0006-0000-0500-00005F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8" authorId="0" shapeId="0" xr:uid="{00000000-0006-0000-0500-000060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8" authorId="0" shapeId="0" xr:uid="{00000000-0006-0000-0500-000061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Options: Redirection Guard Enabled</t>
        </r>
        <r>
          <rPr>
            <sz val="11"/>
            <color rgb="FF000000"/>
            <rFont val="Calibri"/>
          </rPr>
          <t>'</t>
        </r>
      </text>
    </comment>
    <comment ref="AB18" authorId="0" shapeId="0" xr:uid="{00000000-0006-0000-0500-00006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C18" authorId="0" shapeId="0" xr:uid="{00000000-0006-0000-0500-000063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text>
    </comment>
    <comment ref="H19" authorId="0" shapeId="0" xr:uid="{00000000-0006-0000-0500-000064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I19" authorId="0" shapeId="0" xr:uid="{00000000-0006-0000-0500-000065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9" authorId="0" shapeId="0" xr:uid="{00000000-0006-0000-0500-00006600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6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and \\*\NETLOGON with RequireMutualAuthentication=1, RequireIntegrity=1</t>
        </r>
        <r>
          <rPr>
            <sz val="11"/>
            <color rgb="FF000000"/>
            <rFont val="Calibri"/>
          </rPr>
          <t>'</t>
        </r>
      </text>
    </comment>
    <comment ref="I20" authorId="0" shapeId="0" xr:uid="{00000000-0006-0000-0500-000068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DisableIPSourceRoutingIPv6: Highest protection, source routing is completely disabled</t>
        </r>
        <r>
          <rPr>
            <sz val="11"/>
            <color rgb="FF000000"/>
            <rFont val="Calibri"/>
          </rPr>
          <t>'</t>
        </r>
      </text>
    </comment>
    <comment ref="J20" authorId="0" shapeId="0" xr:uid="{00000000-0006-0000-0500-000069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 Highest protection, source routing is completely disabled</t>
        </r>
        <r>
          <rPr>
            <sz val="11"/>
            <color rgb="FF000000"/>
            <rFont val="Calibri"/>
          </rPr>
          <t>'</t>
        </r>
      </text>
    </comment>
    <comment ref="K20" authorId="0" shapeId="0" xr:uid="{00000000-0006-0000-0500-00006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 authorId="0" shapeId="0" xr:uid="{00000000-0006-0000-0500-00006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6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6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6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20" authorId="0" shapeId="0" xr:uid="{00000000-0006-0000-0500-00006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70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 authorId="0" shapeId="0" xr:uid="{00000000-0006-0000-0500-000071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 authorId="0" shapeId="0" xr:uid="{00000000-0006-0000-0500-00007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73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74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text>
    </comment>
    <comment ref="K21" authorId="0" shapeId="0" xr:uid="{00000000-0006-0000-0500-000075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7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1" authorId="0" shapeId="0" xr:uid="{00000000-0006-0000-0500-00007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N21" authorId="0" shapeId="0" xr:uid="{00000000-0006-0000-0500-00007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 authorId="0" shapeId="0" xr:uid="{00000000-0006-0000-0500-000079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7A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 authorId="0" shapeId="0" xr:uid="{00000000-0006-0000-0500-00007B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7C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500-00007D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500-00007E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 authorId="0" shapeId="0" xr:uid="{00000000-0006-0000-0500-00007F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 authorId="0" shapeId="0" xr:uid="{00000000-0006-0000-0500-000080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I24" authorId="0" shapeId="0" xr:uid="{00000000-0006-0000-0500-000081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J24" authorId="0" shapeId="0" xr:uid="{00000000-0006-0000-0500-00008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 authorId="0" shapeId="0" xr:uid="{00000000-0006-0000-0500-000083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L24" authorId="0" shapeId="0" xr:uid="{00000000-0006-0000-0500-000084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 authorId="0" shapeId="0" xr:uid="{00000000-0006-0000-0500-000085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 authorId="0" shapeId="0" xr:uid="{00000000-0006-0000-0500-000086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87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 authorId="0" shapeId="0" xr:uid="{00000000-0006-0000-0500-000088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500-000089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8A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500-00008B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500-00008C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8D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500-00008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500-00008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9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7" authorId="0" shapeId="0" xr:uid="{00000000-0006-0000-0500-00009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7" authorId="0" shapeId="0" xr:uid="{00000000-0006-0000-0500-000092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7" authorId="0" shapeId="0" xr:uid="{00000000-0006-0000-0500-00009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7" authorId="0" shapeId="0" xr:uid="{00000000-0006-0000-0500-00009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V27" authorId="0" shapeId="0" xr:uid="{00000000-0006-0000-0500-00009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96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 or Enabled (hybrid and Azure AD)</t>
        </r>
        <r>
          <rPr>
            <sz val="11"/>
            <color rgb="FF000000"/>
            <rFont val="Calibri"/>
          </rPr>
          <t>'</t>
        </r>
      </text>
    </comment>
    <comment ref="H29" authorId="0" shapeId="0" xr:uid="{00000000-0006-0000-0500-000097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29" authorId="0" shapeId="0" xr:uid="{00000000-0006-0000-0500-000098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99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500-00009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L29" authorId="0" shapeId="0" xr:uid="{00000000-0006-0000-0500-00009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M29" authorId="0" shapeId="0" xr:uid="{00000000-0006-0000-0500-00009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N29" authorId="0" shapeId="0" xr:uid="{00000000-0006-0000-0500-00009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9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9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A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J31" authorId="0" shapeId="0" xr:uid="{00000000-0006-0000-0500-0000A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A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A7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A8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A9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AA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AB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AC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1" authorId="0" shapeId="0" xr:uid="{00000000-0006-0000-0500-0000AD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A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1" authorId="0" shapeId="0" xr:uid="{00000000-0006-0000-0500-0000A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1" authorId="0" shapeId="0" xr:uid="{00000000-0006-0000-0500-0000B0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1" authorId="0" shapeId="0" xr:uid="{00000000-0006-0000-0500-0000B1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1" authorId="0" shapeId="0" xr:uid="{00000000-0006-0000-0500-0000B2000000}">
      <text>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1" authorId="0" shapeId="0" xr:uid="{00000000-0006-0000-0500-0000B3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1" authorId="0" shapeId="0" xr:uid="{00000000-0006-0000-0500-0000B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Z31" authorId="0" shapeId="0" xr:uid="{00000000-0006-0000-0500-0000B5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A31" authorId="0" shapeId="0" xr:uid="{00000000-0006-0000-0500-0000B6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in HKEY_LOCAL_MACHINE\SOFTWARE\Microsoft\Windows\CurrentVersion\Policies\System</t>
        </r>
      </text>
    </comment>
    <comment ref="AB31" authorId="0" shapeId="0" xr:uid="{00000000-0006-0000-0500-0000B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B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31" authorId="0" shapeId="0" xr:uid="{00000000-0006-0000-0500-0000B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31" authorId="0" shapeId="0" xr:uid="{00000000-0006-0000-0500-0000B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B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G31" authorId="0" shapeId="0" xr:uid="{00000000-0006-0000-0500-0000B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H31" authorId="0" shapeId="0" xr:uid="{00000000-0006-0000-0500-0000B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B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J31" authorId="0" shapeId="0" xr:uid="{00000000-0006-0000-0500-0000B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1" authorId="0" shapeId="0" xr:uid="{00000000-0006-0000-0500-0000A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 authorId="0" shapeId="0" xr:uid="{00000000-0006-0000-0500-0000A1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1" authorId="0" shapeId="0" xr:uid="{00000000-0006-0000-0500-0000A2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 authorId="0" shapeId="0" xr:uid="{00000000-0006-0000-0500-0000A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2" authorId="0" shapeId="0" xr:uid="{00000000-0006-0000-0500-0000C0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2" authorId="0" shapeId="0" xr:uid="{00000000-0006-0000-0500-0000C100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37" authorId="0" shapeId="0" xr:uid="{00000000-0006-0000-0500-0000C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I37" authorId="0" shapeId="0" xr:uid="{00000000-0006-0000-0500-0000C3000000}">
      <text>
        <r>
          <rPr>
            <sz val="11"/>
            <rFont val="Calibri"/>
          </rPr>
          <t xml:space="preserve">Ensure </t>
        </r>
        <r>
          <rPr>
            <sz val="11"/>
            <color rgb="FF000000"/>
            <rFont val="Calibri"/>
          </rPr>
          <t>'</t>
        </r>
        <r>
          <rPr>
            <b/>
            <sz val="11"/>
            <color rgb="FF000000"/>
            <rFont val="Calibri"/>
          </rPr>
          <t>Configure Windows Defender SmartScreen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1" authorId="0" shapeId="0" xr:uid="{00000000-0006-0000-0500-0000C4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I41" authorId="0" shapeId="0" xr:uid="{00000000-0006-0000-0500-0000C5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4" authorId="0" shapeId="0" xr:uid="{00000000-0006-0000-0500-0000C6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4" authorId="0" shapeId="0" xr:uid="{00000000-0006-0000-0500-0000C700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C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K44" authorId="0" shapeId="0" xr:uid="{00000000-0006-0000-0500-0000C900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in HKEY_CURRENT_USER\Software\Microsoft\Windows\CurrentVersion\Explorer\Advanced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1A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 authorId="0" shapeId="0" xr:uid="{00000000-0006-0000-0600-000013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 or Enabled (hybrid and Azure AD)</t>
        </r>
        <r>
          <rPr>
            <sz val="11"/>
            <color rgb="FF000000"/>
            <rFont val="Calibri"/>
          </rPr>
          <t>'</t>
        </r>
      </text>
    </comment>
    <comment ref="AB4" authorId="0" shapeId="0" xr:uid="{00000000-0006-0000-0600-00001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C4" authorId="0" shapeId="0" xr:uid="{00000000-0006-0000-0600-00001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4" authorId="0" shapeId="0" xr:uid="{00000000-0006-0000-0600-00001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E4" authorId="0" shapeId="0" xr:uid="{00000000-0006-0000-0600-00001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 authorId="0" shapeId="0" xr:uid="{00000000-0006-0000-0600-000018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 authorId="0" shapeId="0" xr:uid="{00000000-0006-0000-0600-00001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 authorId="0" shapeId="0" xr:uid="{00000000-0006-0000-0600-00001B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C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 authorId="0" shapeId="0" xr:uid="{00000000-0006-0000-0600-00002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600-00002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 authorId="0" shapeId="0" xr:uid="{00000000-0006-0000-0600-00002F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30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 authorId="0" shapeId="0" xr:uid="{00000000-0006-0000-0600-000031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7" authorId="0" shapeId="0" xr:uid="{00000000-0006-0000-0600-00003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3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S7" authorId="0" shapeId="0" xr:uid="{00000000-0006-0000-0600-000034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T7" authorId="0" shapeId="0" xr:uid="{00000000-0006-0000-0600-00003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7" authorId="0" shapeId="0" xr:uid="{00000000-0006-0000-0600-00003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7" authorId="0" shapeId="0" xr:uid="{00000000-0006-0000-0600-00003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7" authorId="0" shapeId="0" xr:uid="{00000000-0006-0000-0600-00003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7" authorId="0" shapeId="0" xr:uid="{00000000-0006-0000-0600-000039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7" authorId="0" shapeId="0" xr:uid="{00000000-0006-0000-0600-00003A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text>
    </comment>
    <comment ref="Z7" authorId="0" shapeId="0" xr:uid="{00000000-0006-0000-0600-00003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7" authorId="0" shapeId="0" xr:uid="{00000000-0006-0000-0600-00003C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7" authorId="0" shapeId="0" xr:uid="{00000000-0006-0000-0600-00003D000000}">
      <text>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7" authorId="0" shapeId="0" xr:uid="{00000000-0006-0000-0600-00003E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7" authorId="0" shapeId="0" xr:uid="{00000000-0006-0000-0600-00003F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text>
    </comment>
    <comment ref="AE7" authorId="0" shapeId="0" xr:uid="{00000000-0006-0000-0600-000040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in HKEY_LOCAL_MACHINE\SOFTWARE\Microsoft\Windows\CurrentVersion\Policies\System</t>
        </r>
      </text>
    </comment>
    <comment ref="AF7" authorId="0" shapeId="0" xr:uid="{00000000-0006-0000-0600-00004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4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J7" authorId="0" shapeId="0" xr:uid="{00000000-0006-0000-0600-00001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K7" authorId="0" shapeId="0" xr:uid="{00000000-0006-0000-0600-00002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L7" authorId="0" shapeId="0" xr:uid="{00000000-0006-0000-0600-00002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 authorId="0" shapeId="0" xr:uid="{00000000-0006-0000-0600-00002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2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O7" authorId="0" shapeId="0" xr:uid="{00000000-0006-0000-0600-00002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7" authorId="0" shapeId="0" xr:uid="{00000000-0006-0000-0600-00002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Q7" authorId="0" shapeId="0" xr:uid="{00000000-0006-0000-0600-00002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7" authorId="0" shapeId="0" xr:uid="{00000000-0006-0000-0600-00002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7" authorId="0" shapeId="0" xr:uid="{00000000-0006-0000-0600-00002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7" authorId="0" shapeId="0" xr:uid="{00000000-0006-0000-06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7" authorId="0" shapeId="0" xr:uid="{00000000-0006-0000-0600-00002A000000}">
      <text>
        <r>
          <rPr>
            <sz val="11"/>
            <rFont val="Calibri"/>
          </rPr>
          <t xml:space="preserve">Ensure </t>
        </r>
        <r>
          <rPr>
            <sz val="11"/>
            <color rgb="FF000000"/>
            <rFont val="Calibri"/>
          </rPr>
          <t>'</t>
        </r>
        <r>
          <rPr>
            <b/>
            <sz val="11"/>
            <color rgb="FF000000"/>
            <rFont val="Calibri"/>
          </rPr>
          <t>Remove Security tab</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7" authorId="0" shapeId="0" xr:uid="{00000000-0006-0000-0600-00002B000000}">
      <text>
        <r>
          <rPr>
            <sz val="11"/>
            <rFont val="Calibri"/>
          </rPr>
          <t xml:space="preserve">Ensure </t>
        </r>
        <r>
          <rPr>
            <sz val="11"/>
            <color rgb="FF000000"/>
            <rFont val="Calibri"/>
          </rPr>
          <t>'</t>
        </r>
        <r>
          <rPr>
            <b/>
            <sz val="11"/>
            <color rgb="FF000000"/>
            <rFont val="Calibri"/>
          </rPr>
          <t>Determine if interactive users can generate Resultant Set of Policy 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2" authorId="0" shapeId="0" xr:uid="{00000000-0006-0000-0600-000043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2" authorId="0" shapeId="0" xr:uid="{00000000-0006-0000-0600-00004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 authorId="0" shapeId="0" xr:uid="{00000000-0006-0000-0600-00004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2" authorId="0" shapeId="0" xr:uid="{00000000-0006-0000-0600-00004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600-000047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48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49000000}">
      <text>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text>
    </comment>
    <comment ref="Q12" authorId="0" shapeId="0" xr:uid="{00000000-0006-0000-0600-00004A000000}">
      <text>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text>
    </comment>
    <comment ref="R12" authorId="0" shapeId="0" xr:uid="{00000000-0006-0000-0600-00004B000000}">
      <text>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text>
    </comment>
    <comment ref="S12" authorId="0" shapeId="0" xr:uid="{00000000-0006-0000-0600-00004C000000}">
      <text>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text>
    </comment>
    <comment ref="T12" authorId="0" shapeId="0" xr:uid="{00000000-0006-0000-0600-00004D000000}">
      <text>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text>
    </comment>
    <comment ref="U12" authorId="0" shapeId="0" xr:uid="{00000000-0006-0000-0600-00004E000000}">
      <text>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text>
    </comment>
    <comment ref="V12" authorId="0" shapeId="0" xr:uid="{00000000-0006-0000-0600-00004F000000}">
      <text>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2" authorId="0" shapeId="0" xr:uid="{00000000-0006-0000-0600-000050000000}">
      <text>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2" authorId="0" shapeId="0" xr:uid="{00000000-0006-0000-0600-000051000000}">
      <text>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2" authorId="0" shapeId="0" xr:uid="{00000000-0006-0000-0600-000052000000}">
      <text>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2" authorId="0" shapeId="0" xr:uid="{00000000-0006-0000-0600-000053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2" authorId="0" shapeId="0" xr:uid="{00000000-0006-0000-0600-00005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2" authorId="0" shapeId="0" xr:uid="{00000000-0006-0000-0600-00005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2" authorId="0" shapeId="0" xr:uid="{00000000-0006-0000-0600-000056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 for all apps: Force Deny</t>
        </r>
        <r>
          <rPr>
            <sz val="11"/>
            <color rgb="FF000000"/>
            <rFont val="Calibri"/>
          </rPr>
          <t>'</t>
        </r>
      </text>
    </comment>
    <comment ref="AD12" authorId="0" shapeId="0" xr:uid="{00000000-0006-0000-0600-00005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E12" authorId="0" shapeId="0" xr:uid="{00000000-0006-0000-0600-00005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AF12" authorId="0" shapeId="0" xr:uid="{00000000-0006-0000-0600-000059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2" authorId="0" shapeId="0" xr:uid="{00000000-0006-0000-0600-00005A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2" authorId="0" shapeId="0" xr:uid="{00000000-0006-0000-0600-00005B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Seconds: 900</t>
        </r>
        <r>
          <rPr>
            <sz val="11"/>
            <color rgb="FF000000"/>
            <rFont val="Calibri"/>
          </rPr>
          <t>'</t>
        </r>
      </text>
    </comment>
    <comment ref="AI12" authorId="0" shapeId="0" xr:uid="{00000000-0006-0000-0600-00005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5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5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(Application) is set to </t>
        </r>
        <r>
          <rPr>
            <sz val="11"/>
            <color rgb="FF000000"/>
            <rFont val="Calibri"/>
          </rPr>
          <t>'</t>
        </r>
        <r>
          <rPr>
            <b/>
            <sz val="11"/>
            <color rgb="FF000000"/>
            <rFont val="Calibri"/>
          </rPr>
          <t>Enabled: 65536 or greater</t>
        </r>
        <r>
          <rPr>
            <sz val="11"/>
            <color rgb="FF000000"/>
            <rFont val="Calibri"/>
          </rPr>
          <t>'</t>
        </r>
      </text>
    </comment>
    <comment ref="L23" authorId="0" shapeId="0" xr:uid="{00000000-0006-0000-0600-00005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(Security) is set to </t>
        </r>
        <r>
          <rPr>
            <sz val="11"/>
            <color rgb="FF000000"/>
            <rFont val="Calibri"/>
          </rPr>
          <t>'</t>
        </r>
        <r>
          <rPr>
            <b/>
            <sz val="11"/>
            <color rgb="FF000000"/>
            <rFont val="Calibri"/>
          </rPr>
          <t>Enabled: 2097152 or greater</t>
        </r>
        <r>
          <rPr>
            <sz val="11"/>
            <color rgb="FF000000"/>
            <rFont val="Calibri"/>
          </rPr>
          <t>'</t>
        </r>
      </text>
    </comment>
    <comment ref="M23" authorId="0" shapeId="0" xr:uid="{00000000-0006-0000-0600-00006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(System) is set to </t>
        </r>
        <r>
          <rPr>
            <sz val="11"/>
            <color rgb="FF000000"/>
            <rFont val="Calibri"/>
          </rPr>
          <t>'</t>
        </r>
        <r>
          <rPr>
            <b/>
            <sz val="11"/>
            <color rgb="FF000000"/>
            <rFont val="Calibri"/>
          </rPr>
          <t>Enabled: 65536 or greater</t>
        </r>
        <r>
          <rPr>
            <sz val="11"/>
            <color rgb="FF000000"/>
            <rFont val="Calibri"/>
          </rPr>
          <t>'</t>
        </r>
      </text>
    </comment>
    <comment ref="N23" authorId="0" shapeId="0" xr:uid="{00000000-0006-0000-0600-00006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23" authorId="0" shapeId="0" xr:uid="{00000000-0006-0000-0600-000062000000}">
      <text>
        <r>
          <rPr>
            <sz val="11"/>
            <rFont val="Calibri"/>
          </rPr>
          <t xml:space="preserve">Ensure </t>
        </r>
        <r>
          <rPr>
            <sz val="11"/>
            <color rgb="FF000000"/>
            <rFont val="Calibri"/>
          </rPr>
          <t>'</t>
        </r>
        <r>
          <rPr>
            <b/>
            <sz val="11"/>
            <color rgb="FF000000"/>
            <rFont val="Calibri"/>
          </rPr>
          <t>Enable / disable CLFS log 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P23" authorId="0" shapeId="0" xr:uid="{00000000-0006-0000-0600-000063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Q23" authorId="0" shapeId="0" xr:uid="{00000000-0006-0000-0600-00006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R23" authorId="0" shapeId="0" xr:uid="{00000000-0006-0000-0600-00006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S23" authorId="0" shapeId="0" xr:uid="{00000000-0006-0000-0600-00006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T23" authorId="0" shapeId="0" xr:uid="{00000000-0006-0000-0600-00006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23" authorId="0" shapeId="0" xr:uid="{00000000-0006-0000-0600-000068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3" authorId="0" shapeId="0" xr:uid="{00000000-0006-0000-0600-00006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3" authorId="0" shapeId="0" xr:uid="{00000000-0006-0000-0600-00006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 authorId="0" shapeId="0" xr:uid="{00000000-0006-0000-0600-00006B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3" authorId="0" shapeId="0" xr:uid="{00000000-0006-0000-0600-00006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Z23" authorId="0" shapeId="0" xr:uid="{00000000-0006-0000-0600-00006D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A23" authorId="0" shapeId="0" xr:uid="{00000000-0006-0000-0600-00006E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6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70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71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7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73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7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7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7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77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3" authorId="0" shapeId="0" xr:uid="{00000000-0006-0000-0600-000078000000}">
      <text>
        <r>
          <rPr>
            <sz val="11"/>
            <rFont val="Calibri"/>
          </rPr>
          <t xml:space="preserve">Ensure </t>
        </r>
        <r>
          <rPr>
            <sz val="11"/>
            <color rgb="FF000000"/>
            <rFont val="Calibri"/>
          </rPr>
          <t>'</t>
        </r>
        <r>
          <rPr>
            <b/>
            <sz val="11"/>
            <color rgb="FF000000"/>
            <rFont val="Calibri"/>
          </rPr>
          <t>Log Enhanced Domain-wide NTLM Logs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3" authorId="0" shapeId="0" xr:uid="{00000000-0006-0000-0600-000079000000}">
      <text>
        <r>
          <rPr>
            <sz val="11"/>
            <rFont val="Calibri"/>
          </rPr>
          <t xml:space="preserve">Ensure </t>
        </r>
        <r>
          <rPr>
            <sz val="11"/>
            <color rgb="FF000000"/>
            <rFont val="Calibri"/>
          </rPr>
          <t>'</t>
        </r>
        <r>
          <rPr>
            <b/>
            <sz val="11"/>
            <color rgb="FF000000"/>
            <rFont val="Calibri"/>
          </rPr>
          <t>NTLM Enhanced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 authorId="0" shapeId="0" xr:uid="{00000000-0006-0000-0600-00007A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Module Names: *</t>
        </r>
        <r>
          <rPr>
            <sz val="11"/>
            <color rgb="FF000000"/>
            <rFont val="Calibri"/>
          </rPr>
          <t>'</t>
        </r>
      </text>
    </comment>
    <comment ref="AN23" authorId="0" shapeId="0" xr:uid="{00000000-0006-0000-0600-00007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3" authorId="0" shapeId="0" xr:uid="{00000000-0006-0000-0600-00007C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 Transcript output directory: &lt;organisation defined&gt;</t>
        </r>
        <r>
          <rPr>
            <sz val="11"/>
            <color rgb="FF000000"/>
            <rFont val="Calibri"/>
          </rPr>
          <t>'</t>
        </r>
      </text>
    </comment>
    <comment ref="AP23" authorId="0" shapeId="0" xr:uid="{00000000-0006-0000-0600-00007D000000}">
      <text>
        <r>
          <rPr>
            <sz val="11"/>
            <rFont val="Calibri"/>
          </rPr>
          <t xml:space="preserve">Ensure </t>
        </r>
        <r>
          <rPr>
            <sz val="11"/>
            <color rgb="FF000000"/>
            <rFont val="Calibri"/>
          </rPr>
          <t>'</t>
        </r>
        <r>
          <rPr>
            <b/>
            <sz val="11"/>
            <color rgb="FF000000"/>
            <rFont val="Calibri"/>
          </rPr>
          <t>Audit SMB client SPN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7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27" authorId="0" shapeId="0" xr:uid="{00000000-0006-0000-0600-00007F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NTP server</t>
        </r>
      </text>
    </comment>
    <comment ref="K27" authorId="0" shapeId="0" xr:uid="{00000000-0006-0000-0600-000080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2" authorId="0" shapeId="0" xr:uid="{00000000-0006-0000-0600-000081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K32" authorId="0" shapeId="0" xr:uid="{00000000-0006-0000-0600-000082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J37" authorId="0" shapeId="0" xr:uid="{00000000-0006-0000-0600-00008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600-00008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37" authorId="0" shapeId="0" xr:uid="{00000000-0006-0000-0600-00008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37" authorId="0" shapeId="0" xr:uid="{00000000-0006-0000-0600-000086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PCI\CC_0C0010, PCI\CC_0C0A</t>
        </r>
        <r>
          <rPr>
            <sz val="11"/>
            <color rgb="FF000000"/>
            <rFont val="Calibri"/>
          </rPr>
          <t>'</t>
        </r>
      </text>
    </comment>
    <comment ref="N37" authorId="0" shapeId="0" xr:uid="{00000000-0006-0000-0600-000087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O37" authorId="0" shapeId="0" xr:uid="{00000000-0006-0000-0600-000088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600-000089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600-00008A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600-00008B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8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8D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8E000000}">
      <text>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8F000000}">
      <text>
        <r>
          <rPr>
            <sz val="11"/>
            <rFont val="Calibri"/>
          </rPr>
          <t xml:space="preserve">Ensure </t>
        </r>
        <r>
          <rPr>
            <sz val="11"/>
            <color rgb="FF000000"/>
            <rFont val="Calibri"/>
          </rPr>
          <t>'</t>
        </r>
        <r>
          <rPr>
            <b/>
            <sz val="11"/>
            <color rgb="FF000000"/>
            <rFont val="Calibri"/>
          </rPr>
          <t>Set authorized domains for HTTPS authentication in MSIX streaming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 &lt;organisation-defined domains&gt;</t>
        </r>
        <r>
          <rPr>
            <sz val="11"/>
            <color rgb="FF000000"/>
            <rFont val="Calibri"/>
          </rPr>
          <t>'</t>
        </r>
      </text>
    </comment>
    <comment ref="W37" authorId="0" shapeId="0" xr:uid="{00000000-0006-0000-0600-000090000000}">
      <text>
        <r>
          <rPr>
            <sz val="11"/>
            <rFont val="Calibri"/>
          </rPr>
          <t xml:space="preserve">Ensure </t>
        </r>
        <r>
          <rPr>
            <sz val="11"/>
            <color rgb="FF000000"/>
            <rFont val="Calibri"/>
          </rPr>
          <t>'</t>
        </r>
        <r>
          <rPr>
            <b/>
            <sz val="11"/>
            <color rgb="FF000000"/>
            <rFont val="Calibri"/>
          </rPr>
          <t>Allowed package family names for non-admin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600-000091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92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600-000093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94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AB37" authorId="0" shapeId="0" xr:uid="{00000000-0006-0000-0600-000095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9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AD37" authorId="0" shapeId="0" xr:uid="{00000000-0006-0000-0600-00009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98000000}">
      <text>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99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 authorId="0" shapeId="0" xr:uid="{00000000-0006-0000-0600-00009A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9B000000}">
      <text>
        <r>
          <rPr>
            <sz val="11"/>
            <rFont val="Calibri"/>
          </rPr>
          <t xml:space="preserve">Ensure </t>
        </r>
        <r>
          <rPr>
            <sz val="11"/>
            <color rgb="FF000000"/>
            <rFont val="Calibri"/>
          </rPr>
          <t>'</t>
        </r>
        <r>
          <rPr>
            <b/>
            <sz val="11"/>
            <color rgb="FF000000"/>
            <rFont val="Calibri"/>
          </rPr>
          <t>Remove Default Microsoft Store packages from the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9C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K43" authorId="0" shapeId="0" xr:uid="{00000000-0006-0000-0600-00009D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9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9F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A0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O43" authorId="0" shapeId="0" xr:uid="{00000000-0006-0000-0600-0000A1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A2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600-0000A3000000}">
      <text>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text>
    </comment>
    <comment ref="R43" authorId="0" shapeId="0" xr:uid="{00000000-0006-0000-0600-0000A4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3" authorId="0" shapeId="0" xr:uid="{00000000-0006-0000-0600-0000A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3" authorId="0" shapeId="0" xr:uid="{00000000-0006-0000-0600-0000A6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3" authorId="0" shapeId="0" xr:uid="{00000000-0006-0000-0600-0000A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3" authorId="0" shapeId="0" xr:uid="{00000000-0006-0000-0600-0000A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3" authorId="0" shapeId="0" xr:uid="{00000000-0006-0000-0600-0000A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J45" authorId="0" shapeId="0" xr:uid="{00000000-0006-0000-0600-0000AA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K45" authorId="0" shapeId="0" xr:uid="{00000000-0006-0000-0600-0000AB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L45" authorId="0" shapeId="0" xr:uid="{00000000-0006-0000-0600-0000AC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M45" authorId="0" shapeId="0" xr:uid="{00000000-0006-0000-0600-0000AD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5" authorId="0" shapeId="0" xr:uid="{00000000-0006-0000-0600-0000AE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5" authorId="0" shapeId="0" xr:uid="{00000000-0006-0000-0600-0000A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B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J48" authorId="0" shapeId="0" xr:uid="{00000000-0006-0000-0600-0000B1000000}">
      <text>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text>
    </comment>
    <comment ref="K48" authorId="0" shapeId="0" xr:uid="{00000000-0006-0000-0600-0000B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48" authorId="0" shapeId="0" xr:uid="{00000000-0006-0000-0600-0000B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M48" authorId="0" shapeId="0" xr:uid="{00000000-0006-0000-0600-0000B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600-0000B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O48" authorId="0" shapeId="0" xr:uid="{00000000-0006-0000-0600-0000B6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P48" authorId="0" shapeId="0" xr:uid="{00000000-0006-0000-0600-0000B7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B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B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S48" authorId="0" shapeId="0" xr:uid="{00000000-0006-0000-0600-0000BA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T48" authorId="0" shapeId="0" xr:uid="{00000000-0006-0000-0600-0000BB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8" authorId="0" shapeId="0" xr:uid="{00000000-0006-0000-0600-0000B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8" authorId="0" shapeId="0" xr:uid="{00000000-0006-0000-0600-0000B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8" authorId="0" shapeId="0" xr:uid="{00000000-0006-0000-0600-0000B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8" authorId="0" shapeId="0" xr:uid="{00000000-0006-0000-0600-0000B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600-0000C0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600-0000C1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7" authorId="0" shapeId="0" xr:uid="{00000000-0006-0000-0600-0000C2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7" authorId="0" shapeId="0" xr:uid="{00000000-0006-0000-0600-0000C3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7" authorId="0" shapeId="0" xr:uid="{00000000-0006-0000-0600-0000C4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7" authorId="0" shapeId="0" xr:uid="{00000000-0006-0000-0600-0000C5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C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8" authorId="0" shapeId="0" xr:uid="{00000000-0006-0000-0600-0000C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C8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text>
    </comment>
    <comment ref="M88" authorId="0" shapeId="0" xr:uid="{00000000-0006-0000-0600-0000C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DisableIPSourceRoutingIPv6: Highest protection, source routing is completely disabled</t>
        </r>
        <r>
          <rPr>
            <sz val="11"/>
            <color rgb="FF000000"/>
            <rFont val="Calibri"/>
          </rPr>
          <t>'</t>
        </r>
      </text>
    </comment>
    <comment ref="N88" authorId="0" shapeId="0" xr:uid="{00000000-0006-0000-0600-0000C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 Highest protection, source routing is completely disabled</t>
        </r>
        <r>
          <rPr>
            <sz val="11"/>
            <color rgb="FF000000"/>
            <rFont val="Calibri"/>
          </rPr>
          <t>'</t>
        </r>
      </text>
    </comment>
    <comment ref="O88" authorId="0" shapeId="0" xr:uid="{00000000-0006-0000-0600-0000C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8" authorId="0" shapeId="0" xr:uid="{00000000-0006-0000-0600-0000CC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Default</t>
        </r>
        <r>
          <rPr>
            <sz val="11"/>
            <color rgb="FF000000"/>
            <rFont val="Calibri"/>
          </rPr>
          <t>'</t>
        </r>
      </text>
    </comment>
    <comment ref="Q88" authorId="0" shapeId="0" xr:uid="{00000000-0006-0000-0600-0000CD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Negotiate</t>
        </r>
        <r>
          <rPr>
            <sz val="11"/>
            <color rgb="FF000000"/>
            <rFont val="Calibri"/>
          </rPr>
          <t>'</t>
        </r>
      </text>
    </comment>
    <comment ref="R88" authorId="0" shapeId="0" xr:uid="{00000000-0006-0000-0600-0000CE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port: 0</t>
        </r>
        <r>
          <rPr>
            <sz val="11"/>
            <color rgb="FF000000"/>
            <rFont val="Calibri"/>
          </rPr>
          <t>'</t>
        </r>
      </text>
    </comment>
    <comment ref="S88" authorId="0" shapeId="0" xr:uid="{00000000-0006-0000-0600-0000C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8" authorId="0" shapeId="0" xr:uid="{00000000-0006-0000-0600-0000D0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D1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1" authorId="0" shapeId="0" xr:uid="{00000000-0006-0000-0600-0000D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and \\*\NETLOGON with RequireMutualAuthentication=1, RequireIntegrity=1</t>
        </r>
        <r>
          <rPr>
            <sz val="11"/>
            <color rgb="FF000000"/>
            <rFont val="Calibri"/>
          </rPr>
          <t>'</t>
        </r>
      </text>
    </comment>
    <comment ref="L91" authorId="0" shapeId="0" xr:uid="{00000000-0006-0000-0600-0000D3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M91" authorId="0" shapeId="0" xr:uid="{00000000-0006-0000-0600-0000D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N91" authorId="0" shapeId="0" xr:uid="{00000000-0006-0000-0600-0000D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91" authorId="0" shapeId="0" xr:uid="{00000000-0006-0000-0600-0000D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91" authorId="0" shapeId="0" xr:uid="{00000000-0006-0000-0600-0000D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D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D9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S91" authorId="0" shapeId="0" xr:uid="{00000000-0006-0000-0600-0000DA000000}">
      <text>
        <r>
          <rPr>
            <sz val="11"/>
            <rFont val="Calibri"/>
          </rPr>
          <t xml:space="preserve">Ensure </t>
        </r>
        <r>
          <rPr>
            <sz val="11"/>
            <color rgb="FF000000"/>
            <rFont val="Calibri"/>
          </rPr>
          <t>'</t>
        </r>
        <r>
          <rPr>
            <b/>
            <sz val="11"/>
            <color rgb="FF000000"/>
            <rFont val="Calibri"/>
          </rPr>
          <t>Set TLS/SSL security policy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T91" authorId="0" shapeId="0" xr:uid="{00000000-0006-0000-0600-0000D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U91" authorId="0" shapeId="0" xr:uid="{00000000-0006-0000-0600-0000DC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V91" authorId="0" shapeId="0" xr:uid="{00000000-0006-0000-0600-0000D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D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D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E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Z91" authorId="0" shapeId="0" xr:uid="{00000000-0006-0000-0600-0000E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A91" authorId="0" shapeId="0" xr:uid="{00000000-0006-0000-0600-0000E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E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600-0000E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E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E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AF91" authorId="0" shapeId="0" xr:uid="{00000000-0006-0000-0600-0000E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AG91" authorId="0" shapeId="0" xr:uid="{00000000-0006-0000-0600-0000E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1" authorId="0" shapeId="0" xr:uid="{00000000-0006-0000-0600-0000E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1" authorId="0" shapeId="0" xr:uid="{00000000-0006-0000-0600-0000E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1" authorId="0" shapeId="0" xr:uid="{00000000-0006-0000-0600-0000E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EC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L91" authorId="0" shapeId="0" xr:uid="{00000000-0006-0000-0600-0000ED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EE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1" authorId="0" shapeId="0" xr:uid="{00000000-0006-0000-0600-0000EF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F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1" authorId="0" shapeId="0" xr:uid="{00000000-0006-0000-0600-0000F1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1" authorId="0" shapeId="0" xr:uid="{00000000-0006-0000-0600-0000F2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600-0000F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F4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9" authorId="0" shapeId="0" xr:uid="{00000000-0006-0000-0600-0000F6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9" authorId="0" shapeId="0" xr:uid="{00000000-0006-0000-0600-0000F7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9" authorId="0" shapeId="0" xr:uid="{00000000-0006-0000-0600-0000F8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9" authorId="0" shapeId="0" xr:uid="{00000000-0006-0000-0600-0000F9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9" authorId="0" shapeId="0" xr:uid="{00000000-0006-0000-0600-0000FA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9" authorId="0" shapeId="0" xr:uid="{00000000-0006-0000-0600-0000FB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9" authorId="0" shapeId="0" xr:uid="{00000000-0006-0000-0600-0000FC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9" authorId="0" shapeId="0" xr:uid="{00000000-0006-0000-0600-0000FD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9" authorId="0" shapeId="0" xr:uid="{00000000-0006-0000-0600-0000FE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9" authorId="0" shapeId="0" xr:uid="{00000000-0006-0000-0600-0000FF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9" authorId="0" shapeId="0" xr:uid="{00000000-0006-0000-0600-000000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9" authorId="0" shapeId="0" xr:uid="{00000000-0006-0000-0600-000001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9" authorId="0" shapeId="0" xr:uid="{00000000-0006-0000-0600-000002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9" authorId="0" shapeId="0" xr:uid="{00000000-0006-0000-0600-000003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9" authorId="0" shapeId="0" xr:uid="{00000000-0006-0000-0600-000004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9" authorId="0" shapeId="0" xr:uid="{00000000-0006-0000-0600-00000501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AA99" authorId="0" shapeId="0" xr:uid="{00000000-0006-0000-0600-00000601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B99" authorId="0" shapeId="0" xr:uid="{00000000-0006-0000-0600-00000701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AC99" authorId="0" shapeId="0" xr:uid="{00000000-0006-0000-0600-00000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D99" authorId="0" shapeId="0" xr:uid="{00000000-0006-0000-0600-00000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E99" authorId="0" shapeId="0" xr:uid="{00000000-0006-0000-0600-00000A01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9" authorId="0" shapeId="0" xr:uid="{00000000-0006-0000-0600-00000B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9" authorId="0" shapeId="0" xr:uid="{00000000-0006-0000-0600-00000C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9" authorId="0" shapeId="0" xr:uid="{00000000-0006-0000-0600-00000D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9" authorId="0" shapeId="0" xr:uid="{00000000-0006-0000-0600-00000E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9" authorId="0" shapeId="0" xr:uid="{00000000-0006-0000-0600-00000F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9" authorId="0" shapeId="0" xr:uid="{00000000-0006-0000-0600-000010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AL99" authorId="0" shapeId="0" xr:uid="{00000000-0006-0000-0600-000011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AM99" authorId="0" shapeId="0" xr:uid="{00000000-0006-0000-0600-000012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text>
    </comment>
    <comment ref="AN99" authorId="0" shapeId="0" xr:uid="{00000000-0006-0000-0600-000013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9" authorId="0" shapeId="0" xr:uid="{00000000-0006-0000-0600-000014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text>
    </comment>
    <comment ref="AP99" authorId="0" shapeId="0" xr:uid="{00000000-0006-0000-0600-00001501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9" authorId="0" shapeId="0" xr:uid="{00000000-0006-0000-0600-000016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9" authorId="0" shapeId="0" xr:uid="{00000000-0006-0000-0600-000017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9" authorId="0" shapeId="0" xr:uid="{00000000-0006-0000-0600-000018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9" authorId="0" shapeId="0" xr:uid="{00000000-0006-0000-0600-000019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9" authorId="0" shapeId="0" xr:uid="{00000000-0006-0000-0600-00001A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9" authorId="0" shapeId="0" xr:uid="{00000000-0006-0000-0600-00001B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9" authorId="0" shapeId="0" xr:uid="{00000000-0006-0000-0600-0000F5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600-00001C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0" authorId="0" shapeId="0" xr:uid="{00000000-0006-0000-0600-00001D01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100" authorId="0" shapeId="0" xr:uid="{00000000-0006-0000-0600-00001E01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M100" authorId="0" shapeId="0" xr:uid="{00000000-0006-0000-0600-00001F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2001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21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J101" authorId="0" shapeId="0" xr:uid="{00000000-0006-0000-0600-000022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1" authorId="0" shapeId="0" xr:uid="{00000000-0006-0000-0600-00002301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2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101" authorId="0" shapeId="0" xr:uid="{00000000-0006-0000-0600-000025010000}">
      <text>
        <r>
          <rPr>
            <sz val="11"/>
            <rFont val="Calibri"/>
          </rPr>
          <t xml:space="preserve">Ensure </t>
        </r>
        <r>
          <rPr>
            <sz val="11"/>
            <color rgb="FF000000"/>
            <rFont val="Calibri"/>
          </rPr>
          <t>'</t>
        </r>
        <r>
          <rPr>
            <b/>
            <sz val="11"/>
            <color rgb="FF000000"/>
            <rFont val="Calibri"/>
          </rPr>
          <t>Configure Windows Defender SmartScreen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101" authorId="0" shapeId="0" xr:uid="{00000000-0006-0000-0600-000026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1" authorId="0" shapeId="0" xr:uid="{00000000-0006-0000-0600-00002701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in HKEY_CURRENT_USER\Software\Microsoft\Windows\CurrentVersion\Explorer\Advanced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I67" authorId="0" shapeId="0" xr:uid="{00000000-0006-0000-0700-000005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700-000002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700-000003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7" authorId="0" shapeId="0" xr:uid="{00000000-0006-0000-0700-000004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server address (when using WSUS)</t>
        </r>
      </text>
    </comment>
    <comment ref="H89" authorId="0" shapeId="0" xr:uid="{00000000-0006-0000-0700-000006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89" authorId="0" shapeId="0" xr:uid="{00000000-0006-0000-0700-00002A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2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9" authorId="0" shapeId="0" xr:uid="{00000000-0006-0000-0700-00002C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9" authorId="0" shapeId="0" xr:uid="{00000000-0006-0000-0700-00002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A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B000000}">
      <text>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text>
    </comment>
    <comment ref="R89" authorId="0" shapeId="0" xr:uid="{00000000-0006-0000-0700-00000C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S89" authorId="0" shapeId="0" xr:uid="{00000000-0006-0000-0700-00000D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11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AI89" authorId="0" shapeId="0" xr:uid="{00000000-0006-0000-0700-00001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9" authorId="0" shapeId="0" xr:uid="{00000000-0006-0000-0700-00001E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9" authorId="0" shapeId="0" xr:uid="{00000000-0006-0000-0700-00001F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9" authorId="0" shapeId="0" xr:uid="{00000000-0006-0000-0700-000020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characters: 15</t>
        </r>
        <r>
          <rPr>
            <sz val="11"/>
            <color rgb="FF000000"/>
            <rFont val="Calibri"/>
          </rPr>
          <t>'</t>
        </r>
      </text>
    </comment>
    <comment ref="AM89" authorId="0" shapeId="0" xr:uid="{00000000-0006-0000-0700-000021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AN89" authorId="0" shapeId="0" xr:uid="{00000000-0006-0000-0700-00002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3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9" authorId="0" shapeId="0" xr:uid="{00000000-0006-0000-0700-00002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9" authorId="0" shapeId="0" xr:uid="{00000000-0006-0000-0700-000025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9" authorId="0" shapeId="0" xr:uid="{00000000-0006-0000-0700-000026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AS89" authorId="0" shapeId="0" xr:uid="{00000000-0006-0000-0700-00002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AT89" authorId="0" shapeId="0" xr:uid="{00000000-0006-0000-0700-000028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89" authorId="0" shapeId="0" xr:uid="{00000000-0006-0000-0700-00002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2E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I90" authorId="0" shapeId="0" xr:uid="{00000000-0006-0000-0700-00002F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J90" authorId="0" shapeId="0" xr:uid="{00000000-0006-0000-0700-000030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K90" authorId="0" shapeId="0" xr:uid="{00000000-0006-0000-0700-000031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700-000032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3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N90" authorId="0" shapeId="0" xr:uid="{00000000-0006-0000-0700-00003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35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3" authorId="0" shapeId="0" xr:uid="{00000000-0006-0000-0700-00003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37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700-000039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3A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700-00003B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3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Q93" authorId="0" shapeId="0" xr:uid="{00000000-0006-0000-0700-00003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R93" authorId="0" shapeId="0" xr:uid="{00000000-0006-0000-0700-00003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4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4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4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3" authorId="0" shapeId="0" xr:uid="{00000000-0006-0000-0700-00004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3" authorId="0" shapeId="0" xr:uid="{00000000-0006-0000-0700-000044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text>
    </comment>
    <comment ref="X93" authorId="0" shapeId="0" xr:uid="{00000000-0006-0000-0700-000045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700-00004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3" authorId="0" shapeId="0" xr:uid="{00000000-0006-0000-0700-000047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3" authorId="0" shapeId="0" xr:uid="{00000000-0006-0000-0700-000048000000}">
      <text>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3" authorId="0" shapeId="0" xr:uid="{00000000-0006-0000-0700-000049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3" authorId="0" shapeId="0" xr:uid="{00000000-0006-0000-0700-00004A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text>
    </comment>
    <comment ref="AD93" authorId="0" shapeId="0" xr:uid="{00000000-0006-0000-0700-00004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E93" authorId="0" shapeId="0" xr:uid="{00000000-0006-0000-0700-00004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F93" authorId="0" shapeId="0" xr:uid="{00000000-0006-0000-0700-00004D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in HKEY_LOCAL_MACHINE\SOFTWARE\Microsoft\Windows\CurrentVersion\Policies\System</t>
        </r>
      </text>
    </comment>
    <comment ref="AG93" authorId="0" shapeId="0" xr:uid="{00000000-0006-0000-0700-00004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3" authorId="0" shapeId="0" xr:uid="{00000000-0006-0000-0700-00004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5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5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K93" authorId="0" shapeId="0" xr:uid="{00000000-0006-0000-0700-000052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L93" authorId="0" shapeId="0" xr:uid="{00000000-0006-0000-0700-000053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M93" authorId="0" shapeId="0" xr:uid="{00000000-0006-0000-0700-00005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AN93" authorId="0" shapeId="0" xr:uid="{00000000-0006-0000-0700-00005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5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P93" authorId="0" shapeId="0" xr:uid="{00000000-0006-0000-0700-00005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Q93" authorId="0" shapeId="0" xr:uid="{00000000-0006-0000-0700-00005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R93" authorId="0" shapeId="0" xr:uid="{00000000-0006-0000-0700-00005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5A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T93" authorId="0" shapeId="0" xr:uid="{00000000-0006-0000-0700-00005B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5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5D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E000000}">
      <text>
        <r>
          <rPr>
            <sz val="11"/>
            <rFont val="Calibri"/>
          </rPr>
          <t xml:space="preserve">Ensure </t>
        </r>
        <r>
          <rPr>
            <sz val="11"/>
            <color rgb="FF000000"/>
            <rFont val="Calibri"/>
          </rPr>
          <t>'</t>
        </r>
        <r>
          <rPr>
            <b/>
            <sz val="11"/>
            <color rgb="FF000000"/>
            <rFont val="Calibri"/>
          </rPr>
          <t>Choose drive encryption method and cipher strength (Windows 10 [Version 1511] and later)</t>
        </r>
        <r>
          <rPr>
            <sz val="11"/>
            <color rgb="FF000000"/>
            <rFont val="Calibri"/>
          </rPr>
          <t>'</t>
        </r>
        <r>
          <rPr>
            <sz val="11"/>
            <color rgb="FF000000"/>
            <rFont val="Calibri"/>
          </rPr>
          <t xml:space="preserve"> is set to </t>
        </r>
        <r>
          <rPr>
            <sz val="11"/>
            <color rgb="FF000000"/>
            <rFont val="Calibri"/>
          </rPr>
          <t>'</t>
        </r>
        <r>
          <rPr>
            <b/>
            <sz val="11"/>
            <color rgb="FF000000"/>
            <rFont val="Calibri"/>
          </rPr>
          <t>Enabled: XTS-AES 128-bit for OS and fixed drives, XTS-AES 128-bit for removable drives</t>
        </r>
        <r>
          <rPr>
            <sz val="11"/>
            <color rgb="FF000000"/>
            <rFont val="Calibri"/>
          </rPr>
          <t>'</t>
        </r>
      </text>
    </comment>
    <comment ref="J110" authorId="0" shapeId="0" xr:uid="{00000000-0006-0000-0700-00005F000000}">
      <text>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0" authorId="0" shapeId="0" xr:uid="{00000000-0006-0000-0700-000060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backup recovery passwords and key packages to AD DS; do not enable BitLocker until recovery information is stored</t>
        </r>
        <r>
          <rPr>
            <sz val="11"/>
            <color rgb="FF000000"/>
            <rFont val="Calibri"/>
          </rPr>
          <t>'</t>
        </r>
      </text>
    </comment>
    <comment ref="L110" authorId="0" shapeId="0" xr:uid="{00000000-0006-0000-0700-000061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password complexity, minimum length 15</t>
        </r>
        <r>
          <rPr>
            <sz val="11"/>
            <color rgb="FF000000"/>
            <rFont val="Calibri"/>
          </rPr>
          <t>'</t>
        </r>
      </text>
    </comment>
    <comment ref="M110" authorId="0" shapeId="0" xr:uid="{00000000-0006-0000-0700-000062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0" authorId="0" shapeId="0" xr:uid="{00000000-0006-0000-0700-000063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O110" authorId="0" shapeId="0" xr:uid="{00000000-0006-0000-0700-000064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0" authorId="0" shapeId="0" xr:uid="{00000000-0006-0000-0700-00006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0" authorId="0" shapeId="0" xr:uid="{00000000-0006-0000-0700-000066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0" authorId="0" shapeId="0" xr:uid="{00000000-0006-0000-0700-000067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store recovery passwords and key packages to AD DS; do not enable BitLocker until recovery information is stored</t>
        </r>
        <r>
          <rPr>
            <sz val="11"/>
            <color rgb="FF000000"/>
            <rFont val="Calibri"/>
          </rPr>
          <t>'</t>
        </r>
      </text>
    </comment>
    <comment ref="S110" authorId="0" shapeId="0" xr:uid="{00000000-0006-0000-0700-000068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characters: 15</t>
        </r>
        <r>
          <rPr>
            <sz val="11"/>
            <color rgb="FF000000"/>
            <rFont val="Calibri"/>
          </rPr>
          <t>'</t>
        </r>
      </text>
    </comment>
    <comment ref="T110" authorId="0" shapeId="0" xr:uid="{00000000-0006-0000-0700-000069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U110" authorId="0" shapeId="0" xr:uid="{00000000-0006-0000-0700-00006A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text>
    </comment>
    <comment ref="V110" authorId="0" shapeId="0" xr:uid="{00000000-0006-0000-0700-00006B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0" authorId="0" shapeId="0" xr:uid="{00000000-0006-0000-0700-00006C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0" authorId="0" shapeId="0" xr:uid="{00000000-0006-0000-0700-00006D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0" authorId="0" shapeId="0" xr:uid="{00000000-0006-0000-0700-00006E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0" authorId="0" shapeId="0" xr:uid="{00000000-0006-0000-0700-00006F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0" authorId="0" shapeId="0" xr:uid="{00000000-0006-0000-0700-000070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0" authorId="0" shapeId="0" xr:uid="{00000000-0006-0000-0700-000071000000}">
      <text>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0" authorId="0" shapeId="0" xr:uid="{00000000-0006-0000-0700-00007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7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and \\*\NETLOGON with RequireMutualAuthentication=1, RequireIntegrity=1</t>
        </r>
        <r>
          <rPr>
            <sz val="11"/>
            <color rgb="FF000000"/>
            <rFont val="Calibri"/>
          </rPr>
          <t>'</t>
        </r>
      </text>
    </comment>
    <comment ref="I111" authorId="0" shapeId="0" xr:uid="{00000000-0006-0000-0700-000074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J111" authorId="0" shapeId="0" xr:uid="{00000000-0006-0000-0700-00007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11" authorId="0" shapeId="0" xr:uid="{00000000-0006-0000-0700-00007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L111" authorId="0" shapeId="0" xr:uid="{00000000-0006-0000-0700-00007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7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79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111" authorId="0" shapeId="0" xr:uid="{00000000-0006-0000-0700-00007A000000}">
      <text>
        <r>
          <rPr>
            <sz val="11"/>
            <rFont val="Calibri"/>
          </rPr>
          <t xml:space="preserve">Ensure </t>
        </r>
        <r>
          <rPr>
            <sz val="11"/>
            <color rgb="FF000000"/>
            <rFont val="Calibri"/>
          </rPr>
          <t>'</t>
        </r>
        <r>
          <rPr>
            <b/>
            <sz val="11"/>
            <color rgb="FF000000"/>
            <rFont val="Calibri"/>
          </rPr>
          <t>Set TLS/SSL security policy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P111" authorId="0" shapeId="0" xr:uid="{00000000-0006-0000-0700-00007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Q111" authorId="0" shapeId="0" xr:uid="{00000000-0006-0000-0700-00007C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R111" authorId="0" shapeId="0" xr:uid="{00000000-0006-0000-0700-00007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7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7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8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V111" authorId="0" shapeId="0" xr:uid="{00000000-0006-0000-0700-00008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W111" authorId="0" shapeId="0" xr:uid="{00000000-0006-0000-0700-00008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8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8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8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8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AB111" authorId="0" shapeId="0" xr:uid="{00000000-0006-0000-0700-00008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1" authorId="0" shapeId="0" xr:uid="{00000000-0006-0000-0700-00008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8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8A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F111" authorId="0" shapeId="0" xr:uid="{00000000-0006-0000-0700-00008B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8C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1" authorId="0" shapeId="0" xr:uid="{00000000-0006-0000-0700-00008D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1" authorId="0" shapeId="0" xr:uid="{00000000-0006-0000-0700-00008E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1" authorId="0" shapeId="0" xr:uid="{00000000-0006-0000-0700-00008F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1" authorId="0" shapeId="0" xr:uid="{00000000-0006-0000-0700-00009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91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34" authorId="0" shapeId="0" xr:uid="{00000000-0006-0000-0700-000092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4" authorId="0" shapeId="0" xr:uid="{00000000-0006-0000-0700-000093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text>
    </comment>
    <comment ref="K134" authorId="0" shapeId="0" xr:uid="{00000000-0006-0000-0700-00009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DisableIPSourceRoutingIPv6: Highest protection, source routing is completely disabled</t>
        </r>
        <r>
          <rPr>
            <sz val="11"/>
            <color rgb="FF000000"/>
            <rFont val="Calibri"/>
          </rPr>
          <t>'</t>
        </r>
      </text>
    </comment>
    <comment ref="L134" authorId="0" shapeId="0" xr:uid="{00000000-0006-0000-0700-00009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 Highest protection, source routing is completely disabled</t>
        </r>
        <r>
          <rPr>
            <sz val="11"/>
            <color rgb="FF000000"/>
            <rFont val="Calibri"/>
          </rPr>
          <t>'</t>
        </r>
      </text>
    </comment>
    <comment ref="M134" authorId="0" shapeId="0" xr:uid="{00000000-0006-0000-0700-00009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4" authorId="0" shapeId="0" xr:uid="{00000000-0006-0000-0700-000097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Default</t>
        </r>
        <r>
          <rPr>
            <sz val="11"/>
            <color rgb="FF000000"/>
            <rFont val="Calibri"/>
          </rPr>
          <t>'</t>
        </r>
      </text>
    </comment>
    <comment ref="O134" authorId="0" shapeId="0" xr:uid="{00000000-0006-0000-0700-000098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Negotiate</t>
        </r>
        <r>
          <rPr>
            <sz val="11"/>
            <color rgb="FF000000"/>
            <rFont val="Calibri"/>
          </rPr>
          <t>'</t>
        </r>
      </text>
    </comment>
    <comment ref="P134" authorId="0" shapeId="0" xr:uid="{00000000-0006-0000-0700-00009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port: 0</t>
        </r>
        <r>
          <rPr>
            <sz val="11"/>
            <color rgb="FF000000"/>
            <rFont val="Calibri"/>
          </rPr>
          <t>'</t>
        </r>
      </text>
    </comment>
    <comment ref="Q134" authorId="0" shapeId="0" xr:uid="{00000000-0006-0000-0700-00009A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34" authorId="0" shapeId="0" xr:uid="{00000000-0006-0000-0700-00009B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9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142" authorId="0" shapeId="0" xr:uid="{00000000-0006-0000-0700-00009D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42" authorId="0" shapeId="0" xr:uid="{00000000-0006-0000-0700-00009E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42" authorId="0" shapeId="0" xr:uid="{00000000-0006-0000-0700-00009F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42" authorId="0" shapeId="0" xr:uid="{00000000-0006-0000-0700-0000A0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42" authorId="0" shapeId="0" xr:uid="{00000000-0006-0000-0700-0000A1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42" authorId="0" shapeId="0" xr:uid="{00000000-0006-0000-0700-0000A2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42" authorId="0" shapeId="0" xr:uid="{00000000-0006-0000-0700-0000A3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42" authorId="0" shapeId="0" xr:uid="{00000000-0006-0000-0700-0000A4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42" authorId="0" shapeId="0" xr:uid="{00000000-0006-0000-0700-0000A5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42" authorId="0" shapeId="0" xr:uid="{00000000-0006-0000-0700-0000A6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42" authorId="0" shapeId="0" xr:uid="{00000000-0006-0000-0700-0000A7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42" authorId="0" shapeId="0" xr:uid="{00000000-0006-0000-0700-0000A8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142" authorId="0" shapeId="0" xr:uid="{00000000-0006-0000-0700-0000A9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42" authorId="0" shapeId="0" xr:uid="{00000000-0006-0000-0700-0000AA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42" authorId="0" shapeId="0" xr:uid="{00000000-0006-0000-0700-0000AB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142" authorId="0" shapeId="0" xr:uid="{00000000-0006-0000-0700-0000A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Secure Boot and DMA Protection, Enabled with UEFI lock for Code Integrity and Credential Guard, and Enabled in enforcement mode for Kernel-mode Stack Protection</t>
        </r>
      </text>
    </comment>
    <comment ref="Y142" authorId="0" shapeId="0" xr:uid="{00000000-0006-0000-0700-0000AD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Z142" authorId="0" shapeId="0" xr:uid="{00000000-0006-0000-0700-0000AE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A142" authorId="0" shapeId="0" xr:uid="{00000000-0006-0000-0700-0000AF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B0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AC142" authorId="0" shapeId="0" xr:uid="{00000000-0006-0000-0700-0000B1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2" authorId="0" shapeId="0" xr:uid="{00000000-0006-0000-0700-0000B200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E142" authorId="0" shapeId="0" xr:uid="{00000000-0006-0000-0700-0000B3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AF142" authorId="0" shapeId="0" xr:uid="{00000000-0006-0000-0700-0000B4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G142" authorId="0" shapeId="0" xr:uid="{00000000-0006-0000-0700-0000B5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AH142" authorId="0" shapeId="0" xr:uid="{00000000-0006-0000-0700-0000B6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AI142" authorId="0" shapeId="0" xr:uid="{00000000-0006-0000-0700-0000B7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B8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2" authorId="0" shapeId="0" xr:uid="{00000000-0006-0000-0700-0000B900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2" authorId="0" shapeId="0" xr:uid="{00000000-0006-0000-0700-0000BA00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2" authorId="0" shapeId="0" xr:uid="{00000000-0006-0000-0700-0000BB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BC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2" authorId="0" shapeId="0" xr:uid="{00000000-0006-0000-0700-0000BD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2" authorId="0" shapeId="0" xr:uid="{00000000-0006-0000-0700-0000BE00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B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2" authorId="0" shapeId="0" xr:uid="{00000000-0006-0000-0700-0000C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S142" authorId="0" shapeId="0" xr:uid="{00000000-0006-0000-0700-0000C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T142" authorId="0" shapeId="0" xr:uid="{00000000-0006-0000-0700-0000C2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PCI\CC_0C0010, PCI\CC_0C0A</t>
        </r>
        <r>
          <rPr>
            <sz val="11"/>
            <color rgb="FF000000"/>
            <rFont val="Calibri"/>
          </rPr>
          <t>'</t>
        </r>
      </text>
    </comment>
    <comment ref="AU142" authorId="0" shapeId="0" xr:uid="{00000000-0006-0000-0700-0000C3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H157" authorId="0" shapeId="0" xr:uid="{00000000-0006-0000-0700-0000C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157" authorId="0" shapeId="0" xr:uid="{00000000-0006-0000-0700-0000C5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157" authorId="0" shapeId="0" xr:uid="{00000000-0006-0000-0700-0000C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C7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C8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NTP server</t>
        </r>
      </text>
    </comment>
    <comment ref="J165" authorId="0" shapeId="0" xr:uid="{00000000-0006-0000-07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(Application) is set to </t>
        </r>
        <r>
          <rPr>
            <sz val="11"/>
            <color rgb="FF000000"/>
            <rFont val="Calibri"/>
          </rPr>
          <t>'</t>
        </r>
        <r>
          <rPr>
            <b/>
            <sz val="11"/>
            <color rgb="FF000000"/>
            <rFont val="Calibri"/>
          </rPr>
          <t>Enabled: 65536 or greater</t>
        </r>
        <r>
          <rPr>
            <sz val="11"/>
            <color rgb="FF000000"/>
            <rFont val="Calibri"/>
          </rPr>
          <t>'</t>
        </r>
      </text>
    </comment>
    <comment ref="K165" authorId="0" shapeId="0" xr:uid="{00000000-0006-0000-07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(Security) is set to </t>
        </r>
        <r>
          <rPr>
            <sz val="11"/>
            <color rgb="FF000000"/>
            <rFont val="Calibri"/>
          </rPr>
          <t>'</t>
        </r>
        <r>
          <rPr>
            <b/>
            <sz val="11"/>
            <color rgb="FF000000"/>
            <rFont val="Calibri"/>
          </rPr>
          <t>Enabled: 2097152 or greater</t>
        </r>
        <r>
          <rPr>
            <sz val="11"/>
            <color rgb="FF000000"/>
            <rFont val="Calibri"/>
          </rPr>
          <t>'</t>
        </r>
      </text>
    </comment>
    <comment ref="L165" authorId="0" shapeId="0" xr:uid="{00000000-0006-0000-0700-0000C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(System) is set to </t>
        </r>
        <r>
          <rPr>
            <sz val="11"/>
            <color rgb="FF000000"/>
            <rFont val="Calibri"/>
          </rPr>
          <t>'</t>
        </r>
        <r>
          <rPr>
            <b/>
            <sz val="11"/>
            <color rgb="FF000000"/>
            <rFont val="Calibri"/>
          </rPr>
          <t>Enabled: 65536 or greater</t>
        </r>
        <r>
          <rPr>
            <sz val="11"/>
            <color rgb="FF000000"/>
            <rFont val="Calibri"/>
          </rPr>
          <t>'</t>
        </r>
      </text>
    </comment>
    <comment ref="M165" authorId="0" shapeId="0" xr:uid="{00000000-0006-0000-0700-0000C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165" authorId="0" shapeId="0" xr:uid="{00000000-0006-0000-0700-0000CD000000}">
      <text>
        <r>
          <rPr>
            <sz val="11"/>
            <rFont val="Calibri"/>
          </rPr>
          <t xml:space="preserve">Ensure </t>
        </r>
        <r>
          <rPr>
            <sz val="11"/>
            <color rgb="FF000000"/>
            <rFont val="Calibri"/>
          </rPr>
          <t>'</t>
        </r>
        <r>
          <rPr>
            <b/>
            <sz val="11"/>
            <color rgb="FF000000"/>
            <rFont val="Calibri"/>
          </rPr>
          <t>Enable / disable CLFS log 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165" authorId="0" shapeId="0" xr:uid="{00000000-0006-0000-0700-0000CE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P165" authorId="0" shapeId="0" xr:uid="{00000000-0006-0000-0700-0000CF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D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D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S165" authorId="0" shapeId="0" xr:uid="{00000000-0006-0000-0700-0000D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165" authorId="0" shapeId="0" xr:uid="{00000000-0006-0000-0700-0000D3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165" authorId="0" shapeId="0" xr:uid="{00000000-0006-0000-0700-0000D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V165" authorId="0" shapeId="0" xr:uid="{00000000-0006-0000-0700-0000D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165" authorId="0" shapeId="0" xr:uid="{00000000-0006-0000-0700-0000D6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165" authorId="0" shapeId="0" xr:uid="{00000000-0006-0000-0700-0000D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Y165" authorId="0" shapeId="0" xr:uid="{00000000-0006-0000-0700-0000D8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D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A165" authorId="0" shapeId="0" xr:uid="{00000000-0006-0000-0700-0000D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B165" authorId="0" shapeId="0" xr:uid="{00000000-0006-0000-0700-0000DB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DC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D165" authorId="0" shapeId="0" xr:uid="{00000000-0006-0000-0700-0000D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E165" authorId="0" shapeId="0" xr:uid="{00000000-0006-0000-0700-0000DE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F165" authorId="0" shapeId="0" xr:uid="{00000000-0006-0000-0700-0000D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G165" authorId="0" shapeId="0" xr:uid="{00000000-0006-0000-0700-0000E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H165" authorId="0" shapeId="0" xr:uid="{00000000-0006-0000-0700-0000E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5" authorId="0" shapeId="0" xr:uid="{00000000-0006-0000-0700-0000E2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J165" authorId="0" shapeId="0" xr:uid="{00000000-0006-0000-0700-0000E3000000}">
      <text>
        <r>
          <rPr>
            <sz val="11"/>
            <rFont val="Calibri"/>
          </rPr>
          <t xml:space="preserve">Ensure </t>
        </r>
        <r>
          <rPr>
            <sz val="11"/>
            <color rgb="FF000000"/>
            <rFont val="Calibri"/>
          </rPr>
          <t>'</t>
        </r>
        <r>
          <rPr>
            <b/>
            <sz val="11"/>
            <color rgb="FF000000"/>
            <rFont val="Calibri"/>
          </rPr>
          <t>Log Enhanced Domain-wide NTLM Logs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65" authorId="0" shapeId="0" xr:uid="{00000000-0006-0000-0700-0000E4000000}">
      <text>
        <r>
          <rPr>
            <sz val="11"/>
            <rFont val="Calibri"/>
          </rPr>
          <t xml:space="preserve">Ensure </t>
        </r>
        <r>
          <rPr>
            <sz val="11"/>
            <color rgb="FF000000"/>
            <rFont val="Calibri"/>
          </rPr>
          <t>'</t>
        </r>
        <r>
          <rPr>
            <b/>
            <sz val="11"/>
            <color rgb="FF000000"/>
            <rFont val="Calibri"/>
          </rPr>
          <t>NTLM Enhanced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65" authorId="0" shapeId="0" xr:uid="{00000000-0006-0000-0700-0000E5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Module Names: *</t>
        </r>
        <r>
          <rPr>
            <sz val="11"/>
            <color rgb="FF000000"/>
            <rFont val="Calibri"/>
          </rPr>
          <t>'</t>
        </r>
      </text>
    </comment>
    <comment ref="AM165" authorId="0" shapeId="0" xr:uid="{00000000-0006-0000-0700-0000E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5" authorId="0" shapeId="0" xr:uid="{00000000-0006-0000-0700-0000E7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 Transcript output directory: &lt;organisation defined&gt;</t>
        </r>
        <r>
          <rPr>
            <sz val="11"/>
            <color rgb="FF000000"/>
            <rFont val="Calibri"/>
          </rPr>
          <t>'</t>
        </r>
      </text>
    </comment>
    <comment ref="AO165" authorId="0" shapeId="0" xr:uid="{00000000-0006-0000-0700-0000E8000000}">
      <text>
        <r>
          <rPr>
            <sz val="11"/>
            <rFont val="Calibri"/>
          </rPr>
          <t xml:space="preserve">Ensure </t>
        </r>
        <r>
          <rPr>
            <sz val="11"/>
            <color rgb="FF000000"/>
            <rFont val="Calibri"/>
          </rPr>
          <t>'</t>
        </r>
        <r>
          <rPr>
            <b/>
            <sz val="11"/>
            <color rgb="FF000000"/>
            <rFont val="Calibri"/>
          </rPr>
          <t>Audit SMB client SPN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E9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I168" authorId="0" shapeId="0" xr:uid="{00000000-0006-0000-0700-0000EA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68" authorId="0" shapeId="0" xr:uid="{00000000-0006-0000-0700-0000EB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K168" authorId="0" shapeId="0" xr:uid="{00000000-0006-0000-0700-0000E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L168" authorId="0" shapeId="0" xr:uid="{00000000-0006-0000-0700-0000E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168" authorId="0" shapeId="0" xr:uid="{00000000-0006-0000-0700-0000EE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8" authorId="0" shapeId="0" xr:uid="{00000000-0006-0000-0700-0000E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68" authorId="0" shapeId="0" xr:uid="{00000000-0006-0000-0700-0000F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68" authorId="0" shapeId="0" xr:uid="{00000000-0006-0000-0700-0000F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Q168" authorId="0" shapeId="0" xr:uid="{00000000-0006-0000-0700-0000F2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R168" authorId="0" shapeId="0" xr:uid="{00000000-0006-0000-0700-0000F3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text>
    </comment>
    <comment ref="S168" authorId="0" shapeId="0" xr:uid="{00000000-0006-0000-0700-0000F4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F5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text>
    </comment>
    <comment ref="U168" authorId="0" shapeId="0" xr:uid="{00000000-0006-0000-0700-0000F6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68" authorId="0" shapeId="0" xr:uid="{00000000-0006-0000-0700-0000F7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F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F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FA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FB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FC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FD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8" authorId="0" shapeId="0" xr:uid="{00000000-0006-0000-0700-0000FE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8" authorId="0" shapeId="0" xr:uid="{00000000-0006-0000-0700-0000FF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00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68" authorId="0" shapeId="0" xr:uid="{00000000-0006-0000-0700-00000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8" authorId="0" shapeId="0" xr:uid="{00000000-0006-0000-0700-000002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8" authorId="0" shapeId="0" xr:uid="{00000000-0006-0000-0700-000003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H37" authorId="0" shapeId="0" xr:uid="{00000000-0006-0000-0800-000005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server address (when using WSUS)</t>
        </r>
      </text>
    </comment>
    <comment ref="G40" authorId="0" shapeId="0" xr:uid="{00000000-0006-0000-0800-000006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H40" authorId="0" shapeId="0" xr:uid="{00000000-0006-0000-0800-000007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54" authorId="0" shapeId="0" xr:uid="{00000000-0006-0000-0800-00000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H54" authorId="0" shapeId="0" xr:uid="{00000000-0006-0000-0800-00000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4" authorId="0" shapeId="0" xr:uid="{00000000-0006-0000-0800-00000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4" authorId="0" shapeId="0" xr:uid="{00000000-0006-0000-0800-00001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I64" authorId="0" shapeId="0" xr:uid="{00000000-0006-0000-0800-00001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64" authorId="0" shapeId="0" xr:uid="{00000000-0006-0000-0800-00001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800-00001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0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800-00000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800-00000D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O64" authorId="0" shapeId="0" xr:uid="{00000000-0006-0000-0800-00000E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P64" authorId="0" shapeId="0" xr:uid="{00000000-0006-0000-0800-00000F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Q64" authorId="0" shapeId="0" xr:uid="{00000000-0006-0000-0800-000010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1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2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4" authorId="0" shapeId="0" xr:uid="{00000000-0006-0000-0800-000013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64" authorId="0" shapeId="0" xr:uid="{00000000-0006-0000-0800-00001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4" authorId="0" shapeId="0" xr:uid="{00000000-0006-0000-0800-00001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W64" authorId="0" shapeId="0" xr:uid="{00000000-0006-0000-0800-000016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64" authorId="0" shapeId="0" xr:uid="{00000000-0006-0000-0800-000017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64" authorId="0" shapeId="0" xr:uid="{00000000-0006-0000-0800-000018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Seconds: 900</t>
        </r>
        <r>
          <rPr>
            <sz val="11"/>
            <color rgb="FF000000"/>
            <rFont val="Calibri"/>
          </rPr>
          <t>'</t>
        </r>
      </text>
    </comment>
    <comment ref="G80" authorId="0" shapeId="0" xr:uid="{00000000-0006-0000-0800-00001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1E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1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0" authorId="0" shapeId="0" xr:uid="{00000000-0006-0000-0800-000020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1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0" authorId="0" shapeId="0" xr:uid="{00000000-0006-0000-0800-000022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0" authorId="0" shapeId="0" xr:uid="{00000000-0006-0000-0800-00002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0" authorId="0" shapeId="0" xr:uid="{00000000-0006-0000-0800-000025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6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0" authorId="0" shapeId="0" xr:uid="{00000000-0006-0000-0800-000027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0" authorId="0" shapeId="0" xr:uid="{00000000-0006-0000-0800-000028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0" authorId="0" shapeId="0" xr:uid="{00000000-0006-0000-0800-000029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0" authorId="0" shapeId="0" xr:uid="{00000000-0006-0000-0800-00002A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0" authorId="0" shapeId="0" xr:uid="{00000000-0006-0000-0800-00002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0" authorId="0" shapeId="0" xr:uid="{00000000-0006-0000-0800-00002C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1" authorId="0" shapeId="0" xr:uid="{00000000-0006-0000-0800-00002D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H81" authorId="0" shapeId="0" xr:uid="{00000000-0006-0000-0800-00002E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2" authorId="0" shapeId="0" xr:uid="{00000000-0006-0000-0800-00002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2" authorId="0" shapeId="0" xr:uid="{00000000-0006-0000-0800-00003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I82" authorId="0" shapeId="0" xr:uid="{00000000-0006-0000-0800-00003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82" authorId="0" shapeId="0" xr:uid="{00000000-0006-0000-0800-000032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2" authorId="0" shapeId="0" xr:uid="{00000000-0006-0000-0800-000033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2" authorId="0" shapeId="0" xr:uid="{00000000-0006-0000-0800-000034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2" authorId="0" shapeId="0" xr:uid="{00000000-0006-0000-0800-000035000000}">
      <text>
        <r>
          <rPr>
            <sz val="11"/>
            <rFont val="Calibri"/>
          </rPr>
          <t xml:space="preserve">Ensure </t>
        </r>
        <r>
          <rPr>
            <sz val="11"/>
            <color rgb="FF000000"/>
            <rFont val="Calibri"/>
          </rPr>
          <t>'</t>
        </r>
        <r>
          <rPr>
            <b/>
            <sz val="11"/>
            <color rgb="FF000000"/>
            <rFont val="Calibri"/>
          </rPr>
          <t>Remove Default Microsoft Store packages from the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36000000}">
      <text>
        <r>
          <rPr>
            <sz val="11"/>
            <rFont val="Calibri"/>
          </rPr>
          <t xml:space="preserve">Ensure </t>
        </r>
        <r>
          <rPr>
            <sz val="11"/>
            <color rgb="FF000000"/>
            <rFont val="Calibri"/>
          </rPr>
          <t>'</t>
        </r>
        <r>
          <rPr>
            <b/>
            <sz val="11"/>
            <color rgb="FF000000"/>
            <rFont val="Calibri"/>
          </rPr>
          <t>Choose drive encryption method and cipher strength (Windows 10 [Version 1511] and later)</t>
        </r>
        <r>
          <rPr>
            <sz val="11"/>
            <color rgb="FF000000"/>
            <rFont val="Calibri"/>
          </rPr>
          <t>'</t>
        </r>
        <r>
          <rPr>
            <sz val="11"/>
            <color rgb="FF000000"/>
            <rFont val="Calibri"/>
          </rPr>
          <t xml:space="preserve"> is set to </t>
        </r>
        <r>
          <rPr>
            <sz val="11"/>
            <color rgb="FF000000"/>
            <rFont val="Calibri"/>
          </rPr>
          <t>'</t>
        </r>
        <r>
          <rPr>
            <b/>
            <sz val="11"/>
            <color rgb="FF000000"/>
            <rFont val="Calibri"/>
          </rPr>
          <t>Enabled: XTS-AES 128-bit for OS and fixed drives, XTS-AES 128-bit for removable drives</t>
        </r>
        <r>
          <rPr>
            <sz val="11"/>
            <color rgb="FF000000"/>
            <rFont val="Calibri"/>
          </rPr>
          <t>'</t>
        </r>
      </text>
    </comment>
    <comment ref="H100" authorId="0" shapeId="0" xr:uid="{00000000-0006-0000-0800-000037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38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800-000039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store recovery passwords and key packages to AD DS; do not enable BitLocker until recovery information is stored</t>
        </r>
        <r>
          <rPr>
            <sz val="11"/>
            <color rgb="FF000000"/>
            <rFont val="Calibri"/>
          </rPr>
          <t>'</t>
        </r>
      </text>
    </comment>
    <comment ref="K100" authorId="0" shapeId="0" xr:uid="{00000000-0006-0000-0800-00003A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L100" authorId="0" shapeId="0" xr:uid="{00000000-0006-0000-0800-00003B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text>
    </comment>
    <comment ref="M100" authorId="0" shapeId="0" xr:uid="{00000000-0006-0000-0800-00003C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800-00003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text>
    </comment>
    <comment ref="I202" authorId="0" shapeId="0" xr:uid="{00000000-0006-0000-0A00-000016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text>
    </comment>
    <comment ref="K202" authorId="0" shapeId="0" xr:uid="{00000000-0006-0000-0A00-00000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text>
    </comment>
    <comment ref="M202" authorId="0" shapeId="0" xr:uid="{00000000-0006-0000-0A00-000005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2" authorId="0" shapeId="0" xr:uid="{00000000-0006-0000-0A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2" authorId="0" shapeId="0" xr:uid="{00000000-0006-0000-0A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2" authorId="0" shapeId="0" xr:uid="{00000000-0006-0000-0A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2" authorId="0" shapeId="0" xr:uid="{00000000-0006-0000-0A00-000011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02" authorId="0" shapeId="0" xr:uid="{00000000-0006-0000-0A00-000012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02" authorId="0" shapeId="0" xr:uid="{00000000-0006-0000-0A00-000013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02" authorId="0" shapeId="0" xr:uid="{00000000-0006-0000-0A00-000014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02" authorId="0" shapeId="0" xr:uid="{00000000-0006-0000-0A00-000015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17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1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5" authorId="0" shapeId="0" xr:uid="{00000000-0006-0000-0A00-000019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5" authorId="0" shapeId="0" xr:uid="{00000000-0006-0000-0A00-00001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L205" authorId="0" shapeId="0" xr:uid="{00000000-0006-0000-0A00-00001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M205" authorId="0" shapeId="0" xr:uid="{00000000-0006-0000-0A00-00001C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text>
    </comment>
    <comment ref="N205" authorId="0" shapeId="0" xr:uid="{00000000-0006-0000-0A00-00001D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E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text>
    </comment>
    <comment ref="P205" authorId="0" shapeId="0" xr:uid="{00000000-0006-0000-0A00-00001F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20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2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5" authorId="0" shapeId="0" xr:uid="{00000000-0006-0000-0A00-00002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5" authorId="0" shapeId="0" xr:uid="{00000000-0006-0000-0A00-000023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5" authorId="0" shapeId="0" xr:uid="{00000000-0006-0000-0A00-00002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5" authorId="0" shapeId="0" xr:uid="{00000000-0006-0000-0A00-000025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05" authorId="0" shapeId="0" xr:uid="{00000000-0006-0000-0A00-000026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2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2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7" authorId="0" shapeId="0" xr:uid="{00000000-0006-0000-0A00-000029000000}">
      <text>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212" authorId="0" shapeId="0" xr:uid="{00000000-0006-0000-0A00-00002A000000}">
      <text>
        <r>
          <rPr>
            <sz val="11"/>
            <rFont val="Calibri"/>
          </rPr>
          <t xml:space="preserve">Ensure </t>
        </r>
        <r>
          <rPr>
            <sz val="11"/>
            <color rgb="FF000000"/>
            <rFont val="Calibri"/>
          </rPr>
          <t>'</t>
        </r>
        <r>
          <rPr>
            <b/>
            <sz val="11"/>
            <color rgb="FF000000"/>
            <rFont val="Calibri"/>
          </rPr>
          <t>Choose drive encryption method and cipher strength (Windows 10 [Version 1511] and later)</t>
        </r>
        <r>
          <rPr>
            <sz val="11"/>
            <color rgb="FF000000"/>
            <rFont val="Calibri"/>
          </rPr>
          <t>'</t>
        </r>
        <r>
          <rPr>
            <sz val="11"/>
            <color rgb="FF000000"/>
            <rFont val="Calibri"/>
          </rPr>
          <t xml:space="preserve"> is set to </t>
        </r>
        <r>
          <rPr>
            <sz val="11"/>
            <color rgb="FF000000"/>
            <rFont val="Calibri"/>
          </rPr>
          <t>'</t>
        </r>
        <r>
          <rPr>
            <b/>
            <sz val="11"/>
            <color rgb="FF000000"/>
            <rFont val="Calibri"/>
          </rPr>
          <t>Enabled: XTS-AES 128-bit for OS and fixed drives, XTS-AES 128-bit for removable drives</t>
        </r>
        <r>
          <rPr>
            <sz val="11"/>
            <color rgb="FF000000"/>
            <rFont val="Calibri"/>
          </rPr>
          <t>'</t>
        </r>
      </text>
    </comment>
    <comment ref="I212" authorId="0" shapeId="0" xr:uid="{00000000-0006-0000-0A00-00002B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backup recovery passwords and key packages to AD DS; do not enable BitLocker until recovery information is stored</t>
        </r>
        <r>
          <rPr>
            <sz val="11"/>
            <color rgb="FF000000"/>
            <rFont val="Calibri"/>
          </rPr>
          <t>'</t>
        </r>
      </text>
    </comment>
    <comment ref="J212" authorId="0" shapeId="0" xr:uid="{00000000-0006-0000-0A00-00002C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password complexity, minimum length 15</t>
        </r>
        <r>
          <rPr>
            <sz val="11"/>
            <color rgb="FF000000"/>
            <rFont val="Calibri"/>
          </rPr>
          <t>'</t>
        </r>
      </text>
    </comment>
    <comment ref="K212" authorId="0" shapeId="0" xr:uid="{00000000-0006-0000-0A00-00002D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2" authorId="0" shapeId="0" xr:uid="{00000000-0006-0000-0A00-00002E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M212" authorId="0" shapeId="0" xr:uid="{00000000-0006-0000-0A00-00002F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12" authorId="0" shapeId="0" xr:uid="{00000000-0006-0000-0A00-000030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2" authorId="0" shapeId="0" xr:uid="{00000000-0006-0000-0A00-00003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store recovery passwords and key packages to AD DS; do not enable BitLocker until recovery information is stored</t>
        </r>
        <r>
          <rPr>
            <sz val="11"/>
            <color rgb="FF000000"/>
            <rFont val="Calibri"/>
          </rPr>
          <t>'</t>
        </r>
      </text>
    </comment>
    <comment ref="P212" authorId="0" shapeId="0" xr:uid="{00000000-0006-0000-0A00-000032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Q212" authorId="0" shapeId="0" xr:uid="{00000000-0006-0000-0A00-000033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text>
    </comment>
    <comment ref="R212" authorId="0" shapeId="0" xr:uid="{00000000-0006-0000-0A00-000034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12" authorId="0" shapeId="0" xr:uid="{00000000-0006-0000-0A00-000035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7" authorId="0" shapeId="0" xr:uid="{00000000-0006-0000-0A00-00003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7" authorId="0" shapeId="0" xr:uid="{00000000-0006-0000-0A00-000037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17" authorId="0" shapeId="0" xr:uid="{00000000-0006-0000-0A00-000038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217" authorId="0" shapeId="0" xr:uid="{00000000-0006-0000-0A00-000039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7" authorId="0" shapeId="0" xr:uid="{00000000-0006-0000-0A00-00003A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17" authorId="0" shapeId="0" xr:uid="{00000000-0006-0000-0A00-00003B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7" authorId="0" shapeId="0" xr:uid="{00000000-0006-0000-0A00-00003C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8" authorId="0" shapeId="0" xr:uid="{00000000-0006-0000-0A00-00003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8" authorId="0" shapeId="0" xr:uid="{00000000-0006-0000-0A00-00003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18" authorId="0" shapeId="0" xr:uid="{00000000-0006-0000-0A00-00003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218" authorId="0" shapeId="0" xr:uid="{00000000-0006-0000-0A00-000040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0" authorId="0" shapeId="0" xr:uid="{00000000-0006-0000-0A00-000041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0" authorId="0" shapeId="0" xr:uid="{00000000-0006-0000-0A00-000042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0" authorId="0" shapeId="0" xr:uid="{00000000-0006-0000-0A00-000043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0" authorId="0" shapeId="0" xr:uid="{00000000-0006-0000-0A00-000044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7" authorId="0" shapeId="0" xr:uid="{00000000-0006-0000-0A00-000045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I227" authorId="0" shapeId="0" xr:uid="{00000000-0006-0000-0A00-000046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1" authorId="0" shapeId="0" xr:uid="{00000000-0006-0000-0A00-000047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31" authorId="0" shapeId="0" xr:uid="{00000000-0006-0000-0A00-000048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31" authorId="0" shapeId="0" xr:uid="{00000000-0006-0000-0A00-000049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31" authorId="0" shapeId="0" xr:uid="{00000000-0006-0000-0A00-00004A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31" authorId="0" shapeId="0" xr:uid="{00000000-0006-0000-0A00-00004B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31" authorId="0" shapeId="0" xr:uid="{00000000-0006-0000-0A00-00004C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31" authorId="0" shapeId="0" xr:uid="{00000000-0006-0000-0A00-00004D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31" authorId="0" shapeId="0" xr:uid="{00000000-0006-0000-0A00-00004E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31" authorId="0" shapeId="0" xr:uid="{00000000-0006-0000-0A00-00004F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31" authorId="0" shapeId="0" xr:uid="{00000000-0006-0000-0A00-000050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31" authorId="0" shapeId="0" xr:uid="{00000000-0006-0000-0A00-000051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31" authorId="0" shapeId="0" xr:uid="{00000000-0006-0000-0A00-000052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231" authorId="0" shapeId="0" xr:uid="{00000000-0006-0000-0A00-000053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31" authorId="0" shapeId="0" xr:uid="{00000000-0006-0000-0A00-000054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231" authorId="0" shapeId="0" xr:uid="{00000000-0006-0000-0A00-000055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231" authorId="0" shapeId="0" xr:uid="{00000000-0006-0000-0A00-000056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31" authorId="0" shapeId="0" xr:uid="{00000000-0006-0000-0A00-000057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31" authorId="0" shapeId="0" xr:uid="{00000000-0006-0000-0A00-000058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31" authorId="0" shapeId="0" xr:uid="{00000000-0006-0000-0A00-000059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1" authorId="0" shapeId="0" xr:uid="{00000000-0006-0000-0A00-00005A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H232" authorId="0" shapeId="0" xr:uid="{00000000-0006-0000-0A00-00005B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38" authorId="0" shapeId="0" xr:uid="{00000000-0006-0000-0A00-00005C00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5D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A00-00005E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2" authorId="0" shapeId="0" xr:uid="{00000000-0006-0000-0A00-00005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text>
    </comment>
    <comment ref="I242" authorId="0" shapeId="0" xr:uid="{00000000-0006-0000-0A00-00006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6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Secure Boot and DMA Protection, Enabled with UEFI lock for Code Integrity and Credential Guard, and Enabled in enforcement mode for Kernel-mode Stack Protection</t>
        </r>
      </text>
    </comment>
    <comment ref="I244" authorId="0" shapeId="0" xr:uid="{00000000-0006-0000-0A00-000062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J244" authorId="0" shapeId="0" xr:uid="{00000000-0006-0000-0A00-000063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244" authorId="0" shapeId="0" xr:uid="{00000000-0006-0000-0A00-000064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4" authorId="0" shapeId="0" xr:uid="{00000000-0006-0000-0A00-000065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H249" authorId="0" shapeId="0" xr:uid="{00000000-0006-0000-0A00-000066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I249" authorId="0" shapeId="0" xr:uid="{00000000-0006-0000-0A00-000067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text>
    </comment>
    <comment ref="H254" authorId="0" shapeId="0" xr:uid="{00000000-0006-0000-0A00-000068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I254" authorId="0" shapeId="0" xr:uid="{00000000-0006-0000-0A00-000069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4" authorId="0" shapeId="0" xr:uid="{00000000-0006-0000-0A00-00006A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4" authorId="0" shapeId="0" xr:uid="{00000000-0006-0000-0A00-00006B000000}">
      <text>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4" authorId="0" shapeId="0" xr:uid="{00000000-0006-0000-0A00-00006C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server address (when using WSUS)</t>
        </r>
      </text>
    </comment>
    <comment ref="H308" authorId="0" shapeId="0" xr:uid="{00000000-0006-0000-0A00-00006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A00-000075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J308" authorId="0" shapeId="0" xr:uid="{00000000-0006-0000-0A00-00007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A00-00007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A00-00007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7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A00-00007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7B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A00-00007C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8" authorId="0" shapeId="0" xr:uid="{00000000-0006-0000-0A00-00007D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R308" authorId="0" shapeId="0" xr:uid="{00000000-0006-0000-0A00-00007E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S308" authorId="0" shapeId="0" xr:uid="{00000000-0006-0000-0A00-00007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80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U308" authorId="0" shapeId="0" xr:uid="{00000000-0006-0000-0A00-000081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text>
    </comment>
    <comment ref="V308" authorId="0" shapeId="0" xr:uid="{00000000-0006-0000-0A00-000082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W308" authorId="0" shapeId="0" xr:uid="{00000000-0006-0000-0A00-000083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08" authorId="0" shapeId="0" xr:uid="{00000000-0006-0000-0A00-000084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08" authorId="0" shapeId="0" xr:uid="{00000000-0006-0000-0A00-000085000000}">
      <text>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08" authorId="0" shapeId="0" xr:uid="{00000000-0006-0000-0A00-000086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text>
    </comment>
    <comment ref="AA308" authorId="0" shapeId="0" xr:uid="{00000000-0006-0000-0A00-00008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8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308" authorId="0" shapeId="0" xr:uid="{00000000-0006-0000-0A00-00008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6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6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08" authorId="0" shapeId="0" xr:uid="{00000000-0006-0000-0A00-000070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7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8" authorId="0" shapeId="0" xr:uid="{00000000-0006-0000-0A00-00007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08" authorId="0" shapeId="0" xr:uid="{00000000-0006-0000-0A00-00007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08" authorId="0" shapeId="0" xr:uid="{00000000-0006-0000-0A00-00007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12" authorId="0" shapeId="0" xr:uid="{00000000-0006-0000-0A00-00008A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312" authorId="0" shapeId="0" xr:uid="{00000000-0006-0000-0A00-00008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2" authorId="0" shapeId="0" xr:uid="{00000000-0006-0000-0A00-00008C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2" authorId="0" shapeId="0" xr:uid="{00000000-0006-0000-0A00-00008D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5" authorId="0" shapeId="0" xr:uid="{00000000-0006-0000-0A00-00008E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A00-00008F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90000000}">
      <text>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text>
    </comment>
    <comment ref="K315" authorId="0" shapeId="0" xr:uid="{00000000-0006-0000-0A00-00009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H317" authorId="0" shapeId="0" xr:uid="{00000000-0006-0000-0A00-000092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text>
    </comment>
    <comment ref="I317" authorId="0" shapeId="0" xr:uid="{00000000-0006-0000-0A00-000093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text>
    </comment>
    <comment ref="J317" authorId="0" shapeId="0" xr:uid="{00000000-0006-0000-0A00-000094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text>
    </comment>
    <comment ref="K317" authorId="0" shapeId="0" xr:uid="{00000000-0006-0000-0A00-000095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7" authorId="0" shapeId="0" xr:uid="{00000000-0006-0000-0A00-000096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5" authorId="0" shapeId="0" xr:uid="{00000000-0006-0000-0A00-00009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I345" authorId="0" shapeId="0" xr:uid="{00000000-0006-0000-0A00-00009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J345" authorId="0" shapeId="0" xr:uid="{00000000-0006-0000-0A00-00009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9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345" authorId="0" shapeId="0" xr:uid="{00000000-0006-0000-0A00-00009B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M345" authorId="0" shapeId="0" xr:uid="{00000000-0006-0000-0A00-00009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N345" authorId="0" shapeId="0" xr:uid="{00000000-0006-0000-0A00-00009D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9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9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5" authorId="0" shapeId="0" xr:uid="{00000000-0006-0000-0A00-0000A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R345" authorId="0" shapeId="0" xr:uid="{00000000-0006-0000-0A00-0000A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S345" authorId="0" shapeId="0" xr:uid="{00000000-0006-0000-0A00-0000A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T345" authorId="0" shapeId="0" xr:uid="{00000000-0006-0000-0A00-0000A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U345" authorId="0" shapeId="0" xr:uid="{00000000-0006-0000-0A00-0000A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V345" authorId="0" shapeId="0" xr:uid="{00000000-0006-0000-0A00-0000A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H355" authorId="0" shapeId="0" xr:uid="{00000000-0006-0000-0A00-0000A6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NTP server</t>
        </r>
      </text>
    </comment>
    <comment ref="H356" authorId="0" shapeId="0" xr:uid="{00000000-0006-0000-0A00-0000A7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A00-0000A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56" authorId="0" shapeId="0" xr:uid="{00000000-0006-0000-0A00-0000A9000000}">
      <text>
        <r>
          <rPr>
            <sz val="11"/>
            <rFont val="Calibri"/>
          </rPr>
          <t xml:space="preserve">Ensure </t>
        </r>
        <r>
          <rPr>
            <sz val="11"/>
            <color rgb="FF000000"/>
            <rFont val="Calibri"/>
          </rPr>
          <t>'</t>
        </r>
        <r>
          <rPr>
            <b/>
            <sz val="11"/>
            <color rgb="FF000000"/>
            <rFont val="Calibri"/>
          </rPr>
          <t>Enable / disable CLFS log 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356" authorId="0" shapeId="0" xr:uid="{00000000-0006-0000-0A00-0000AA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L356" authorId="0" shapeId="0" xr:uid="{00000000-0006-0000-0A00-0000AB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M356" authorId="0" shapeId="0" xr:uid="{00000000-0006-0000-0A00-0000A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N356" authorId="0" shapeId="0" xr:uid="{00000000-0006-0000-0A00-0000A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O356" authorId="0" shapeId="0" xr:uid="{00000000-0006-0000-0A00-0000AE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56" authorId="0" shapeId="0" xr:uid="{00000000-0006-0000-0A00-0000AF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356" authorId="0" shapeId="0" xr:uid="{00000000-0006-0000-0A00-0000B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R356" authorId="0" shapeId="0" xr:uid="{00000000-0006-0000-0A00-0000B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A00-0000B2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356" authorId="0" shapeId="0" xr:uid="{00000000-0006-0000-0A00-0000B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B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B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W356" authorId="0" shapeId="0" xr:uid="{00000000-0006-0000-0A00-0000B6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X356" authorId="0" shapeId="0" xr:uid="{00000000-0006-0000-0A00-0000B7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B8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Z356" authorId="0" shapeId="0" xr:uid="{00000000-0006-0000-0A00-0000B9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A356" authorId="0" shapeId="0" xr:uid="{00000000-0006-0000-0A00-0000BA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B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C356" authorId="0" shapeId="0" xr:uid="{00000000-0006-0000-0A00-0000BC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D356" authorId="0" shapeId="0" xr:uid="{00000000-0006-0000-0A00-0000B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BE000000}">
      <text>
        <r>
          <rPr>
            <sz val="11"/>
            <rFont val="Calibri"/>
          </rPr>
          <t xml:space="preserve">Ensure </t>
        </r>
        <r>
          <rPr>
            <sz val="11"/>
            <color rgb="FF000000"/>
            <rFont val="Calibri"/>
          </rPr>
          <t>'</t>
        </r>
        <r>
          <rPr>
            <b/>
            <sz val="11"/>
            <color rgb="FF000000"/>
            <rFont val="Calibri"/>
          </rPr>
          <t>Log Enhanced Domain-wide NTLM Logs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56" authorId="0" shapeId="0" xr:uid="{00000000-0006-0000-0A00-0000BF000000}">
      <text>
        <r>
          <rPr>
            <sz val="11"/>
            <rFont val="Calibri"/>
          </rPr>
          <t xml:space="preserve">Ensure </t>
        </r>
        <r>
          <rPr>
            <sz val="11"/>
            <color rgb="FF000000"/>
            <rFont val="Calibri"/>
          </rPr>
          <t>'</t>
        </r>
        <r>
          <rPr>
            <b/>
            <sz val="11"/>
            <color rgb="FF000000"/>
            <rFont val="Calibri"/>
          </rPr>
          <t>NTLM Enhanced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56" authorId="0" shapeId="0" xr:uid="{00000000-0006-0000-0A00-0000C0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Module Names: *</t>
        </r>
        <r>
          <rPr>
            <sz val="11"/>
            <color rgb="FF000000"/>
            <rFont val="Calibri"/>
          </rPr>
          <t>'</t>
        </r>
      </text>
    </comment>
    <comment ref="AH356" authorId="0" shapeId="0" xr:uid="{00000000-0006-0000-0A00-0000C1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56" authorId="0" shapeId="0" xr:uid="{00000000-0006-0000-0A00-0000C2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 Transcript output directory: &lt;organisation defined&gt;</t>
        </r>
        <r>
          <rPr>
            <sz val="11"/>
            <color rgb="FF000000"/>
            <rFont val="Calibri"/>
          </rPr>
          <t>'</t>
        </r>
      </text>
    </comment>
    <comment ref="H368" authorId="0" shapeId="0" xr:uid="{00000000-0006-0000-0A00-0000C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(Application) is set to </t>
        </r>
        <r>
          <rPr>
            <sz val="11"/>
            <color rgb="FF000000"/>
            <rFont val="Calibri"/>
          </rPr>
          <t>'</t>
        </r>
        <r>
          <rPr>
            <b/>
            <sz val="11"/>
            <color rgb="FF000000"/>
            <rFont val="Calibri"/>
          </rPr>
          <t>Enabled: 65536 or greater</t>
        </r>
        <r>
          <rPr>
            <sz val="11"/>
            <color rgb="FF000000"/>
            <rFont val="Calibri"/>
          </rPr>
          <t>'</t>
        </r>
      </text>
    </comment>
    <comment ref="I368" authorId="0" shapeId="0" xr:uid="{00000000-0006-0000-0A00-0000C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(Security) is set to </t>
        </r>
        <r>
          <rPr>
            <sz val="11"/>
            <color rgb="FF000000"/>
            <rFont val="Calibri"/>
          </rPr>
          <t>'</t>
        </r>
        <r>
          <rPr>
            <b/>
            <sz val="11"/>
            <color rgb="FF000000"/>
            <rFont val="Calibri"/>
          </rPr>
          <t>Enabled: 2097152 or greater</t>
        </r>
        <r>
          <rPr>
            <sz val="11"/>
            <color rgb="FF000000"/>
            <rFont val="Calibri"/>
          </rPr>
          <t>'</t>
        </r>
      </text>
    </comment>
    <comment ref="J368" authorId="0" shapeId="0" xr:uid="{00000000-0006-0000-0A00-0000C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(System) is set to </t>
        </r>
        <r>
          <rPr>
            <sz val="11"/>
            <color rgb="FF000000"/>
            <rFont val="Calibri"/>
          </rPr>
          <t>'</t>
        </r>
        <r>
          <rPr>
            <b/>
            <sz val="11"/>
            <color rgb="FF000000"/>
            <rFont val="Calibri"/>
          </rPr>
          <t>Enabled: 65536 or greater</t>
        </r>
        <r>
          <rPr>
            <sz val="11"/>
            <color rgb="FF000000"/>
            <rFont val="Calibri"/>
          </rPr>
          <t>'</t>
        </r>
      </text>
    </comment>
  </commentList>
</comments>
</file>

<file path=xl/sharedStrings.xml><?xml version="1.0" encoding="utf-8"?>
<sst xmlns="http://schemas.openxmlformats.org/spreadsheetml/2006/main" count="16145" uniqueCount="6427">
  <si>
    <t>Section</t>
  </si>
  <si>
    <t>Id</t>
  </si>
  <si>
    <t>Title</t>
  </si>
  <si>
    <t>Priority</t>
  </si>
  <si>
    <t>Context</t>
  </si>
  <si>
    <t>Assessment</t>
  </si>
  <si>
    <t>MoSCoW</t>
  </si>
  <si>
    <t>OpsImpact</t>
  </si>
  <si>
    <t>Phase</t>
  </si>
  <si>
    <t>ImplStatus</t>
  </si>
  <si>
    <t>Notes</t>
  </si>
  <si>
    <t>Remediation</t>
  </si>
  <si>
    <t>Description</t>
  </si>
  <si>
    <t>Rationale</t>
  </si>
  <si>
    <t>Impact</t>
  </si>
  <si>
    <t>Audit</t>
  </si>
  <si>
    <t>Default</t>
  </si>
  <si>
    <t>Status</t>
  </si>
  <si>
    <t>LogID</t>
  </si>
  <si>
    <t>Application hardening</t>
  </si>
  <si>
    <t>High-01.00</t>
  </si>
  <si>
    <r>
      <rPr>
        <b/>
        <sz val="11"/>
        <color rgb="FF003B5C"/>
        <rFont val="Calibri"/>
      </rPr>
      <t>Section overview: 'Application hardening'</t>
    </r>
  </si>
  <si>
    <t>High</t>
  </si>
  <si>
    <t>Computer</t>
  </si>
  <si>
    <t>Manual</t>
  </si>
  <si>
    <t>Unassigned</t>
  </si>
  <si>
    <t>Unassessed</t>
  </si>
  <si>
    <t>Pending</t>
  </si>
  <si>
    <t/>
  </si>
  <si>
    <r>
      <rPr>
        <sz val="11"/>
        <color rgb="FF000000"/>
        <rFont val="Calibri"/>
      </rPr>
      <t xml:space="preserve">Review installed applications and enable all in-built security functionality while disabling unrequired functionality. Follow vendor-supplied security baselines where available. Refer to the ASD </t>
    </r>
    <r>
      <rPr>
        <sz val="11"/>
        <color rgb="FF0000FF"/>
        <rFont val="Calibri"/>
      </rPr>
      <t>(https://www.cyber.gov.au/resources-business-and-government/maintaining-devices-and-systems/system-hardening-and-administration/system-hardening/hardening-microsoft-365-office-2021-office-2019-and-office-2016)</t>
    </r>
    <r>
      <rPr>
        <sz val="11"/>
        <color rgb="FF000000"/>
        <rFont val="Calibri"/>
      </rPr>
      <t>Hardening Microsoft 365, Office 2021, Office 2019 and Office 2016 publication for guidance specific to Microsoft Office.</t>
    </r>
  </si>
  <si>
    <r>
      <rPr>
        <sz val="11"/>
        <color rgb="FF000000"/>
        <rFont val="Calibri"/>
      </rPr>
      <t xml:space="preserve">When applications are installed they are often not pre-configured in a secure state. By default, many applications enable functionality that is not required by any users while in-built security functionality may be disabled or set at a lower security level. For example, Microsoft Office by default allows untrusted macros in Office documents to automatically execute without user interaction. To reduce this risk, applications should have any in-built security functionality enabled and appropriately configured along with unrequired functionality disabled. This is especially important for key applications such as office productivity suites (e.g. Microsoft Office), PDF readers (e.g. Adobe Reader), web browsers (e.g. Microsoft Edge, Mozilla Firefox or Google Chrome), common web browser plugins (e.g. Adobe Flash), email clients (Microsoft Outlook) and software platforms (e.g. Oracle Java Platform and Microsoft .NET Framework). In addition, vendors may provide guidance on configuring their products securely. For example, Microsoft provides security baselines for their products on the Microsoft Security Baselines Blog </t>
    </r>
    <r>
      <rPr>
        <sz val="11"/>
        <color rgb="FF0000FF"/>
        <rFont val="Calibri"/>
      </rPr>
      <t>(https://techcommunity.microsoft.com/t5/microsoft-security-baselines/bg-p/Microsoft-Security-Baselines)</t>
    </r>
    <r>
      <rPr>
        <sz val="11"/>
        <color rgb="FF000000"/>
        <rFont val="Calibri"/>
      </rPr>
      <t>. In such cases, vendor guidance should be followed to assist in securely configuring their products.</t>
    </r>
    <r>
      <rPr>
        <sz val="11"/>
        <color rgb="FF000000"/>
        <rFont val="Calibri"/>
      </rPr>
      <t xml:space="preserve">
</t>
    </r>
    <r>
      <rPr>
        <sz val="11"/>
        <color rgb="FF000000"/>
        <rFont val="Calibri"/>
      </rPr>
      <t xml:space="preserve">The Australian Signals Directorate also provides guidance for hardening Microsoft Office. For more information see the </t>
    </r>
    <r>
      <rPr>
        <sz val="11"/>
        <color rgb="FF0000FF"/>
        <rFont val="Calibri"/>
      </rPr>
      <t>(https://www.cyber.gov.au/resources-business-and-government/maintaining-devices-and-systems/system-hardening-and-administration/system-hardening/hardening-microsoft-365-office-2021-office-2019-and-office-2016)</t>
    </r>
    <r>
      <rPr>
        <sz val="11"/>
        <color rgb="FF000000"/>
        <rFont val="Calibri"/>
      </rPr>
      <t>Hardening Microsoft 365, Office 2021, Office 2019 and Office 2016 publication.</t>
    </r>
  </si>
  <si>
    <t>Application versions and patches</t>
  </si>
  <si>
    <t>High-02.00</t>
  </si>
  <si>
    <r>
      <rPr>
        <b/>
        <sz val="11"/>
        <color rgb="FF003B5C"/>
        <rFont val="Calibri"/>
      </rPr>
      <t>Section overview: 'Application versions and patches'</t>
    </r>
  </si>
  <si>
    <r>
      <rPr>
        <sz val="11"/>
        <color rgb="FF000000"/>
        <rFont val="Calibri"/>
      </rPr>
      <t>Establish a patch management process that tracks and applies new application versions and patches in a timeframe commensurate with the severity of the vulnerabilities they address.</t>
    </r>
  </si>
  <si>
    <r>
      <rPr>
        <sz val="11"/>
        <color rgb="FF000000"/>
        <rFont val="Calibri"/>
      </rPr>
      <t>While some vendors may release new application versions to address vulnerabilities, others may release patches. If new application versions and patches for applications are not installed it can allow malicious actors to easily compromise workstations. This is especially important for key applications that interact with content from untrusted sources such as office productivity suites (e.g. Microsoft Office), PDF readers (e.g. Adobe Reader), web browsers (e.g. Microsoft Edge, Mozilla Firefox or Google Chrome), common web browser plugins (e.g. Adobe Flash), email clients (Microsoft Outlook) and software platforms (e.g. Oracle Java Platform and Microsoft .NET Framework). To reduce this risk, new application versions and patches for applications should be applied in an appropriate timeframe as determined by the severity of vulnerabilities they address and any mitigating measures already in place. In cases where a previous version of an application continues to receive support in the form of patches, it still should be upgraded to the latest version to receive the benefit of any new security functionality.</t>
    </r>
    <r>
      <rPr>
        <sz val="11"/>
        <color rgb="FF000000"/>
        <rFont val="Calibri"/>
      </rPr>
      <t xml:space="preserve">
</t>
    </r>
    <r>
      <rPr>
        <sz val="11"/>
        <color rgb="FF000000"/>
        <rFont val="Calibri"/>
      </rPr>
      <t xml:space="preserve">For more information see the Patching applications and operating systems publication </t>
    </r>
    <r>
      <rPr>
        <sz val="11"/>
        <color rgb="FF0000FF"/>
        <rFont val="Calibri"/>
      </rPr>
      <t>(https://www.cyber.gov.au/resources-business-and-government/maintaining-devices-and-systems/system-hardening-and-administration/system-hardening/patching-applications-and-operating-systems)</t>
    </r>
    <r>
      <rPr>
        <sz val="11"/>
        <color rgb="FF000000"/>
        <rFont val="Calibri"/>
      </rPr>
      <t>.</t>
    </r>
  </si>
  <si>
    <t>Application control</t>
  </si>
  <si>
    <t>High-03.00</t>
  </si>
  <si>
    <r>
      <rPr>
        <b/>
        <sz val="11"/>
        <color rgb="FF003B5C"/>
        <rFont val="Calibri"/>
      </rPr>
      <t>Section overview: 'Application control'</t>
    </r>
  </si>
  <si>
    <r>
      <rPr>
        <sz val="11"/>
        <color rgb="FF000000"/>
        <rFont val="Calibri"/>
      </rPr>
      <t>Implement and maintain an application control solution. Define application control rules from a known-good baseline rather than from existing workstation content. Regularly review the ruleset to ensure it remains fit for purpose.</t>
    </r>
  </si>
  <si>
    <r>
      <rPr>
        <sz val="11"/>
        <color rgb="FF000000"/>
        <rFont val="Calibri"/>
      </rPr>
      <t>Malicious actors can email malicious code, or host malicious code on a compromised website, and use social engineering techniques to convince users into executing it. Such malicious code often aims to exploit vulnerabilities in existing applications and does not need to be installed to be successful. Application control can be an extremely effective mechanism in not only preventing malicious code from executing, but also ensuring only approved applications can be installed.</t>
    </r>
    <r>
      <rPr>
        <sz val="11"/>
        <color rgb="FF000000"/>
        <rFont val="Calibri"/>
      </rPr>
      <t xml:space="preserve">
</t>
    </r>
    <r>
      <rPr>
        <sz val="11"/>
        <color rgb="FF000000"/>
        <rFont val="Calibri"/>
      </rPr>
      <t>When developing application control rules, starting from scratch is a more secure method than relying on a list of executable content currently residing on a workstation. Furthermore, it is preferable that organisations define their own application control ruleset rather than relying on rulesets from application control vendors. This application control ruleset should then be regularly assessed to determine if it remains fit for purpose.</t>
    </r>
    <r>
      <rPr>
        <sz val="11"/>
        <color rgb="FF000000"/>
        <rFont val="Calibri"/>
      </rPr>
      <t xml:space="preserve">
</t>
    </r>
    <r>
      <rPr>
        <sz val="11"/>
        <color rgb="FF000000"/>
        <rFont val="Calibri"/>
      </rPr>
      <t xml:space="preserve">For more information see the Implementing application control publication </t>
    </r>
    <r>
      <rPr>
        <sz val="11"/>
        <color rgb="FF0000FF"/>
        <rFont val="Calibri"/>
      </rPr>
      <t>(https://www.cyber.gov.au/resources-business-and-government/maintaining-devices-and-systems/system-hardening-and-administration/system-hardening/implementing-application-control)</t>
    </r>
    <r>
      <rPr>
        <sz val="11"/>
        <color rgb="FF000000"/>
        <rFont val="Calibri"/>
      </rPr>
      <t>.</t>
    </r>
  </si>
  <si>
    <t>Attack surface reduction</t>
  </si>
  <si>
    <t>High-04.00</t>
  </si>
  <si>
    <r>
      <rPr>
        <b/>
        <sz val="11"/>
        <color rgb="FF003B5C"/>
        <rFont val="Calibri"/>
      </rPr>
      <t>Section overview: 'Attack surface reduction'</t>
    </r>
  </si>
  <si>
    <r>
      <rPr>
        <sz val="11"/>
        <color rgb="FF000000"/>
        <rFont val="Calibri"/>
      </rPr>
      <t xml:space="preserve">Ensure Microsoft Defender Antivirus is configured as the primary real-time antivirus scanning engine. Enable the </t>
    </r>
    <r>
      <rPr>
        <b/>
        <sz val="11"/>
        <color rgb="FF000000"/>
        <rFont val="Calibri"/>
      </rPr>
      <t>Configure Attack Surface Reduction rules</t>
    </r>
    <r>
      <rPr>
        <sz val="11"/>
        <color rgb="FF000000"/>
        <rFont val="Calibri"/>
      </rPr>
      <t xml:space="preserve"> Group Policy setting and set all sixteen ASR rules to state </t>
    </r>
    <r>
      <rPr>
        <b/>
        <sz val="11"/>
        <color rgb="FF000000"/>
        <rFont val="Calibri"/>
      </rPr>
      <t>1</t>
    </r>
    <r>
      <rPr>
        <sz val="11"/>
        <color rgb="FF000000"/>
        <rFont val="Calibri"/>
      </rPr>
      <t xml:space="preserve"> (Block) as detailed in recommendations </t>
    </r>
    <r>
      <rPr>
        <b/>
        <sz val="11"/>
        <color rgb="FF000000"/>
        <rFont val="Calibri"/>
      </rPr>
      <t>High-04.01</t>
    </r>
    <r>
      <rPr>
        <sz val="11"/>
        <color rgb="FF000000"/>
        <rFont val="Calibri"/>
      </rPr>
      <t xml:space="preserve"> through </t>
    </r>
    <r>
      <rPr>
        <b/>
        <sz val="11"/>
        <color rgb="FF000000"/>
        <rFont val="Calibri"/>
      </rPr>
      <t>High-04.16</t>
    </r>
    <r>
      <rPr>
        <sz val="11"/>
        <color rgb="FF000000"/>
        <rFont val="Calibri"/>
      </rPr>
      <t>.</t>
    </r>
  </si>
  <si>
    <r>
      <rPr>
        <sz val="11"/>
        <color rgb="FF0000FF"/>
        <rFont val="Calibri"/>
      </rPr>
      <t>(https://docs.microsoft.com/en-us/windows/security/threat-protection/microsoft-defender-atp/attack-surface-reduction)</t>
    </r>
    <r>
      <rPr>
        <sz val="11"/>
        <color rgb="FF000000"/>
        <rFont val="Calibri"/>
      </rPr>
      <t xml:space="preserve">Attack surface reduction (ASR), a security feature of Microsoft Windows 11, forms part of Microsoft Defender Exploit Guard. It is designed to combat the threat of malware exploiting legitimate functionality in Microsoft Office applications. In order to use ASR, Microsoft Defender Antivirus must be configured as the primary real-time antivirus scanning engine on workstations. ASR offers sixteen rules, each identified by a Globally Unique Identifier (GUID), all of which are recommended to be set to </t>
    </r>
    <r>
      <rPr>
        <b/>
        <sz val="11"/>
        <color rgb="FF000000"/>
        <rFont val="Calibri"/>
      </rPr>
      <t>Block</t>
    </r>
    <r>
      <rPr>
        <sz val="11"/>
        <color rgb="FF000000"/>
        <rFont val="Calibri"/>
      </rPr>
      <t xml:space="preserve"> (state </t>
    </r>
    <r>
      <rPr>
        <b/>
        <sz val="11"/>
        <color rgb="FF000000"/>
        <rFont val="Calibri"/>
      </rPr>
      <t>1</t>
    </r>
    <r>
      <rPr>
        <sz val="11"/>
        <color rgb="FF000000"/>
        <rFont val="Calibri"/>
      </rPr>
      <t>).</t>
    </r>
    <r>
      <rPr>
        <sz val="11"/>
        <color rgb="FF000000"/>
        <rFont val="Calibri"/>
      </rPr>
      <t xml:space="preserve">
</t>
    </r>
    <r>
      <rPr>
        <sz val="11"/>
        <color rgb="FF000000"/>
        <rFont val="Calibri"/>
      </rPr>
      <t>Organisations should either implement ASR using Microsoft Defender Antivirus or use third-party antivirus solutions that offer similar functionality. Individual recommendations for each ASR rule follow this introduction.</t>
    </r>
  </si>
  <si>
    <t>High-04.01</t>
  </si>
  <si>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</si>
  <si>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t>Automated</t>
  </si>
  <si>
    <r>
      <rPr>
        <sz val="11"/>
        <color rgb="FF000000"/>
        <rFont val="Calibri"/>
      </rPr>
      <t xml:space="preserve">Set the following UI path to </t>
    </r>
    <r>
      <rPr>
        <b/>
        <sz val="11"/>
        <color rgb="FF000000"/>
        <rFont val="Calibri"/>
      </rPr>
      <t>56a863a9-875e-4185-98a7-b882c64b5ce5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</si>
  <si>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an application from writing a vulnerable signed driver to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56a863a9-875e-4185-98a7-b882c64b5ce5</t>
    </r>
    <r>
      <rPr>
        <sz val="11"/>
        <color rgb="FF000000"/>
        <rFont val="Calibri"/>
      </rPr>
      <t xml:space="preserve"> (Block abuse of exploited vulnerable signed drivers)</t>
    </r>
    <r>
      <rPr>
        <sz val="11"/>
        <color rgb="FF000000"/>
        <rFont val="Calibri"/>
      </rPr>
      <t xml:space="preserve">
</t>
    </r>
    <r>
      <rPr>
        <sz val="11"/>
        <color rgb="FF000000"/>
        <rFont val="Calibri"/>
      </rPr>
      <t xml:space="preserve">The recommended state for this setting is: </t>
    </r>
    <r>
      <rPr>
        <b/>
        <sz val="11"/>
        <color rgb="FF000000"/>
        <rFont val="Calibri"/>
      </rPr>
      <t>56a863a9-875e-4185-98a7-b882c64b5ce5:1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Block abuse of exploited vulnerable signed drivers</t>
    </r>
    <r>
      <rPr>
        <sz val="11"/>
        <color rgb="FF000000"/>
        <rFont val="Calibri"/>
      </rPr>
      <t xml:space="preserve"> setting does not block a driver that already exists on the system from being loaded.</t>
    </r>
  </si>
  <si>
    <r>
      <rPr>
        <sz val="11"/>
        <color rgb="FF000000"/>
        <rFont val="Calibri"/>
      </rPr>
      <t>Attack surface reduction helps prevent actions and apps that are typically used by exploit-seeking malware to infect systems.</t>
    </r>
    <r>
      <rPr>
        <sz val="11"/>
        <color rgb="FF000000"/>
        <rFont val="Calibri"/>
      </rPr>
      <t xml:space="preserve">
</t>
    </r>
    <r>
      <rPr>
        <sz val="11"/>
        <color rgb="FF000000"/>
        <rFont val="Calibri"/>
      </rPr>
      <t>Vulnerable signed drivers can be exploited by local applications that have sufficient privileges to gain access to the kernel. This enables threat actors to disable or circumvent security solutions, eventually leading to system compromise.</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</si>
  <si>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</si>
  <si>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</si>
  <si>
    <r>
      <rPr>
        <sz val="11"/>
        <color rgb="FF000000"/>
        <rFont val="Calibri"/>
      </rPr>
      <t>Disabled. (No ASR rules will be configured.)</t>
    </r>
  </si>
  <si>
    <t>High-04.02</t>
  </si>
  <si>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</si>
  <si>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7674ba52-37eb-4a4f-a9a1-f0f9a1619a2c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</si>
  <si>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Adobe Reader from creating processes.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7674ba52-37eb-4a4f-a9a1-f0f9a1619a2c</t>
    </r>
    <r>
      <rPr>
        <sz val="11"/>
        <color rgb="FF000000"/>
        <rFont val="Calibri"/>
      </rPr>
      <t xml:space="preserve"> (Block Adobe Reader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7674ba52-37eb-4a4f-a9a1-f0f9a1619a2c:1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</si>
  <si>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can download and launch payloads and break out of Adobe Reader through social engineering or exploits. By blocking child processes from being generated by Adobe Reader, malware attempting to use Adobe Reader as an attack vector are prevented from spreading.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</si>
  <si>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</si>
  <si>
    <t>High-04.03</t>
  </si>
  <si>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</si>
  <si>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d4f940ab-401b-4efc-aadc-ad5f3c50688a</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</si>
  <si>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Office apps from creating child processes. Office apps include Word, Excel, PowerPoint, OneNote, and Access.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d4f940ab-401b-4efc-aadc-ad5f3c50688a</t>
    </r>
    <r>
      <rPr>
        <sz val="11"/>
        <color rgb="FF000000"/>
        <rFont val="Calibri"/>
      </rPr>
      <t xml:space="preserve"> (Block all Office applications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d4f940ab-401b-4efc-aadc-ad5f3c50688a:2</t>
    </r>
    <r>
      <rPr>
        <sz val="11"/>
        <color rgb="FF000000"/>
        <rFont val="Calibri"/>
      </rPr>
      <t xml:space="preserve"> (Audit) or higher. Configuring this setting to </t>
    </r>
    <r>
      <rPr>
        <b/>
        <sz val="11"/>
        <color rgb="FF000000"/>
        <rFont val="Calibri"/>
      </rPr>
      <t>d4f940ab-401b-4efc-aadc-ad5f3c50688a:1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</si>
  <si>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Creating malicious child processes is a common malware strategy. Malware that abuses Office as a vector often runs VBA macros and exploit code to download and attempt to run more payloads. However, some legitimate line-of-business applications might also generate child processes for benign purposes, such as spawning a command prompt or using PowerShell to configure registry settings.</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</si>
  <si>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</si>
  <si>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</si>
  <si>
    <t>High-04.04</t>
  </si>
  <si>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</si>
  <si>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9e6c4e1f-7d60-472f-ba1a-a39ef669e4b2</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</si>
  <si>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helps prevent credential stealing by locking down Local Security Authority Subsystem Service (LSASS).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9e6c4e1f-7d60-472f-ba1a-a39ef669e4b2</t>
    </r>
    <r>
      <rPr>
        <sz val="11"/>
        <color rgb="FF000000"/>
        <rFont val="Calibri"/>
      </rPr>
      <t xml:space="preserve"> (Block credential stealing from the Windows local security authority subsystem (lsass.exe))</t>
    </r>
    <r>
      <rPr>
        <sz val="11"/>
        <color rgb="FF000000"/>
        <rFont val="Calibri"/>
      </rPr>
      <t xml:space="preserve">
</t>
    </r>
    <r>
      <rPr>
        <sz val="11"/>
        <color rgb="FF000000"/>
        <rFont val="Calibri"/>
      </rPr>
      <t xml:space="preserve">The recommended state for this setting is: </t>
    </r>
    <r>
      <rPr>
        <b/>
        <sz val="11"/>
        <color rgb="FF000000"/>
        <rFont val="Calibri"/>
      </rPr>
      <t>9e6c4e1f-7d60-472f-ba1a-a39ef669e4b2:1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</si>
  <si>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LSASS authenticates users who sign in on a Windows computer. Microsoft Defender Credential Guard in Windows normally prevents attempts to extract credentials from LSASS. Some organizations can't enable Credential Guard on all of their computers because of compatibility issues with custom smartcard drivers or other programs that load into the Local Security Authority (LSA). In these cases, attackers can use tools like Mimikatz to scrape cleartext passwords and NTLM hashes from LSASS.</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</si>
  <si>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Enabling this rule doesn't provide additional protection if LSA protection is enabled since the ASR rule and LSA protection work similarly. However, when LSA protection cannot be enabled, this rule can be configured to provide equivalent protection against malware that target </t>
    </r>
    <r>
      <rPr>
        <b/>
        <sz val="11"/>
        <color rgb="FF000000"/>
        <rFont val="Calibri"/>
      </rPr>
      <t>lsass.exe</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</si>
  <si>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</si>
  <si>
    <t>High-04.05</t>
  </si>
  <si>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</si>
  <si>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be9ba2d9-53ea-4cdc-84e5-9b1eeee46550</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</si>
  <si>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email opened within the Microsoft Outlook application, or Outlook.com and other popular webmail providers from propagating the following file types:</t>
    </r>
    <r>
      <rPr>
        <sz val="11"/>
        <color rgb="FF000000"/>
        <rFont val="Calibri"/>
      </rPr>
      <t xml:space="preserve">
</t>
    </r>
    <r>
      <rPr>
        <sz val="11"/>
        <color rgb="FF000000"/>
        <rFont val="Calibri"/>
      </rPr>
      <t>- Executable files (such as .exe, .dll, or .scr)</t>
    </r>
    <r>
      <rPr>
        <sz val="11"/>
        <color rgb="FF000000"/>
        <rFont val="Calibri"/>
      </rPr>
      <t xml:space="preserve">
</t>
    </r>
    <r>
      <rPr>
        <sz val="11"/>
        <color rgb="FF000000"/>
        <rFont val="Calibri"/>
      </rPr>
      <t>- Script files (such as a PowerShell .ps1, Visual Basic .vbs, or JavaScript .js file)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be9ba2d9-53ea-4cdc-84e5-9b1eeee46550</t>
    </r>
    <r>
      <rPr>
        <sz val="11"/>
        <color rgb="FF000000"/>
        <rFont val="Calibri"/>
      </rPr>
      <t xml:space="preserve"> (Block executable content from email client and webmail)</t>
    </r>
    <r>
      <rPr>
        <sz val="11"/>
        <color rgb="FF000000"/>
        <rFont val="Calibri"/>
      </rPr>
      <t xml:space="preserve">
</t>
    </r>
    <r>
      <rPr>
        <sz val="11"/>
        <color rgb="FF000000"/>
        <rFont val="Calibri"/>
      </rPr>
      <t xml:space="preserve">The recommended state for this setting is: </t>
    </r>
    <r>
      <rPr>
        <b/>
        <sz val="11"/>
        <color rgb="FF000000"/>
        <rFont val="Calibri"/>
      </rPr>
      <t>be9ba2d9-53ea-4cdc-84e5-9b1eeee46550:1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</si>
  <si>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</si>
  <si>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</si>
  <si>
    <t>High-04.06</t>
  </si>
  <si>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</si>
  <si>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01443614-cd74-433a-b99e-2ecdc07bfc25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</si>
  <si>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executable files, such as .exe, .dll, or .scr, from launching.</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01443614-cd74-433a-b99e-2ecdc07bfc25</t>
    </r>
    <r>
      <rPr>
        <sz val="11"/>
        <color rgb="FF000000"/>
        <rFont val="Calibri"/>
      </rPr>
      <t xml:space="preserve"> (Block executable files from running unless they meet a prevalence, age, or trusted list criterion)</t>
    </r>
    <r>
      <rPr>
        <sz val="11"/>
        <color rgb="FF000000"/>
        <rFont val="Calibri"/>
      </rPr>
      <t xml:space="preserve">
</t>
    </r>
    <r>
      <rPr>
        <sz val="11"/>
        <color rgb="FF000000"/>
        <rFont val="Calibri"/>
      </rPr>
      <t xml:space="preserve">The recommended state for this setting is: </t>
    </r>
    <r>
      <rPr>
        <b/>
        <sz val="11"/>
        <color rgb="FF000000"/>
        <rFont val="Calibri"/>
      </rPr>
      <t>01443614-cd74-433a-b99e-2ecdc07bfc25:2</t>
    </r>
    <r>
      <rPr>
        <sz val="11"/>
        <color rgb="FF000000"/>
        <rFont val="Calibri"/>
      </rPr>
      <t xml:space="preserve"> (Audit) or higher. Configuring this setting to </t>
    </r>
    <r>
      <rPr>
        <b/>
        <sz val="11"/>
        <color rgb="FF000000"/>
        <rFont val="Calibri"/>
      </rPr>
      <t>01443614-cd74-433a-b99e-2ecdc07bfc25:1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Cloud-delivered protection must be enabled to use this rule.</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</si>
  <si>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Launching untrusted or unknown executable files can be risky, as it might not be initially clear if the files are malicious.</t>
    </r>
    <r>
      <rPr>
        <sz val="11"/>
        <color rgb="FF000000"/>
        <rFont val="Calibri"/>
      </rPr>
      <t xml:space="preserve">
</t>
    </r>
    <r>
      <rPr>
        <sz val="11"/>
        <color rgb="FF000000"/>
        <rFont val="Calibri"/>
      </rPr>
      <t>Organizations may find implementing</t>
    </r>
    <r>
      <rPr>
        <sz val="11"/>
        <color rgb="FF000000"/>
        <rFont val="Calibri"/>
      </rPr>
      <t xml:space="preserve">
</t>
    </r>
    <r>
      <rPr>
        <sz val="11"/>
        <color rgb="FF000000"/>
        <rFont val="Calibri"/>
      </rPr>
      <t>Block</t>
    </r>
    <r>
      <rPr>
        <sz val="11"/>
        <color rgb="FF000000"/>
        <rFont val="Calibri"/>
      </rPr>
      <t xml:space="preserve">
</t>
    </r>
    <r>
      <rPr>
        <sz val="11"/>
        <color rgb="FF000000"/>
        <rFont val="Calibri"/>
      </rPr>
      <t>to be too strict, however in</t>
    </r>
    <r>
      <rPr>
        <sz val="11"/>
        <color rgb="FF000000"/>
        <rFont val="Calibri"/>
      </rPr>
      <t xml:space="preserve">
</t>
    </r>
    <r>
      <rPr>
        <sz val="11"/>
        <color rgb="FF000000"/>
        <rFont val="Calibri"/>
      </rPr>
      <t>Audit</t>
    </r>
    <r>
      <rPr>
        <sz val="11"/>
        <color rgb="FF000000"/>
        <rFont val="Calibri"/>
      </rPr>
      <t xml:space="preserve">
</t>
    </r>
    <r>
      <rPr>
        <sz val="11"/>
        <color rgb="FF000000"/>
        <rFont val="Calibri"/>
      </rPr>
      <t>mode there is still valuable information that can be logged for threat hunters to sift through and analyze.</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</si>
  <si>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</si>
  <si>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Guard\ASR\Rules:01443614-cd74-433a-b99e-2ecdc07bfc25</t>
    </r>
    <r>
      <rPr>
        <sz val="11"/>
        <color rgb="FF006096"/>
        <rFont val="Roboto Condensed"/>
      </rPr>
      <t xml:space="preserve">
</t>
    </r>
  </si>
  <si>
    <t>High-04.07</t>
  </si>
  <si>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</si>
  <si>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5beb7efe-fd9a-4556-801d-275e5ffc04cc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</si>
  <si>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detects suspicious properties within an obfuscated script.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5beb7efe-fd9a-4556-801d-275e5ffc04cc</t>
    </r>
    <r>
      <rPr>
        <sz val="11"/>
        <color rgb="FF000000"/>
        <rFont val="Calibri"/>
      </rPr>
      <t xml:space="preserve"> (Block execution of potentially obfuscated scripts)</t>
    </r>
    <r>
      <rPr>
        <sz val="11"/>
        <color rgb="FF000000"/>
        <rFont val="Calibri"/>
      </rPr>
      <t xml:space="preserve">
</t>
    </r>
    <r>
      <rPr>
        <sz val="11"/>
        <color rgb="FF000000"/>
        <rFont val="Calibri"/>
      </rPr>
      <t xml:space="preserve">The recommended state for this setting is: </t>
    </r>
    <r>
      <rPr>
        <b/>
        <sz val="11"/>
        <color rgb="FF000000"/>
        <rFont val="Calibri"/>
      </rPr>
      <t>5beb7efe-fd9a-4556-801d-275e5ffc04cc:2</t>
    </r>
    <r>
      <rPr>
        <sz val="11"/>
        <color rgb="FF000000"/>
        <rFont val="Calibri"/>
      </rPr>
      <t xml:space="preserve"> (Audit). Configuring this setting to </t>
    </r>
    <r>
      <rPr>
        <b/>
        <sz val="11"/>
        <color rgb="FF000000"/>
        <rFont val="Calibri"/>
      </rPr>
      <t>5beb7efe-fd9a-4556-801d-275e5ffc04cc:1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</si>
  <si>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Script obfuscation is a common technique that both malware authors and legitimate applications use to hide intellectual property or decrease script loading times. Malware authors also use obfuscation to make malicious code harder to read, which hampers close scrutiny by humans and security software.</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</si>
  <si>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</si>
  <si>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</si>
  <si>
    <t>High-04.08</t>
  </si>
  <si>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</si>
  <si>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d3e037e1-3eb8-44c8-a917-57927947596d</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</si>
  <si>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scripts from launching potentially malicious downloaded content.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d3e037e1-3eb8-44c8-a917-57927947596d</t>
    </r>
    <r>
      <rPr>
        <sz val="11"/>
        <color rgb="FF000000"/>
        <rFont val="Calibri"/>
      </rPr>
      <t xml:space="preserve"> (Block JavaScript or VBScript from launching downloaded executable content)</t>
    </r>
    <r>
      <rPr>
        <sz val="11"/>
        <color rgb="FF000000"/>
        <rFont val="Calibri"/>
      </rPr>
      <t xml:space="preserve">
</t>
    </r>
    <r>
      <rPr>
        <sz val="11"/>
        <color rgb="FF000000"/>
        <rFont val="Calibri"/>
      </rPr>
      <t xml:space="preserve">The recommended state for this setting is: </t>
    </r>
    <r>
      <rPr>
        <b/>
        <sz val="11"/>
        <color rgb="FF000000"/>
        <rFont val="Calibri"/>
      </rPr>
      <t>d3e037e1-3eb8-44c8-a917-57927947596d:1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</si>
  <si>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written in JavaScript or VBScript often acts as a downloader to fetch and launch other malware from the Internet. Although not common, line-of-business applications sometimes use scripts to download and launch installers.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</si>
  <si>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</si>
  <si>
    <t>High-04.09</t>
  </si>
  <si>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</si>
  <si>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3b576869-a4ec-4529-8536-b80a7769e899</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</si>
  <si>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Office apps, including Word, Excel, and PowerPoint, from being used as a vector to persist malicious code on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3b576869-a4ec-4529-8536-b80a7769e899</t>
    </r>
    <r>
      <rPr>
        <sz val="11"/>
        <color rgb="FF000000"/>
        <rFont val="Calibri"/>
      </rPr>
      <t xml:space="preserve"> (Block Office applications from creating executable content)</t>
    </r>
    <r>
      <rPr>
        <sz val="11"/>
        <color rgb="FF000000"/>
        <rFont val="Calibri"/>
      </rPr>
      <t xml:space="preserve">
</t>
    </r>
    <r>
      <rPr>
        <sz val="11"/>
        <color rgb="FF000000"/>
        <rFont val="Calibri"/>
      </rPr>
      <t xml:space="preserve">The recommended state for this setting is: </t>
    </r>
    <r>
      <rPr>
        <b/>
        <sz val="11"/>
        <color rgb="FF000000"/>
        <rFont val="Calibri"/>
      </rPr>
      <t>3b576869-a4ec-4529-8536-b80a7769e899:1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</si>
  <si>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that abuses Office as a vector might attempt to save malicious components to disk that would survive a computer reboot and persist on the system. This rule defends against this persistence technique by blocking access (open/execute) to the code written to disk. This rule also blocks execution of untrusted files that might have been saved by Office macros that are allowed to run in Office files.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</si>
  <si>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</si>
  <si>
    <t>High-04.10</t>
  </si>
  <si>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</si>
  <si>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75668c1f-73b5-4cf0-bb93-3ecf5cb7cc84</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</si>
  <si>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Office apps from injecting code into other processes. Office apps included in this setting are Word, Excel, PowerPoint, and OneNote.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75668c1f-73b5-4cf0-bb93-3ecf5cb7cc84</t>
    </r>
    <r>
      <rPr>
        <sz val="11"/>
        <color rgb="FF000000"/>
        <rFont val="Calibri"/>
      </rPr>
      <t xml:space="preserve"> (Block Office applications from injecting code into other processes)</t>
    </r>
    <r>
      <rPr>
        <sz val="11"/>
        <color rgb="FF000000"/>
        <rFont val="Calibri"/>
      </rPr>
      <t xml:space="preserve">
</t>
    </r>
    <r>
      <rPr>
        <sz val="11"/>
        <color rgb="FF000000"/>
        <rFont val="Calibri"/>
      </rPr>
      <t xml:space="preserve">The recommended state for this setting is: </t>
    </r>
    <r>
      <rPr>
        <b/>
        <sz val="11"/>
        <color rgb="FF000000"/>
        <rFont val="Calibri"/>
      </rPr>
      <t>75668c1f-73b5-4cf0-bb93-3ecf5cb7cc84:1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</si>
  <si>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Attackers might attempt to use Office apps to migrate malicious code into other processes through code injection, so the code can masquerade as a clean process. There are no known legitimate business purposes for using code injection.</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</si>
  <si>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While Microsoft states that "there are no known legitimate business purposes for using code injection", this ASR will trigger on legitimate processes, so it is recommended to start in </t>
    </r>
    <r>
      <rPr>
        <b/>
        <sz val="11"/>
        <color rgb="FF000000"/>
        <rFont val="Calibri"/>
      </rPr>
      <t>Audit</t>
    </r>
    <r>
      <rPr>
        <sz val="11"/>
        <color rgb="FF000000"/>
        <rFont val="Calibri"/>
      </rPr>
      <t xml:space="preserve"> mode before creating a list of exceptions and moving finally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</si>
  <si>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</si>
  <si>
    <t>High-04.11</t>
  </si>
  <si>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</si>
  <si>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26190899-1602-49e8-8b27-eb1d0a1ce869</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</si>
  <si>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Outlook from creating child processes, while still allowing legitimate Outlook functions.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26190899-1602-49e8-8b27-eb1d0a1ce869</t>
    </r>
    <r>
      <rPr>
        <sz val="11"/>
        <color rgb="FF000000"/>
        <rFont val="Calibri"/>
      </rPr>
      <t xml:space="preserve"> (Block Office communication application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26190899-1602-49e8-8b27-eb1d0a1ce869:2</t>
    </r>
    <r>
      <rPr>
        <sz val="11"/>
        <color rgb="FF000000"/>
        <rFont val="Calibri"/>
      </rPr>
      <t xml:space="preserve"> (Audit). Configuring this setting to </t>
    </r>
    <r>
      <rPr>
        <b/>
        <sz val="11"/>
        <color rgb="FF000000"/>
        <rFont val="Calibri"/>
      </rPr>
      <t>26190899-1602-49e8-8b27-eb1d0a1ce869:1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</si>
  <si>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This ASR rule protects against social engineering attacks and prevents exploiting code from abusing vulnerabilities in Outlook. It also protects against Outlook rules and forms exploits that attackers can use when a user's credentials are compromised.</t>
    </r>
  </si>
  <si>
    <r>
      <rPr>
        <sz val="11"/>
        <color rgb="FF000000"/>
        <rFont val="Calibri"/>
      </rPr>
      <t>This rule will block DLP policy tips and ToolTips in Outlook and applies to Outlook and Outlook.com only.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</si>
  <si>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</si>
  <si>
    <t>High-04.12</t>
  </si>
  <si>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</si>
  <si>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e6db77e5-3df2-4cf1-b95a-636979351e5b</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</si>
  <si>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malware from abusing WMI to attain persistence on a device.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e6db77e5-3df2-4cf1-b95a-636979351e5b</t>
    </r>
    <r>
      <rPr>
        <sz val="11"/>
        <color rgb="FF000000"/>
        <rFont val="Calibri"/>
      </rPr>
      <t xml:space="preserve"> (Block persistence through WMI event subscription)</t>
    </r>
    <r>
      <rPr>
        <sz val="11"/>
        <color rgb="FF000000"/>
        <rFont val="Calibri"/>
      </rPr>
      <t xml:space="preserve">
</t>
    </r>
    <r>
      <rPr>
        <sz val="11"/>
        <color rgb="FF000000"/>
        <rFont val="Calibri"/>
      </rPr>
      <t xml:space="preserve">The recommended state for this setting is: </t>
    </r>
    <r>
      <rPr>
        <b/>
        <sz val="11"/>
        <color rgb="FF000000"/>
        <rFont val="Calibri"/>
      </rPr>
      <t>e6db77e5-3df2-4cf1-b95a-636979351e5b:1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Note #2 </t>
    </r>
    <r>
      <rPr>
        <sz val="11"/>
        <color rgb="FF0000FF"/>
        <rFont val="Calibri"/>
      </rPr>
      <t>(https://docs.microsoft.com/en-us/windows/security/threat-protection/windows-defender-exploit-guard/attack-surface-reduction-exploit-guard)</t>
    </r>
    <r>
      <rPr>
        <sz val="11"/>
        <color rgb="FF000000"/>
        <rFont val="Calibri"/>
      </rPr>
      <t>: If CcmExec.exe (SCCM Agent) is detected on the device, the ASR rule is classified as "not applicable" in Defender for Endpoint settings in the Microsoft Defender portal.</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</si>
  <si>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Fileless threats employ various tactics to stay hidden, to avoid being seen in the file system, and to gain periodic execution control. Some threats can abuse the WMI repository and event model to stay hidden.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</si>
  <si>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</si>
  <si>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High-04.13</t>
  </si>
  <si>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</si>
  <si>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d1e49aac-8f56-4280-b9ba-993a6d77406c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</si>
  <si>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processes created through PsExec and WMI from running. Both PsExec and WMI can remotely execute code.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</si>
  <si>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There's a risk of malware abusing functionality of PsExec and WMI for command and control purposes, or to spread an infection throughout an organization's network.</t>
    </r>
  </si>
  <si>
    <r>
      <rPr>
        <b/>
        <sz val="11"/>
        <color rgb="FF000000"/>
        <rFont val="Calibri"/>
      </rPr>
      <t>Warning:</t>
    </r>
    <r>
      <rPr>
        <sz val="11"/>
        <color rgb="FF000000"/>
        <rFont val="Calibri"/>
      </rPr>
      <t xml:space="preserve"> Only use this rule if you're managing your devices with Intune or another MDM solution. This rule is incompatible with management through Microsoft Endpoint Configuration Manager because this rule blocks WMI commands the Configuration Manager client uses to function correctly.</t>
    </r>
    <r>
      <rPr>
        <sz val="11"/>
        <color rgb="FF000000"/>
        <rFont val="Calibri"/>
      </rPr>
      <t xml:space="preserve">
</t>
    </r>
    <r>
      <rPr>
        <sz val="11"/>
        <color rgb="FF000000"/>
        <rFont val="Calibri"/>
      </rPr>
      <t>It is recommended to start with Audit mode and move to Block.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</si>
  <si>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d1e49aac-8f56-4280-b9ba-993a6d77406c=1</t>
    </r>
    <r>
      <rPr>
        <sz val="11"/>
        <color rgb="FF000000"/>
        <rFont val="Calibri"/>
      </rPr>
      <t xml:space="preserve"> (Block) or </t>
    </r>
    <r>
      <rPr>
        <b/>
        <sz val="11"/>
        <color rgb="FF000000"/>
        <rFont val="Calibri"/>
      </rPr>
      <t>d1e49aac-8f56-4280-b9ba-993a6d77406c=2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</si>
  <si>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High-04.14</t>
  </si>
  <si>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</si>
  <si>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b2b3f03d-6a65-4f7b-a9c7-1c7ef74a9ba4</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</si>
  <si>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With this rule, admins can prevent unsigned or untrusted executable files from running from USB removable drives, including SD cards. Blocked file types include executable files (such as .exe, .dll, or .scr).</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b2b3f03d-6a65-4f7b-a9c7-1c7ef74a9ba4</t>
    </r>
    <r>
      <rPr>
        <sz val="11"/>
        <color rgb="FF000000"/>
        <rFont val="Calibri"/>
      </rPr>
      <t xml:space="preserve"> (Block untrusted and unsigned processes that run from USB)</t>
    </r>
    <r>
      <rPr>
        <sz val="11"/>
        <color rgb="FF000000"/>
        <rFont val="Calibri"/>
      </rPr>
      <t xml:space="preserve">
</t>
    </r>
    <r>
      <rPr>
        <sz val="11"/>
        <color rgb="FF000000"/>
        <rFont val="Calibri"/>
      </rPr>
      <t xml:space="preserve">The recommended state for this setting is: </t>
    </r>
    <r>
      <rPr>
        <b/>
        <sz val="11"/>
        <color rgb="FF000000"/>
        <rFont val="Calibri"/>
      </rPr>
      <t>b2b3f03d-6a65-4f7b-a9c7-1c7ef74a9ba4:1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</si>
  <si>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Files copied from the USB to the disk drive will be blocked by this rule if and when it's about to be executed on the disk drive.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</si>
  <si>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</si>
  <si>
    <t>High-04.15</t>
  </si>
  <si>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</si>
  <si>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92e97fa1-2edf-4476-bdd6-9dd0b4dddc7b</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</si>
  <si>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VBA macros from calling Win32 APIs. Office VBA enables Win32 API calls.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92e97fa1-2edf-4476-bdd6-9dd0b4dddc7b</t>
    </r>
    <r>
      <rPr>
        <sz val="11"/>
        <color rgb="FF000000"/>
        <rFont val="Calibri"/>
      </rPr>
      <t xml:space="preserve"> (Block Win32 API calls from Office macros)</t>
    </r>
    <r>
      <rPr>
        <sz val="11"/>
        <color rgb="FF000000"/>
        <rFont val="Calibri"/>
      </rPr>
      <t xml:space="preserve">
</t>
    </r>
    <r>
      <rPr>
        <sz val="11"/>
        <color rgb="FF000000"/>
        <rFont val="Calibri"/>
      </rPr>
      <t xml:space="preserve">The recommended state for this setting is: </t>
    </r>
    <r>
      <rPr>
        <b/>
        <sz val="11"/>
        <color rgb="FF000000"/>
        <rFont val="Calibri"/>
      </rPr>
      <t>92e97fa1-2edf-4476-bdd6-9dd0b4dddc7b:1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</si>
  <si>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can abuse VBA macro calls with various methods, such as calling Win32 APIs to launch malicious shellcode without writing anything directly to disk. Most organizations don't rely on the ability to call Win32 APIs in their day-to-day functioning, even if they use macros in other ways.</t>
    </r>
  </si>
  <si>
    <r>
      <rPr>
        <sz val="11"/>
        <color rgb="FF000000"/>
        <rFont val="Calibri"/>
      </rPr>
      <t>Files copied from the USB to the disk drive can be blocked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</si>
  <si>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</si>
  <si>
    <t>High-04.16</t>
  </si>
  <si>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</si>
  <si>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c1db55ab-c21a-4637-bb3f-a12568109d35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</si>
  <si>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provides an extra layer of protection against ransomware. It uses both client and cloud heuristics to determine whether a file resembles ransomware. This rule doesn't block files that have one or more of the following characteristics:</t>
    </r>
    <r>
      <rPr>
        <sz val="11"/>
        <color rgb="FF000000"/>
        <rFont val="Calibri"/>
      </rPr>
      <t xml:space="preserve">
</t>
    </r>
    <r>
      <rPr>
        <sz val="11"/>
        <color rgb="FF000000"/>
        <rFont val="Calibri"/>
      </rPr>
      <t>- The file has already been found to be unharmful in the Microsoft cloud.</t>
    </r>
    <r>
      <rPr>
        <sz val="11"/>
        <color rgb="FF000000"/>
        <rFont val="Calibri"/>
      </rPr>
      <t xml:space="preserve">
</t>
    </r>
    <r>
      <rPr>
        <sz val="11"/>
        <color rgb="FF000000"/>
        <rFont val="Calibri"/>
      </rPr>
      <t>- The file is a valid signed file.</t>
    </r>
    <r>
      <rPr>
        <sz val="11"/>
        <color rgb="FF000000"/>
        <rFont val="Calibri"/>
      </rPr>
      <t xml:space="preserve">
</t>
    </r>
    <r>
      <rPr>
        <sz val="11"/>
        <color rgb="FF000000"/>
        <rFont val="Calibri"/>
      </rPr>
      <t>- The file is prevalent enough to not be considered as ransomware.</t>
    </r>
    <r>
      <rPr>
        <sz val="11"/>
        <color rgb="FF000000"/>
        <rFont val="Calibri"/>
      </rPr>
      <t xml:space="preserve">
</t>
    </r>
    <r>
      <rPr>
        <sz val="11"/>
        <color rgb="FF000000"/>
        <rFont val="Calibri"/>
      </rPr>
      <t>- The rule tends to err on the side of caution to prevent ransomware.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c1db55ab-c21a-4637-bb3f-a12568109d35</t>
    </r>
    <r>
      <rPr>
        <sz val="11"/>
        <color rgb="FF000000"/>
        <rFont val="Calibri"/>
      </rPr>
      <t xml:space="preserve"> (Use advanced protection against ransomware)</t>
    </r>
    <r>
      <rPr>
        <sz val="11"/>
        <color rgb="FF000000"/>
        <rFont val="Calibri"/>
      </rPr>
      <t xml:space="preserve">
</t>
    </r>
    <r>
      <rPr>
        <sz val="11"/>
        <color rgb="FF000000"/>
        <rFont val="Calibri"/>
      </rPr>
      <t xml:space="preserve">The recommended state for this setting is: </t>
    </r>
    <r>
      <rPr>
        <b/>
        <sz val="11"/>
        <color rgb="FF000000"/>
        <rFont val="Calibri"/>
      </rPr>
      <t>c1db55ab-c21a-4637-bb3f-a12568109d35:2</t>
    </r>
    <r>
      <rPr>
        <sz val="11"/>
        <color rgb="FF000000"/>
        <rFont val="Calibri"/>
      </rPr>
      <t xml:space="preserve"> (Audit) or higher. Configuring this setting to </t>
    </r>
    <r>
      <rPr>
        <b/>
        <sz val="11"/>
        <color rgb="FF000000"/>
        <rFont val="Calibri"/>
      </rPr>
      <t>c1db55ab-c21a-4637-bb3f-a12568109d35:1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</si>
  <si>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This ASR rule can help an organization enhance its protection against ransomware by using both cloud and local heuristics.</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</si>
  <si>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sz val="11"/>
        <color rgb="FF000000"/>
        <rFont val="Calibri"/>
      </rPr>
      <t>Implementing this recommendation could impact certain workflows, making it unsuitable for universal enforcement across the organization without first adding exceptions.</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</si>
  <si>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Guard\ASR\Rules:c1db55ab-c21a-4637-bb3f-a12568109d35</t>
    </r>
    <r>
      <rPr>
        <sz val="11"/>
        <color rgb="FF006096"/>
        <rFont val="Roboto Condensed"/>
      </rPr>
      <t xml:space="preserve">
</t>
    </r>
  </si>
  <si>
    <t>Credential protection</t>
  </si>
  <si>
    <t>High-05.00</t>
  </si>
  <si>
    <r>
      <rPr>
        <b/>
        <sz val="11"/>
        <color rgb="FF003B5C"/>
        <rFont val="Calibri"/>
      </rPr>
      <t>Section overview: 'Credential protection'</t>
    </r>
  </si>
  <si>
    <r>
      <rPr>
        <sz val="11"/>
        <color rgb="FF000000"/>
        <rFont val="Calibri"/>
      </rPr>
      <t xml:space="preserve">Configure the individual settings listed in recommendations </t>
    </r>
    <r>
      <rPr>
        <b/>
        <sz val="11"/>
        <color rgb="FF000000"/>
        <rFont val="Calibri"/>
      </rPr>
      <t>High-05.01</t>
    </r>
    <r>
      <rPr>
        <sz val="11"/>
        <color rgb="FF000000"/>
        <rFont val="Calibri"/>
      </rPr>
      <t xml:space="preserve"> through </t>
    </r>
    <r>
      <rPr>
        <b/>
        <sz val="11"/>
        <color rgb="FF000000"/>
        <rFont val="Calibri"/>
      </rPr>
      <t>High-05.10</t>
    </r>
    <r>
      <rPr>
        <sz val="11"/>
        <color rgb="FF000000"/>
        <rFont val="Calibri"/>
      </rPr>
      <t xml:space="preserve"> to implement credential protection.</t>
    </r>
  </si>
  <si>
    <r>
      <rPr>
        <sz val="11"/>
        <color rgb="FF000000"/>
        <rFont val="Calibri"/>
      </rPr>
      <t>Cached credentials are stored in the Security Accounts Manager (SAM) database and can allow a user to log onto a workstation they have previously logged onto even if the domain is not available. Whilst this functionality may be desirable from an availability of services perspective, this functionality can be abused by malicious actors who can retrieve these cached credentials (potentially Domain Administrator credentials in a worst-case scenario). To reduce this risk, cached credentials should be limited to only one previous logon.</t>
    </r>
    <r>
      <rPr>
        <sz val="11"/>
        <color rgb="FF000000"/>
        <rFont val="Calibri"/>
      </rPr>
      <t xml:space="preserve">
</t>
    </r>
    <r>
      <rPr>
        <sz val="11"/>
        <color rgb="FF000000"/>
        <rFont val="Calibri"/>
      </rPr>
      <t>Within an active user session, credentials are cached within the Local Security Authority Subsystem Service (LSASS) process (including the user's passphrase in plaintext if WDigest authentication is enabled) to allow for access to network resources without users having to continually enter their credentials. Unfortunately, these credentials are at risk of theft by malicious actors. To reduce this risk, WDigest authentication should be disabled.</t>
    </r>
    <r>
      <rPr>
        <sz val="11"/>
        <color rgb="FF000000"/>
        <rFont val="Calibri"/>
      </rPr>
      <t xml:space="preserve">
</t>
    </r>
    <r>
      <rPr>
        <sz val="11"/>
        <color rgb="FF0000FF"/>
        <rFont val="Calibri"/>
      </rPr>
      <t>(https://docs.microsoft.com/en-us/windows/security/identity-protection/credential-guard/credential-guard)</t>
    </r>
    <r>
      <rPr>
        <sz val="11"/>
        <color rgb="FF000000"/>
        <rFont val="Calibri"/>
      </rPr>
      <t>Credential Guard, a security feature of Microsoft Windows 11, is also designed to assist in protecting the LSASS process.</t>
    </r>
  </si>
  <si>
    <t>High-05.01</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</si>
  <si>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</si>
  <si>
    <r>
      <rPr>
        <sz val="11"/>
        <color rgb="FF000000"/>
        <rFont val="Calibri"/>
      </rPr>
      <t xml:space="preserve">Set the following UI path to </t>
    </r>
    <r>
      <rPr>
        <b/>
        <sz val="11"/>
        <color rgb="FF000000"/>
        <rFont val="Calibri"/>
      </rPr>
      <t>1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</si>
  <si>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</si>
  <si>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Users who access the computer console will have their logon credentials cached on that computer. A threat actor who is able to access the file system of the computer could locate this cached information and use a brute force attack to attempt to determine user passwords. To mitigate this type of attack, Windows encrypts the information and obscures its physical location.</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</si>
  <si>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</si>
  <si>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HKLM\SOFTWARE\Microsoft\Windows NT\CurrentVersion\Winlogon:CachedLogonsCount</t>
    </r>
    <r>
      <rPr>
        <sz val="11"/>
        <color rgb="FF006096"/>
        <rFont val="Roboto Condensed"/>
      </rPr>
      <t xml:space="preserve">
</t>
    </r>
  </si>
  <si>
    <r>
      <rPr>
        <sz val="11"/>
        <color rgb="FF000000"/>
        <rFont val="Calibri"/>
      </rPr>
      <t>10 logons.</t>
    </r>
  </si>
  <si>
    <t>High-05.02</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</si>
  <si>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</si>
  <si>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</si>
  <si>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</si>
  <si>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Passwords that are cached can be accessed by the user when logged on to the computer. Although this information may sound obvious, a problem can arise if the user unknowingly executes hostile code that reads the passwords and forwards them to another, unauthorized user.</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</si>
  <si>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</si>
  <si>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</si>
  <si>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</si>
  <si>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High-05.03</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</si>
  <si>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</si>
  <si>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</si>
  <si>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 documents </t>
    </r>
    <r>
      <rPr>
        <sz val="11"/>
        <color rgb="FF0000FF"/>
        <rFont val="Calibri"/>
      </rPr>
      <t>(http://www.microsoft.com/en-us/download/details.aspx?id=36036)</t>
    </r>
    <r>
      <rPr>
        <sz val="11"/>
        <color rgb="FF000000"/>
        <rFont val="Calibri"/>
      </rPr>
      <t>.</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</si>
  <si>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Preventing the plaintext storage of credentials in memory may reduce opportunity for credential theft.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</si>
  <si>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</si>
  <si>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</si>
  <si>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</si>
  <si>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High-05.04</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</si>
  <si>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Secure Boot and DMA Protection, Enabled with UEFI lock for Code Integrity and Credential Guard, and Enabled in enforcement mode for Kernel-mode Stack Protection</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</si>
  <si>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Templates\System\Device Guard\Turn On Virtualization Based Security: Kernel-mode Hardware-enforced Stack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t>
    </r>
    <r>
      <rPr>
        <sz val="11"/>
        <color rgb="FF000000"/>
        <rFont val="Calibri"/>
      </rPr>
      <t xml:space="preserve"> Configure the following sub-options: Select Platform Security Level: </t>
    </r>
    <r>
      <rPr>
        <b/>
        <sz val="11"/>
        <color rgb="FF000000"/>
        <rFont val="Calibri"/>
      </rPr>
      <t>Secure Boot and DMA Protection</t>
    </r>
    <r>
      <rPr>
        <sz val="11"/>
        <color rgb="FF000000"/>
        <rFont val="Calibri"/>
      </rPr>
      <t xml:space="preserve">; Virtualization Based Protection of Code Integrity: </t>
    </r>
    <r>
      <rPr>
        <b/>
        <sz val="11"/>
        <color rgb="FF000000"/>
        <rFont val="Calibri"/>
      </rPr>
      <t>Enabled with UEFI lock</t>
    </r>
    <r>
      <rPr>
        <sz val="11"/>
        <color rgb="FF000000"/>
        <rFont val="Calibri"/>
      </rPr>
      <t xml:space="preserve">; Require UEFI Memory Attributes Table; Credential Guard Configuration: </t>
    </r>
    <r>
      <rPr>
        <b/>
        <sz val="11"/>
        <color rgb="FF000000"/>
        <rFont val="Calibri"/>
      </rPr>
      <t>Enabled with UEFI lock</t>
    </r>
    <r>
      <rPr>
        <sz val="11"/>
        <color rgb="FF000000"/>
        <rFont val="Calibri"/>
      </rPr>
      <t xml:space="preserve">; Secure Launch Configuration: </t>
    </r>
    <r>
      <rPr>
        <b/>
        <sz val="11"/>
        <color rgb="FF000000"/>
        <rFont val="Calibri"/>
      </rPr>
      <t>Enabled</t>
    </r>
    <r>
      <rPr>
        <sz val="11"/>
        <color rgb="FF000000"/>
        <rFont val="Calibri"/>
      </rPr>
      <t xml:space="preserve">; Kernel-mode Hardware-enforced Stack Protection: </t>
    </r>
    <r>
      <rPr>
        <b/>
        <sz val="11"/>
        <color rgb="FF000000"/>
        <rFont val="Calibri"/>
      </rPr>
      <t>Enabled in enforcement mode</t>
    </r>
    <r>
      <rPr>
        <sz val="11"/>
        <color rgb="FF000000"/>
        <rFont val="Calibri"/>
      </rPr>
      <t>.</t>
    </r>
  </si>
  <si>
    <r>
      <rPr>
        <sz val="11"/>
        <color rgb="FF000000"/>
        <rFont val="Calibri"/>
      </rPr>
      <t>This policy setting enables Hardware-enforced Stack Protection for kernel-mode code. Kernel-mode data stacks are hardened with hardware-based shadow stacks, which store intended return address targets to ensure that program control flow is not tampered.</t>
    </r>
    <r>
      <rPr>
        <sz val="11"/>
        <color rgb="FF000000"/>
        <rFont val="Calibri"/>
      </rPr>
      <t xml:space="preserve">
</t>
    </r>
    <r>
      <rPr>
        <sz val="11"/>
        <color rgb="FF000000"/>
        <rFont val="Calibri"/>
      </rPr>
      <t xml:space="preserve">The recommended state for this setting is: </t>
    </r>
    <r>
      <rPr>
        <b/>
        <sz val="11"/>
        <color rgb="FF000000"/>
        <rFont val="Calibri"/>
      </rPr>
      <t>Enabled: Enabled in enforcement mode</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This specific security feature of VBS is only compatible with Windows 11 Release 22H2 (or newer).</t>
    </r>
    <r>
      <rPr>
        <sz val="11"/>
        <color rgb="FF000000"/>
        <rFont val="Calibri"/>
      </rPr>
      <t xml:space="preserve">
</t>
    </r>
    <r>
      <rPr>
        <b/>
        <sz val="11"/>
        <color rgb="FF000000"/>
        <rFont val="Calibri"/>
      </rPr>
      <t>Note #3:</t>
    </r>
    <r>
      <rPr>
        <sz val="11"/>
        <color rgb="FF000000"/>
        <rFont val="Calibri"/>
      </rPr>
      <t xml:space="preserve"> Only Intel CPUs from Tiger Lake and beyond or AMD CPUs Zen3 and beyond (both were release in fall 2020) are compatible with this security feature.</t>
    </r>
    <r>
      <rPr>
        <sz val="11"/>
        <color rgb="FF000000"/>
        <rFont val="Calibri"/>
      </rPr>
      <t xml:space="preserve">
</t>
    </r>
    <r>
      <rPr>
        <b/>
        <sz val="11"/>
        <color rgb="FF000000"/>
        <rFont val="Calibri"/>
      </rPr>
      <t>Note #4:</t>
    </r>
    <r>
      <rPr>
        <sz val="11"/>
        <color rgb="FF000000"/>
        <rFont val="Calibri"/>
      </rPr>
      <t xml:space="preserve"> Credential Guard and Device Guard are not currently supported when using Azure IaaS VMs.</t>
    </r>
  </si>
  <si>
    <r>
      <rPr>
        <sz val="11"/>
        <color rgb="FF000000"/>
        <rFont val="Calibri"/>
      </rPr>
      <t>This setting stores a copy of the apps shadow stack (intended code execution flow) in the hardware-based (CPU) security feature VBS. This can prevent malware from hijacking an apps code by exploiting memory bugs such as stack buffer overflows, dangling pointers, or uninitialized variables. This allows VBS to shut down any exploit attempts via the modification of the intended code execution flow.</t>
    </r>
  </si>
  <si>
    <r>
      <rPr>
        <sz val="11"/>
        <color rgb="FF000000"/>
        <rFont val="Calibri"/>
      </rPr>
      <t>This setting is dependent upon Virtualization Based Protection of Code Integrity (aka HVCI) first being enabled, in addition to CPU hardware support for shadow stacks. If either HVCI is not enabled or hardware-based shadow stacks are not supported, this setting will have no effect.</t>
    </r>
    <r>
      <rPr>
        <sz val="11"/>
        <color rgb="FF000000"/>
        <rFont val="Calibri"/>
      </rPr>
      <t xml:space="preserve">
</t>
    </r>
    <r>
      <rPr>
        <sz val="11"/>
        <color rgb="FF000000"/>
        <rFont val="Calibri"/>
      </rPr>
      <t>If this setting is successfully enabled, shadow stack violations will be fatal.</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</si>
  <si>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HKLM\SOFTWARE\Policies\Microsoft\Windows\DeviceGuard:ConfigureKernelShadowStacksLaunch</t>
    </r>
    <r>
      <rPr>
        <sz val="11"/>
        <color rgb="FF006096"/>
        <rFont val="Roboto Condensed"/>
      </rPr>
      <t xml:space="preserve">
</t>
    </r>
  </si>
  <si>
    <r>
      <rPr>
        <sz val="11"/>
        <color rgb="FF000000"/>
        <rFont val="Calibri"/>
      </rPr>
      <t>Not Configured.</t>
    </r>
  </si>
  <si>
    <t>High-05.05</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</si>
  <si>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</si>
  <si>
    <r>
      <rPr>
        <sz val="11"/>
        <color rgb="FF000000"/>
        <rFont val="Calibri"/>
      </rPr>
      <t xml:space="preserve">Set the following UI path to </t>
    </r>
    <r>
      <rPr>
        <b/>
        <sz val="11"/>
        <color rgb="FF000000"/>
        <rFont val="Calibri"/>
      </rPr>
      <t>Secure Boot and DMA Protection</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</si>
  <si>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</si>
  <si>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Secure Boot can help reduce the risk of bootloader attacks and in conjunction with DMA protections to help protect data from being scraped from memory.</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</si>
  <si>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</si>
  <si>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</si>
  <si>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r>
      <rPr>
        <sz val="11"/>
        <color rgb="FF000000"/>
        <rFont val="Calibri"/>
      </rPr>
      <t>Disabled.</t>
    </r>
  </si>
  <si>
    <t>High-05.06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</si>
  <si>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</si>
  <si>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</si>
  <si>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</si>
  <si>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The</t>
    </r>
    <r>
      <rPr>
        <sz val="11"/>
        <color rgb="FF000000"/>
        <rFont val="Calibri"/>
      </rPr>
      <t xml:space="preserve">
</t>
    </r>
    <r>
      <rPr>
        <sz val="11"/>
        <color rgb="FF000000"/>
        <rFont val="Calibri"/>
      </rPr>
      <t>Enabled with UEFI lock</t>
    </r>
    <r>
      <rPr>
        <sz val="11"/>
        <color rgb="FF000000"/>
        <rFont val="Calibri"/>
      </rPr>
      <t xml:space="preserve">
</t>
    </r>
    <r>
      <rPr>
        <sz val="11"/>
        <color rgb="FF000000"/>
        <rFont val="Calibri"/>
      </rPr>
      <t>option ensures that Credential Guard cannot be disabled remotely.</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</si>
  <si>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</si>
  <si>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</si>
  <si>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High-05.07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</si>
  <si>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</si>
  <si>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</si>
  <si>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</si>
  <si>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sz val="11"/>
        <color rgb="FF000000"/>
        <rFont val="Calibri"/>
      </rPr>
      <t>Secure Launch changes the way Windows boots to use Intel Trusted Execution Technology (TXT) and Runtime BIOS Resilience features to prevent firmware exploits from being able to impact the security of the Windows Virtualization Based Security environment.</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</si>
  <si>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</si>
  <si>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</si>
  <si>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</si>
  <si>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High-05.08</t>
  </si>
  <si>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</si>
  <si>
    <r>
      <rPr>
        <sz val="11"/>
        <color rgb="FF000000"/>
        <rFont val="Calibri"/>
      </rPr>
      <t xml:space="preserve">Set the following UI path to </t>
    </r>
    <r>
      <rPr>
        <b/>
        <sz val="11"/>
        <color rgb="FF000000"/>
        <rFont val="Calibri"/>
      </rPr>
      <t>Enabled: Enabled in enforcement mode</t>
    </r>
    <r>
      <rPr>
        <sz val="11"/>
        <color rgb="FF000000"/>
        <rFont val="Calibri"/>
      </rPr>
      <t xml:space="preserve">
</t>
    </r>
    <r>
      <rPr>
        <sz val="11"/>
        <color rgb="FF006096"/>
        <rFont val="Roboto Condensed"/>
      </rPr>
      <t>Computer Configuration\Policies\Administrative Templates\System\Device Guard\Turn On Virtualization Based Security: Kernel-mode Hardware-enforced Stack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11 Release 22H2 Administrative Templates v1.0 (or newer).</t>
    </r>
  </si>
  <si>
    <t>High-05.09</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</si>
  <si>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</si>
  <si>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</si>
  <si>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</si>
  <si>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Vulnerabilities exist where threat actors can intercept logon credentials via SSP/AP. Disabling Custom SSPs and APs to be loaded into LSASS minimizes this vulnerability.</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</si>
  <si>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</si>
  <si>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</si>
  <si>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</si>
  <si>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High-05.10</t>
  </si>
  <si>
    <r>
      <rPr>
        <sz val="11"/>
        <rFont val="Calibri"/>
      </rPr>
      <t xml:space="preserve">Ensure </t>
    </r>
    <r>
      <rPr>
        <sz val="11"/>
        <color rgb="FF000000"/>
        <rFont val="Calibri"/>
      </rPr>
      <t>'</t>
    </r>
    <r>
      <rPr>
        <b/>
        <sz val="11"/>
        <color rgb="FF000000"/>
        <rFont val="Calibri"/>
      </rPr>
      <t>Configure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</si>
  <si>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</si>
  <si>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</si>
  <si>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Provides added security for the credentials that LSA stores and manages. Enabling this setting with</t>
    </r>
    <r>
      <rPr>
        <sz val="11"/>
        <color rgb="FF000000"/>
        <rFont val="Calibri"/>
      </rPr>
      <t xml:space="preserve">
</t>
    </r>
    <r>
      <rPr>
        <sz val="11"/>
        <color rgb="FF000000"/>
        <rFont val="Calibri"/>
      </rPr>
      <t>UEFI Lock</t>
    </r>
    <r>
      <rPr>
        <sz val="11"/>
        <color rgb="FF000000"/>
        <rFont val="Calibri"/>
      </rPr>
      <t xml:space="preserve">
</t>
    </r>
    <r>
      <rPr>
        <sz val="11"/>
        <color rgb="FF000000"/>
        <rFont val="Calibri"/>
      </rPr>
      <t>prevents the setting from being changed remotely.</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</si>
  <si>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</si>
  <si>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</si>
  <si>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</si>
  <si>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Controlled Folder Access</t>
  </si>
  <si>
    <t>High-06.00</t>
  </si>
  <si>
    <r>
      <rPr>
        <b/>
        <sz val="11"/>
        <color rgb="FF003B5C"/>
        <rFont val="Calibri"/>
      </rPr>
      <t>Section overview: 'Controlled Folder Access'</t>
    </r>
  </si>
  <si>
    <r>
      <rPr>
        <sz val="11"/>
        <color rgb="FF000000"/>
        <rFont val="Calibri"/>
      </rPr>
      <t xml:space="preserve">Enable Controlled Folder Access by configuring the settings detailed in recommendations </t>
    </r>
    <r>
      <rPr>
        <b/>
        <sz val="11"/>
        <color rgb="FF000000"/>
        <rFont val="Calibri"/>
      </rPr>
      <t>High-06.01</t>
    </r>
    <r>
      <rPr>
        <sz val="11"/>
        <color rgb="FF000000"/>
        <rFont val="Calibri"/>
      </rPr>
      <t xml:space="preserve"> through </t>
    </r>
    <r>
      <rPr>
        <b/>
        <sz val="11"/>
        <color rgb="FF000000"/>
        <rFont val="Calibri"/>
      </rPr>
      <t>High-06.03</t>
    </r>
    <r>
      <rPr>
        <sz val="11"/>
        <color rgb="FF000000"/>
        <rFont val="Calibri"/>
      </rPr>
      <t>.</t>
    </r>
  </si>
  <si>
    <r>
      <rPr>
        <sz val="11"/>
        <color rgb="FF0000FF"/>
        <rFont val="Calibri"/>
      </rPr>
      <t>(https://docs.microsoft.com/en-us/windows/security/threat-protection/microsoft-defender-atp/controlled-folders)</t>
    </r>
    <r>
      <rPr>
        <sz val="11"/>
        <color rgb="FF000000"/>
        <rFont val="Calibri"/>
      </rPr>
      <t>Controlled Folder Access, a security feature of Microsoft Windows 11, forms part of Microsoft Defender Exploit Guard. It is designed to combat the threat of ransomware.</t>
    </r>
    <r>
      <rPr>
        <sz val="11"/>
        <color rgb="FF000000"/>
        <rFont val="Calibri"/>
      </rPr>
      <t xml:space="preserve">
</t>
    </r>
    <r>
      <rPr>
        <sz val="11"/>
        <color rgb="FF000000"/>
        <rFont val="Calibri"/>
      </rPr>
      <t>In order to use Controlled Folder Access, Microsoft Defender Antivirus must be configured as the primary real-time antivirus scanning engine on workstations. Other third-party antivirus solutions may offer similar functionality as part of their offerings.</t>
    </r>
  </si>
  <si>
    <t>High-06.01</t>
  </si>
  <si>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trusted applications</t>
    </r>
  </si>
  <si>
    <r>
      <rPr>
        <sz val="11"/>
        <color rgb="FF000000"/>
        <rFont val="Calibri"/>
      </rPr>
      <t xml:space="preserve">Set the following UI path to </t>
    </r>
    <r>
      <rPr>
        <b/>
        <sz val="11"/>
        <color rgb="FF000000"/>
        <rFont val="Calibri"/>
      </rPr>
      <t>Enabled</t>
    </r>
    <r>
      <rPr>
        <sz val="11"/>
        <color rgb="FF000000"/>
        <rFont val="Calibri"/>
      </rPr>
      <t xml:space="preserve"> and enter the applications that should be trusted:</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allowed applications</t>
    </r>
    <r>
      <rPr>
        <sz val="11"/>
        <color rgb="FF006096"/>
        <rFont val="Roboto Condensed"/>
      </rPr>
      <t xml:space="preserve">
</t>
    </r>
  </si>
  <si>
    <t>High-06.02</t>
  </si>
  <si>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</si>
  <si>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set Configure the guard my folders feature to </t>
    </r>
    <r>
      <rPr>
        <b/>
        <sz val="11"/>
        <color rgb="FF000000"/>
        <rFont val="Calibri"/>
      </rPr>
      <t>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Controlled folder access</t>
    </r>
    <r>
      <rPr>
        <sz val="11"/>
        <color rgb="FF006096"/>
        <rFont val="Roboto Condensed"/>
      </rPr>
      <t xml:space="preserve">
</t>
    </r>
  </si>
  <si>
    <t>High-06.03</t>
  </si>
  <si>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organisation-defined folders</t>
    </r>
  </si>
  <si>
    <r>
      <rPr>
        <sz val="11"/>
        <color rgb="FF000000"/>
        <rFont val="Calibri"/>
      </rPr>
      <t xml:space="preserve">Set the following UI path to </t>
    </r>
    <r>
      <rPr>
        <b/>
        <sz val="11"/>
        <color rgb="FF000000"/>
        <rFont val="Calibri"/>
      </rPr>
      <t>Enabled</t>
    </r>
    <r>
      <rPr>
        <sz val="11"/>
        <color rgb="FF000000"/>
        <rFont val="Calibri"/>
      </rPr>
      <t xml:space="preserve"> and enter the folders that should be guarded:</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protected folders</t>
    </r>
    <r>
      <rPr>
        <sz val="11"/>
        <color rgb="FF006096"/>
        <rFont val="Roboto Condensed"/>
      </rPr>
      <t xml:space="preserve">
</t>
    </r>
  </si>
  <si>
    <t>Credential entry</t>
  </si>
  <si>
    <t>High-07.00</t>
  </si>
  <si>
    <r>
      <rPr>
        <b/>
        <sz val="11"/>
        <color rgb="FF003B5C"/>
        <rFont val="Calibri"/>
      </rPr>
      <t>Section overview: 'Credential entry'</t>
    </r>
  </si>
  <si>
    <r>
      <rPr>
        <sz val="11"/>
        <color rgb="FF000000"/>
        <rFont val="Calibri"/>
      </rPr>
      <t xml:space="preserve">Configure the individual settings listed in recommendations </t>
    </r>
    <r>
      <rPr>
        <b/>
        <sz val="11"/>
        <color rgb="FF000000"/>
        <rFont val="Calibri"/>
      </rPr>
      <t>High-07.01</t>
    </r>
    <r>
      <rPr>
        <sz val="11"/>
        <color rgb="FF000000"/>
        <rFont val="Calibri"/>
      </rPr>
      <t xml:space="preserve"> through </t>
    </r>
    <r>
      <rPr>
        <b/>
        <sz val="11"/>
        <color rgb="FF000000"/>
        <rFont val="Calibri"/>
      </rPr>
      <t>High-07.09</t>
    </r>
    <r>
      <rPr>
        <sz val="11"/>
        <color rgb="FF000000"/>
        <rFont val="Calibri"/>
      </rPr>
      <t xml:space="preserve"> to ensure credentials are entered in a secure manner.</t>
    </r>
  </si>
  <si>
    <r>
      <rPr>
        <sz val="11"/>
        <color rgb="FF000000"/>
        <rFont val="Calibri"/>
      </rPr>
      <t>When users enter their credentials on a workstation it provides an opportunity for malicious code, such as a key logging application, to capture the credentials. To reduce this risk, users should be authenticated by using a trusted path to enter their credentials on the Secure Desktop.</t>
    </r>
  </si>
  <si>
    <t>High-07.01</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</si>
  <si>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</si>
  <si>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</si>
  <si>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</si>
  <si>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An unauthorized user could disconnect the PC from the network or can connect the PC to other available networks without signing into Windows.</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</si>
  <si>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</si>
  <si>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</si>
  <si>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</si>
  <si>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High-07.02</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</si>
  <si>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</si>
  <si>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</si>
  <si>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</si>
  <si>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threat actor could use this feature to gather account names of other users, that information could then be used in conjunction with other types of attacks such as guessing passwords or social engineering. The value of this countermeasure is small because a user with domain credentials could gather the same account information using other methods.</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</si>
  <si>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</si>
  <si>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</si>
  <si>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</si>
  <si>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High-07.03</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</si>
  <si>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</si>
  <si>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</si>
  <si>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</si>
  <si>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is a useful feature when entering a long and complex password, especially when using a touchscreen. The potential risk is that someone else may see your password while surreptitiously observing your screen.</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</si>
  <si>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</si>
  <si>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</si>
  <si>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</si>
  <si>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High-07.04</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</si>
  <si>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</si>
  <si>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</si>
  <si>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</si>
  <si>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could see the list of administrator accounts, making it slightly easier for a threat actor who has logged onto a console session to try to crack the passwords of those accounts.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</si>
  <si>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</si>
  <si>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</si>
  <si>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High-07.05</t>
  </si>
  <si>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</si>
  <si>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Interface\Require trusted path for credential entry</t>
    </r>
    <r>
      <rPr>
        <sz val="11"/>
        <color rgb="FF006096"/>
        <rFont val="Roboto Condensed"/>
      </rPr>
      <t xml:space="preserve">
</t>
    </r>
  </si>
  <si>
    <t>High-07.06</t>
  </si>
  <si>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</si>
  <si>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Options\Disable or enable software Secure Attention Sequence</t>
    </r>
    <r>
      <rPr>
        <sz val="11"/>
        <color rgb="FF006096"/>
        <rFont val="Roboto Condensed"/>
      </rPr>
      <t xml:space="preserve">
</t>
    </r>
  </si>
  <si>
    <t>High-07.07</t>
  </si>
  <si>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</si>
  <si>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Logon Options\Enable MPR notifications for the system</t>
    </r>
    <r>
      <rPr>
        <sz val="11"/>
        <color rgb="FF006096"/>
        <rFont val="Roboto Condensed"/>
      </rPr>
      <t xml:space="preserve">
</t>
    </r>
  </si>
  <si>
    <r>
      <rPr>
        <sz val="11"/>
        <color rgb="FF000000"/>
        <rFont val="Calibri"/>
      </rPr>
      <t xml:space="preserve">This policy setting controls whether </t>
    </r>
    <r>
      <rPr>
        <b/>
        <sz val="11"/>
        <color rgb="FF000000"/>
        <rFont val="Calibri"/>
      </rPr>
      <t>winlogon</t>
    </r>
    <r>
      <rPr>
        <sz val="11"/>
        <color rgb="FF000000"/>
        <rFont val="Calibri"/>
      </rPr>
      <t xml:space="preserve"> sends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</si>
  <si>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MPR is a legacy utility that provides notifications to registered credential managers or network providers when there is a logon event or a password change event. Although this functionality can be used by legitimate applications, it can also be abused by attackers to harvest logon information.</t>
    </r>
  </si>
  <si>
    <r>
      <rPr>
        <b/>
        <sz val="11"/>
        <color rgb="FF000000"/>
        <rFont val="Calibri"/>
      </rPr>
      <t>Winlogon</t>
    </r>
    <r>
      <rPr>
        <sz val="11"/>
        <color rgb="FF000000"/>
        <rFont val="Calibri"/>
      </rPr>
      <t xml:space="preserve"> will not send Multiple Provider Router (MPR) notifications on the system. This setting may also cause issues with reconnecting to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</si>
  <si>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</si>
  <si>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Enabled. (Winlogon sends MPR notifications if a credential manager is configured.)</t>
    </r>
  </si>
  <si>
    <t>High-07.08</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</si>
  <si>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</si>
  <si>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</si>
  <si>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</si>
  <si>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feature will prevent the caching of user's credentials and unauthorized use of the device, and also ensure the user is aware of the restart.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</si>
  <si>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</si>
  <si>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</si>
  <si>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</si>
  <si>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High-07.09</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</si>
  <si>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</si>
  <si>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</si>
  <si>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</si>
  <si>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users are not required to press CTRL+ALT+DEL, they are susceptible to attacks that attempt to intercept their passwords. If CTRL+ALT+DEL is required before logon, user passwords are communicated by means of a trusted path.</t>
    </r>
    <r>
      <rPr>
        <sz val="11"/>
        <color rgb="FF000000"/>
        <rFont val="Calibri"/>
      </rPr>
      <t xml:space="preserve">
</t>
    </r>
    <r>
      <rPr>
        <sz val="11"/>
        <color rgb="FF000000"/>
        <rFont val="Calibri"/>
      </rPr>
      <t>A threat actor could install a Trojan horse program that looks like the standard Windows logon dialog box and capture the user's password. The threat actor would then be able to log on to the compromised account with whatever level of privilege that user has.</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</si>
  <si>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</si>
  <si>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</si>
  <si>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7 or older:</t>
    </r>
    <r>
      <rPr>
        <sz val="11"/>
        <color rgb="FF000000"/>
        <rFont val="Calibri"/>
      </rPr>
      <t xml:space="preserve"> Disabled.</t>
    </r>
    <r>
      <rPr>
        <sz val="11"/>
        <color rgb="FF000000"/>
        <rFont val="Calibri"/>
      </rPr>
      <t xml:space="preserve">
</t>
    </r>
    <r>
      <rPr>
        <b/>
        <sz val="11"/>
        <color rgb="FF000000"/>
        <rFont val="Calibri"/>
      </rPr>
      <t>On Windows 8.0 or newer:</t>
    </r>
    <r>
      <rPr>
        <sz val="11"/>
        <color rgb="FF000000"/>
        <rFont val="Calibri"/>
      </rPr>
      <t xml:space="preserve"> Enabled.</t>
    </r>
  </si>
  <si>
    <t>Early Launch Antimalware</t>
  </si>
  <si>
    <t>High-08.00</t>
  </si>
  <si>
    <r>
      <rPr>
        <b/>
        <sz val="11"/>
        <color rgb="FF003B5C"/>
        <rFont val="Calibri"/>
      </rPr>
      <t>Section overview: 'Early Launch Antimalware'</t>
    </r>
  </si>
  <si>
    <r>
      <rPr>
        <sz val="11"/>
        <color rgb="FF000000"/>
        <rFont val="Calibri"/>
      </rPr>
      <t xml:space="preserve">Configure the Boot-Start Driver Initialization Policy as detailed in recommendation </t>
    </r>
    <r>
      <rPr>
        <b/>
        <sz val="11"/>
        <color rgb="FF000000"/>
        <rFont val="Calibri"/>
      </rPr>
      <t>High-08.01</t>
    </r>
    <r>
      <rPr>
        <sz val="11"/>
        <color rgb="FF000000"/>
        <rFont val="Calibri"/>
      </rPr>
      <t>.</t>
    </r>
  </si>
  <si>
    <r>
      <rPr>
        <sz val="11"/>
        <color rgb="FF000000"/>
        <rFont val="Calibri"/>
      </rPr>
      <t xml:space="preserve">Another key security feature of Trusted Boot, supported by Microsoft Windows 11 in combination with motherboards with a Unified Extensible Firmware Interface (UEFI), is Early Launch Antimalware (ELAM) </t>
    </r>
    <r>
      <rPr>
        <sz val="11"/>
        <color rgb="FF0000FF"/>
        <rFont val="Calibri"/>
      </rPr>
      <t>(https://docs.microsoft.com/en-us/windows/compatibility/early-launch-antimalware)</t>
    </r>
    <r>
      <rPr>
        <sz val="11"/>
        <color rgb="FF000000"/>
        <rFont val="Calibri"/>
      </rPr>
      <t>. Used in conjunction with Secure Boot, an ELAM driver can be registered as the first non-Microsoft driver that will be initialised on a workstation as part of the boot process, thus allowing it to verify all subsequent drivers before they are initialised. The ELAM driver is capable of allowing only known good drivers to initialise; known good and unknown drivers to initialise; known good, unknown and bad but critical drivers to initialise; or all drivers to initialise. To reduce the risk of malicious drivers, only known good and unknown drivers should be allowed to be initialised during the boot process.</t>
    </r>
  </si>
  <si>
    <t>High-08.01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</si>
  <si>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</si>
  <si>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</si>
  <si>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</si>
  <si>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This policy setting helps reduce the impact of malware that has already infected your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</si>
  <si>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</si>
  <si>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</si>
  <si>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Elevating privileges</t>
  </si>
  <si>
    <t>High-09.00</t>
  </si>
  <si>
    <r>
      <rPr>
        <b/>
        <sz val="11"/>
        <color rgb="FF003B5C"/>
        <rFont val="Calibri"/>
      </rPr>
      <t>Section overview: 'Elevating privileges'</t>
    </r>
  </si>
  <si>
    <r>
      <rPr>
        <sz val="11"/>
        <color rgb="FF000000"/>
        <rFont val="Calibri"/>
      </rPr>
      <t xml:space="preserve">Configure the individual settings listed in recommendations </t>
    </r>
    <r>
      <rPr>
        <b/>
        <sz val="11"/>
        <color rgb="FF000000"/>
        <rFont val="Calibri"/>
      </rPr>
      <t>High-09.01</t>
    </r>
    <r>
      <rPr>
        <sz val="11"/>
        <color rgb="FF000000"/>
        <rFont val="Calibri"/>
      </rPr>
      <t xml:space="preserve"> through </t>
    </r>
    <r>
      <rPr>
        <b/>
        <sz val="11"/>
        <color rgb="FF000000"/>
        <rFont val="Calibri"/>
      </rPr>
      <t>High-09.07</t>
    </r>
    <r>
      <rPr>
        <sz val="11"/>
        <color rgb="FF000000"/>
        <rFont val="Calibri"/>
      </rPr>
      <t xml:space="preserve"> to implement effective UAC functionality.</t>
    </r>
  </si>
  <si>
    <r>
      <rPr>
        <sz val="11"/>
        <color rgb="FF000000"/>
        <rFont val="Calibri"/>
      </rPr>
      <t>Microsoft Windows provides the ability to require confirmation from users, via the User Access Control (UAC) functionality, before any sensitive actions are performed. The default settings allow privileged users to perform sensitive actions without first providing credentials and while standard users must provide privileged credentials they are not required to do so via a trusted path on the Secure Desktop. This provides an opportunity for malicious actors that gain access to an open session of a privileged user to perform sensitive actions at will or for malicious code to capture any credentials entered via a standard user when attempting to elevate their privileges. To reduce this risk, UAC functionality should be implemented to ensure all sensitive actions are authorised by providing credentials on the Secure Desktop.</t>
    </r>
  </si>
  <si>
    <t>High-09.01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</si>
  <si>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</si>
  <si>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</si>
  <si>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</si>
  <si>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One of the risks that the User Account Control feature introduced with Windows Vista is trying to mitigate is that of malicious software running under elevated credentials without the user or administrator being aware of its activity. An attack vector for these programs was to discover the password of the account named "Administrator" because that user account was created for all installations of Windows. To address this risk, in Windows Vista or newer, the built-in Administrator account is now disabled by default. In a default installation of a new computer, accounts with administrative control over the computer are initially set up in one of two ways:</t>
    </r>
    <r>
      <rPr>
        <sz val="11"/>
        <color rgb="FF000000"/>
        <rFont val="Calibri"/>
      </rPr>
      <t xml:space="preserve">
</t>
    </r>
    <r>
      <rPr>
        <sz val="11"/>
        <color rgb="FF000000"/>
        <rFont val="Calibri"/>
      </rPr>
      <t>If the computer is not joined to a domain, the first user account you create has the equivalent permissions as a local administrator.</t>
    </r>
    <r>
      <rPr>
        <sz val="11"/>
        <color rgb="FF000000"/>
        <rFont val="Calibri"/>
      </rPr>
      <t xml:space="preserve">
</t>
    </r>
    <r>
      <rPr>
        <sz val="11"/>
        <color rgb="FF000000"/>
        <rFont val="Calibri"/>
      </rPr>
      <t>If the computer is joined to a domain, no local administrator accounts are created. The Enterprise or Domain Administrator must log on to the computer and create one if a local administrator account is warranted.</t>
    </r>
    <r>
      <rPr>
        <sz val="11"/>
        <color rgb="FF000000"/>
        <rFont val="Calibri"/>
      </rPr>
      <t xml:space="preserve">
</t>
    </r>
    <r>
      <rPr>
        <sz val="11"/>
        <color rgb="FF000000"/>
        <rFont val="Calibri"/>
      </rPr>
      <t>Once Windows is installed, the built-in Administrator account may be manually enabled, but we strongly recommend that this account remain disabled.</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</si>
  <si>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</si>
  <si>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</si>
  <si>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</si>
  <si>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High-09.02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</si>
  <si>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</si>
  <si>
    <r>
      <rPr>
        <sz val="11"/>
        <color rgb="FF000000"/>
        <rFont val="Calibri"/>
      </rPr>
      <t xml:space="preserve">Set the following UI path to </t>
    </r>
    <r>
      <rPr>
        <b/>
        <sz val="11"/>
        <color rgb="FF000000"/>
        <rFont val="Calibri"/>
      </rPr>
      <t>Prompt for credentials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</si>
  <si>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</si>
  <si>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One of the risks that the UAC feature introduced with Windows Vista is trying to mitigate is that of malicious software running under elevated credentials without the user or administrator being aware of its activity. This setting raises awareness to the administrator of elevated privilege operations and permits the administrator to prevent a malicious program from elevating its privilege when the program attempts to do so.</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</si>
  <si>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</si>
  <si>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</si>
  <si>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</si>
  <si>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High-09.03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</si>
  <si>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</si>
  <si>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</si>
  <si>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</si>
  <si>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One of the risks that the User Account Control feature introduced with Windows Vista is trying to mitigate is that of malicious programs running under elevated credentials without the user or administrator being aware of their activity. This setting raises awareness to the user that a program requires the use of elevated privilege operations and requires that the user be able to supply administrative credentials in order for the program to run.</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</si>
  <si>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</si>
  <si>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</si>
  <si>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</si>
  <si>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High-09.04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</si>
  <si>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</si>
  <si>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</si>
  <si>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</si>
  <si>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Some malicious software will attempt to install itself after being given permission to run. For example, malicious software with a trusted application shell. The user may have given permission for the program to run because the program is trusted, but if they are then prompted for installation of an unknown component this provides another way of trapping the software before it can do damage</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</si>
  <si>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</si>
  <si>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</si>
  <si>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</si>
  <si>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High-09.05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</si>
  <si>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</si>
  <si>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</si>
  <si>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</si>
  <si>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UIAccess Integrity allows an application to bypass User Interface Privilege Isolation (UIPI) restrictions when an application is elevated in privilege from a standard user to an administrator. This is required to support accessibility features such as screen readers that are transmitting user interfaces to alternative forms. A process that is started with UIAccess rights has the following abilities:</t>
    </r>
    <r>
      <rPr>
        <sz val="11"/>
        <color rgb="FF000000"/>
        <rFont val="Calibri"/>
      </rPr>
      <t xml:space="preserve">
</t>
    </r>
    <r>
      <rPr>
        <sz val="11"/>
        <color rgb="FF000000"/>
        <rFont val="Calibri"/>
      </rPr>
      <t>To set the foreground window.</t>
    </r>
    <r>
      <rPr>
        <sz val="11"/>
        <color rgb="FF000000"/>
        <rFont val="Calibri"/>
      </rPr>
      <t xml:space="preserve">
</t>
    </r>
    <r>
      <rPr>
        <sz val="11"/>
        <color rgb="FF000000"/>
        <rFont val="Calibri"/>
      </rPr>
      <t>To drive any application window using SendInput function.</t>
    </r>
    <r>
      <rPr>
        <sz val="11"/>
        <color rgb="FF000000"/>
        <rFont val="Calibri"/>
      </rPr>
      <t xml:space="preserve">
</t>
    </r>
    <r>
      <rPr>
        <sz val="11"/>
        <color rgb="FF000000"/>
        <rFont val="Calibri"/>
      </rPr>
      <t>To use read input for all integrity levels using low-level hooks, raw input, GetKeyState, GetAsyncKeyState, and GetKeyboardInput.</t>
    </r>
    <r>
      <rPr>
        <sz val="11"/>
        <color rgb="FF000000"/>
        <rFont val="Calibri"/>
      </rPr>
      <t xml:space="preserve">
</t>
    </r>
    <r>
      <rPr>
        <sz val="11"/>
        <color rgb="FF000000"/>
        <rFont val="Calibri"/>
      </rPr>
      <t>To set journal hooks.</t>
    </r>
    <r>
      <rPr>
        <sz val="11"/>
        <color rgb="FF000000"/>
        <rFont val="Calibri"/>
      </rPr>
      <t xml:space="preserve">
</t>
    </r>
    <r>
      <rPr>
        <sz val="11"/>
        <color rgb="FF000000"/>
        <rFont val="Calibri"/>
      </rPr>
      <t>To uses AttachThreadInput to attach a thread to a higher integrity input queue.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</si>
  <si>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</si>
  <si>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</si>
  <si>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High-09.06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</si>
  <si>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</si>
  <si>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</si>
  <si>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</si>
  <si>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This is the setting that turns on or off UAC. If this setting is disabled, UAC will not be used and any security benefits and risk mitigations that are dependent on UAC will not be present on the system.</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</si>
  <si>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</si>
  <si>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</si>
  <si>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</si>
  <si>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High-09.07</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</si>
  <si>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</si>
  <si>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</si>
  <si>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</si>
  <si>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reduces vulnerabilities by ensuring that legacy applications only write data to permitted locations.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</si>
  <si>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</si>
  <si>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</si>
  <si>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Exploit protection</t>
  </si>
  <si>
    <t>High-10.00</t>
  </si>
  <si>
    <r>
      <rPr>
        <b/>
        <sz val="11"/>
        <color rgb="FF003B5C"/>
        <rFont val="Calibri"/>
      </rPr>
      <t>Section overview: 'Exploit protection'</t>
    </r>
  </si>
  <si>
    <r>
      <rPr>
        <sz val="11"/>
        <color rgb="FF000000"/>
        <rFont val="Calibri"/>
      </rPr>
      <t xml:space="preserve">Configure the individual settings listed in recommendations </t>
    </r>
    <r>
      <rPr>
        <b/>
        <sz val="11"/>
        <color rgb="FF000000"/>
        <rFont val="Calibri"/>
      </rPr>
      <t>High-10.01</t>
    </r>
    <r>
      <rPr>
        <sz val="11"/>
        <color rgb="FF000000"/>
        <rFont val="Calibri"/>
      </rPr>
      <t xml:space="preserve"> through </t>
    </r>
    <r>
      <rPr>
        <b/>
        <sz val="11"/>
        <color rgb="FF000000"/>
        <rFont val="Calibri"/>
      </rPr>
      <t>High-10.04</t>
    </r>
    <r>
      <rPr>
        <sz val="11"/>
        <color rgb="FF000000"/>
        <rFont val="Calibri"/>
      </rPr>
      <t xml:space="preserve"> to implement exploit protection.</t>
    </r>
  </si>
  <si>
    <r>
      <rPr>
        <sz val="11"/>
        <color rgb="FF000000"/>
        <rFont val="Calibri"/>
      </rPr>
      <t xml:space="preserve">Malicious actors that develop exploits for Microsoft Windows or third-party applications will have a higher success rate when security measures designed by Microsoft to help prevent vulnerabilities from being exploited are not implemented. Microsoft Defender's </t>
    </r>
    <r>
      <rPr>
        <sz val="11"/>
        <color rgb="FF0000FF"/>
        <rFont val="Calibri"/>
      </rPr>
      <t>(https://docs.microsoft.com/en-us/windows/security/threat-protection/microsoft-defender-atp/exploit-protection)</t>
    </r>
    <r>
      <rPr>
        <sz val="11"/>
        <color rgb="FF000000"/>
        <rFont val="Calibri"/>
      </rPr>
      <t>exploit protection functionality, a security feature of Microsoft Windows 11, provides system-wide and application-specific security measures. Exploit protection is designed to replace the Enhanced Mitigation Experience Toolkit (EMET) that was used on earlier versions of Microsoft Windows.</t>
    </r>
    <r>
      <rPr>
        <sz val="11"/>
        <color rgb="FF000000"/>
        <rFont val="Calibri"/>
      </rPr>
      <t xml:space="preserve">
</t>
    </r>
    <r>
      <rPr>
        <sz val="11"/>
        <color rgb="FF000000"/>
        <rFont val="Calibri"/>
      </rPr>
      <t>System-wide security measures configurable via exploit protection include: Control Flow Guard (CFG), Data Execution Prevention (DEP), mandatory Address Space Layout Randomization (ASLR), bottom-up ASLR, Structured Exception Handling Overwrite Protection (SEHOP) and heap corruption protection.</t>
    </r>
    <r>
      <rPr>
        <sz val="11"/>
        <color rgb="FF000000"/>
        <rFont val="Calibri"/>
      </rPr>
      <t xml:space="preserve">
</t>
    </r>
    <r>
      <rPr>
        <sz val="11"/>
        <color rgb="FF000000"/>
        <rFont val="Calibri"/>
      </rPr>
      <t>Many more application-specific security measures are also available, however, they will require testing (either within a test environment or using audit mode) beforehand to limit the likelihood of any unintended consequences. As such, a staged approach to implementing application-specific security measures is prudent. In doing so, applications that ingest arbitrary untrusted data from the internet should be prioritised.</t>
    </r>
  </si>
  <si>
    <t>High-10.01</t>
  </si>
  <si>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XML configuration file</t>
    </r>
  </si>
  <si>
    <r>
      <rPr>
        <sz val="11"/>
        <color rgb="FF000000"/>
        <rFont val="Calibri"/>
      </rPr>
      <t xml:space="preserve">Set the following UI path to </t>
    </r>
    <r>
      <rPr>
        <b/>
        <sz val="11"/>
        <color rgb="FF000000"/>
        <rFont val="Calibri"/>
      </rPr>
      <t>Enabled</t>
    </r>
    <r>
      <rPr>
        <sz val="11"/>
        <color rgb="FF000000"/>
        <rFont val="Calibri"/>
      </rPr>
      <t xml:space="preserve"> and specify the location (local path, UNC path, or URL) of the mitigation settings configuration XML file:</t>
    </r>
    <r>
      <rPr>
        <sz val="11"/>
        <color rgb="FF000000"/>
        <rFont val="Calibri"/>
      </rPr>
      <t xml:space="preserve">
</t>
    </r>
    <r>
      <rPr>
        <sz val="11"/>
        <color rgb="FF006096"/>
        <rFont val="Roboto Condensed"/>
      </rPr>
      <t>Computer Configuration\Policies\Administrative Templates\Windows Components\Microsoft Defender Exploit Guard\Exploit Protection\Use a common set of exploit protection settings</t>
    </r>
    <r>
      <rPr>
        <sz val="11"/>
        <color rgb="FF006096"/>
        <rFont val="Roboto Condensed"/>
      </rPr>
      <t xml:space="preserve">
</t>
    </r>
  </si>
  <si>
    <t>High-10.02</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</si>
  <si>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</si>
  <si>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</si>
  <si>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</si>
  <si>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authorized IT staff should be able to make changes to the exploit protection settings in order to ensure the organizations specific configuration is not modified.</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</si>
  <si>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</si>
  <si>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</si>
  <si>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</si>
  <si>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High-10.03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</si>
  <si>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</si>
  <si>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</si>
  <si>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</si>
  <si>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Data Execution Prevention is an important security feature supported by Explorer that helps to limit the impact of certain types of malware.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</si>
  <si>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</si>
  <si>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</si>
  <si>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High-10.04</t>
  </si>
  <si>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</si>
  <si>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Guide\Enabled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MS Security Guide ADMX templates from the Microsoft Security Compliance Toolkit.</t>
    </r>
  </si>
  <si>
    <t>Local administrator accounts</t>
  </si>
  <si>
    <t>High-11.00</t>
  </si>
  <si>
    <r>
      <rPr>
        <b/>
        <sz val="11"/>
        <color rgb="FF003B5C"/>
        <rFont val="Calibri"/>
      </rPr>
      <t>Section overview: 'Local administrator accounts'</t>
    </r>
  </si>
  <si>
    <r>
      <rPr>
        <sz val="11"/>
        <color rgb="FF000000"/>
        <rFont val="Calibri"/>
      </rPr>
      <t xml:space="preserve">Configure the individual settings listed in recommendations </t>
    </r>
    <r>
      <rPr>
        <b/>
        <sz val="11"/>
        <color rgb="FF000000"/>
        <rFont val="Calibri"/>
      </rPr>
      <t>High-11.01</t>
    </r>
    <r>
      <rPr>
        <sz val="11"/>
        <color rgb="FF000000"/>
        <rFont val="Calibri"/>
      </rPr>
      <t xml:space="preserve"> through </t>
    </r>
    <r>
      <rPr>
        <b/>
        <sz val="11"/>
        <color rgb="FF000000"/>
        <rFont val="Calibri"/>
      </rPr>
      <t>High-11.06</t>
    </r>
    <r>
      <rPr>
        <sz val="11"/>
        <color rgb="FF000000"/>
        <rFont val="Calibri"/>
      </rPr>
      <t xml:space="preserve"> to secure local administrator accounts.</t>
    </r>
  </si>
  <si>
    <r>
      <rPr>
        <sz val="11"/>
        <color rgb="FF000000"/>
        <rFont val="Calibri"/>
      </rPr>
      <t xml:space="preserve">When built-in administrator accounts are used with common account names and passwords it can allow malicious actors that compromise these credentials on one workstation to easily transfer across the network to other workstations. Even if built-in administrator accounts are uniquely named and have unique passwords, malicious actors can still identify these accounts based on their security identifier (i.e. S-1-5-21-domain-500) and use this information to focus any attempts to brute force credentials on a workstation if they can get access to the SAM database </t>
    </r>
    <r>
      <rPr>
        <sz val="11"/>
        <color rgb="FF0000FF"/>
        <rFont val="Calibri"/>
      </rPr>
      <t>(https://docs.microsoft.com/en-us/openspecs/windows_protocols/ms-dtyp/81d92bba-d22b-4a8c-908a-554ab29148ab)</t>
    </r>
    <r>
      <rPr>
        <sz val="11"/>
        <color rgb="FF000000"/>
        <rFont val="Calibri"/>
      </rPr>
      <t xml:space="preserve">. To reduce this risk, Microsoft's Local Administrator Password Solution (LAPS) needs to be used to ensure unique passphrases are used for each workstation </t>
    </r>
    <r>
      <rPr>
        <sz val="11"/>
        <color rgb="FF0000FF"/>
        <rFont val="Calibri"/>
      </rPr>
      <t>(https://docs.microsoft.com/en-us/windows-server/identity/laps/laps-overview)</t>
    </r>
    <r>
      <rPr>
        <sz val="11"/>
        <color rgb="FF000000"/>
        <rFont val="Calibri"/>
      </rPr>
      <t>. In addition, User Account Control restrictions should be applied to remote connections using such accounts.</t>
    </r>
  </si>
  <si>
    <t>High-11.01</t>
  </si>
  <si>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</si>
  <si>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Administrator account status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value intentionally differs from the CIS benchmark recommendation of </t>
    </r>
    <r>
      <rPr>
        <b/>
        <sz val="11"/>
        <color rgb="FF000000"/>
        <rFont val="Calibri"/>
      </rPr>
      <t>Disabled</t>
    </r>
    <r>
      <rPr>
        <sz val="11"/>
        <color rgb="FF000000"/>
        <rFont val="Calibri"/>
      </rPr>
      <t>. ASD manages the built-in Administrator account via LAPS.</t>
    </r>
  </si>
  <si>
    <r>
      <rPr>
        <sz val="11"/>
        <color rgb="FF000000"/>
        <rFont val="Calibri"/>
      </rPr>
      <t>ASD recommends enabling the built-in Administrator account and managing it via Local Administrator Password Solution (LAPS) to ensure a unique passphrase is assigned per workstation. This differs from the CIS benchmark recommendation of Disabled.</t>
    </r>
  </si>
  <si>
    <t>High-11.02</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</si>
  <si>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</si>
  <si>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 or Azure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</si>
  <si>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</si>
  <si>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Due to the difficulty in managing local Administrator passwords, many organizations choose to use the same password on all workstations and/or Member Servers when deploying them. This creates a serious attack surface security risk because if a threat actor manages to compromise one system and learn the password to its local Administrator account, then they can leverage that account to instantly gain access to all other computers that also use that password for their local Administrator account.</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</si>
  <si>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</si>
  <si>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</si>
  <si>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</si>
  <si>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High-11.03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</si>
  <si>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</si>
  <si>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</si>
  <si>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</si>
  <si>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</si>
  <si>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</si>
  <si>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</si>
  <si>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High-11.04</t>
  </si>
  <si>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</si>
  <si>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Templates\System\LAPS\Name of administrator account to manage</t>
    </r>
    <r>
      <rPr>
        <sz val="11"/>
        <color rgb="FF006096"/>
        <rFont val="Roboto Condensed"/>
      </rPr>
      <t xml:space="preserve">
</t>
    </r>
  </si>
  <si>
    <t>High-11.05</t>
  </si>
  <si>
    <r>
      <rPr>
        <sz val="11"/>
        <rFont val="Calibri"/>
      </rPr>
      <t xml:space="preserve">Ensure </t>
    </r>
    <r>
      <rPr>
        <sz val="11"/>
        <color rgb="FF000000"/>
        <rFont val="Calibri"/>
      </rPr>
      <t>'</t>
    </r>
    <r>
      <rPr>
        <b/>
        <sz val="11"/>
        <color rgb="FF000000"/>
        <rFont val="Calibri"/>
      </rPr>
      <t>Password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Password Complexity: Large letters + small letters, Password Length: 30, Password Age (Days): 365</t>
    </r>
  </si>
  <si>
    <r>
      <rPr>
        <sz val="11"/>
        <color rgb="FF000000"/>
        <rFont val="Calibri"/>
      </rPr>
      <t xml:space="preserve">Set the following UI path to </t>
    </r>
    <r>
      <rPr>
        <b/>
        <sz val="11"/>
        <color rgb="FF000000"/>
        <rFont val="Calibri"/>
      </rPr>
      <t>Enabled: Password Complexity: Large letters + small letters, Password Length: 30, Password Age (Days): 365</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</si>
  <si>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</si>
  <si>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</si>
  <si>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</si>
  <si>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</si>
  <si>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High-11.06</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</si>
  <si>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</si>
  <si>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</si>
  <si>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 documents </t>
    </r>
    <r>
      <rPr>
        <sz val="11"/>
        <color rgb="FF0000FF"/>
        <rFont val="Calibri"/>
      </rPr>
      <t>(http://www.microsoft.com/en-us/download/details.aspx?id=36036)</t>
    </r>
    <r>
      <rPr>
        <sz val="11"/>
        <color rgb="FF000000"/>
        <rFont val="Calibri"/>
      </rPr>
      <t>.</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</si>
  <si>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accounts are at high risk for credential theft when the same account and password is configured on multiple systems. Ensuring this policy is Enabled significantly reduces that risk.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</si>
  <si>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</si>
  <si>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</si>
  <si>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Measured Boot</t>
  </si>
  <si>
    <t>High-12.00</t>
  </si>
  <si>
    <r>
      <rPr>
        <b/>
        <sz val="11"/>
        <color rgb="FF003B5C"/>
        <rFont val="Calibri"/>
      </rPr>
      <t>Section overview: 'Measured Boot'</t>
    </r>
  </si>
  <si>
    <r>
      <rPr>
        <sz val="11"/>
        <color rgb="FF000000"/>
        <rFont val="Calibri"/>
      </rPr>
      <t>Ensure workstations use hardware that supports both UEFI and TPM. Enable Measured Boot through the UEFI firmware configuration. No Group Policy setting directly controls Measured Boot; hardware and firmware support is the prerequisite.</t>
    </r>
  </si>
  <si>
    <r>
      <rPr>
        <sz val="11"/>
        <color rgb="FF000000"/>
        <rFont val="Calibri"/>
      </rPr>
      <t xml:space="preserve">The third key security feature of Trusted Boot, supported by Microsoft Windows 11 in combination with motherboards with both a UEFI and a </t>
    </r>
    <r>
      <rPr>
        <sz val="11"/>
        <color rgb="FF0000FF"/>
        <rFont val="Calibri"/>
      </rPr>
      <t>(https://docs.microsoft.com/en-us/windows/security/information-protection/tpm/trusted-platform-module-overview)</t>
    </r>
    <r>
      <rPr>
        <sz val="11"/>
        <color rgb="FF000000"/>
        <rFont val="Calibri"/>
      </rPr>
      <t xml:space="preserve">Trusted Platform Module (TPM), is Measured Boot </t>
    </r>
    <r>
      <rPr>
        <sz val="11"/>
        <color rgb="FF0000FF"/>
        <rFont val="Calibri"/>
      </rPr>
      <t>(https://docs.microsoft.com/en-us/windows/security/threat-protection/secure-the-windows-10-boot-process)</t>
    </r>
    <r>
      <rPr>
        <sz val="11"/>
        <color rgb="FF000000"/>
        <rFont val="Calibri"/>
      </rPr>
      <t>. Measured Boot is used to develop a reliable log of components that are initialised before the ELAM driver. This information can then be scrutinised by antimalware software for signs of tampering of boot components. To reduce the risk that malicious changes to boot components go unnoticed, Measured Boot should be used on workstations that support it.</t>
    </r>
  </si>
  <si>
    <t>Microsoft Edge</t>
  </si>
  <si>
    <t>High-13.00</t>
  </si>
  <si>
    <r>
      <rPr>
        <b/>
        <sz val="11"/>
        <color rgb="FF003B5C"/>
        <rFont val="Calibri"/>
      </rPr>
      <t>Section overview: 'Microsoft Edge'</t>
    </r>
  </si>
  <si>
    <r>
      <rPr>
        <sz val="11"/>
        <color rgb="FF000000"/>
        <rFont val="Calibri"/>
      </rPr>
      <t>Use Microsoft Edge as the primary web browser. Install the Microsoft Edge Group Policy Administrative Templates and apply the Microsoft Edge security baseline. Ensure Microsoft Defender SmartScreen is enabled.</t>
    </r>
  </si>
  <si>
    <r>
      <rPr>
        <sz val="11"/>
        <color rgb="FF000000"/>
        <rFont val="Calibri"/>
      </rPr>
      <t>Microsoft Edge is a web browser that was introduced to replace Internet Explorer 11. As Microsoft Edge contains enhanced security functionality (being based on the Chromium project) it should be used wherever possible.</t>
    </r>
    <r>
      <rPr>
        <sz val="11"/>
        <color rgb="FF000000"/>
        <rFont val="Calibri"/>
      </rPr>
      <t xml:space="preserve">
</t>
    </r>
    <r>
      <rPr>
        <sz val="11"/>
        <color rgb="FF000000"/>
        <rFont val="Calibri"/>
      </rPr>
      <t xml:space="preserve">For organisations using Microsoft Edge instead of third-party web browsers, a number of Group Policy settings can be configured (once the </t>
    </r>
    <r>
      <rPr>
        <sz val="11"/>
        <color rgb="FF0000FF"/>
        <rFont val="Calibri"/>
      </rPr>
      <t>(https://www.microsoft.com/en-us/edge/business/download)</t>
    </r>
    <r>
      <rPr>
        <sz val="11"/>
        <color rgb="FF000000"/>
        <rFont val="Calibri"/>
      </rPr>
      <t xml:space="preserve">supporting Group Policy Administrative Templates have been installed) to harden the web browser, including Microsoft Defender SmartScreen </t>
    </r>
    <r>
      <rPr>
        <sz val="11"/>
        <color rgb="FF0000FF"/>
        <rFont val="Calibri"/>
      </rPr>
      <t>(https://docs.microsoft.com/en-us/windows/security/threat-protection/microsoft-defender-smartscreen/microsoft-defender-smartscreen-overview)</t>
    </r>
    <r>
      <rPr>
        <sz val="11"/>
        <color rgb="FF000000"/>
        <rFont val="Calibri"/>
      </rPr>
      <t xml:space="preserve">. Recommended hardening guidance for Microsoft Edge is available from the Microsoft Security Baselines Blog </t>
    </r>
    <r>
      <rPr>
        <sz val="11"/>
        <color rgb="FF0000FF"/>
        <rFont val="Calibri"/>
      </rPr>
      <t>(https://techcommunity.microsoft.com/t5/microsoft-security-baselines/bg-p/Microsoft-Security-Baselines)</t>
    </r>
    <r>
      <rPr>
        <sz val="11"/>
        <color rgb="FF000000"/>
        <rFont val="Calibri"/>
      </rPr>
      <t>.</t>
    </r>
  </si>
  <si>
    <t>Multi-factor authentication</t>
  </si>
  <si>
    <t>High-14.00</t>
  </si>
  <si>
    <r>
      <rPr>
        <b/>
        <sz val="11"/>
        <color rgb="FF003B5C"/>
        <rFont val="Calibri"/>
      </rPr>
      <t>Section overview: 'Multi-factor authentication'</t>
    </r>
  </si>
  <si>
    <r>
      <rPr>
        <sz val="11"/>
        <color rgb="FF000000"/>
        <rFont val="Calibri"/>
      </rPr>
      <t xml:space="preserve">Configure the individual settings listed in recommendations </t>
    </r>
    <r>
      <rPr>
        <b/>
        <sz val="11"/>
        <color rgb="FF000000"/>
        <rFont val="Calibri"/>
      </rPr>
      <t>High-14.01</t>
    </r>
    <r>
      <rPr>
        <sz val="11"/>
        <color rgb="FF000000"/>
        <rFont val="Calibri"/>
      </rPr>
      <t xml:space="preserve"> through </t>
    </r>
    <r>
      <rPr>
        <b/>
        <sz val="11"/>
        <color rgb="FF000000"/>
        <rFont val="Calibri"/>
      </rPr>
      <t>High-14.06</t>
    </r>
    <r>
      <rPr>
        <sz val="11"/>
        <color rgb="FF000000"/>
        <rFont val="Calibri"/>
      </rPr>
      <t xml:space="preserve"> to implement Windows Hello for Business with hardware security device and biometric support.</t>
    </r>
  </si>
  <si>
    <r>
      <rPr>
        <sz val="11"/>
        <color rgb="FF000000"/>
        <rFont val="Calibri"/>
      </rPr>
      <t>As privileged credentials often allow users to bypass security functionality put in place to protect workstations, and are susceptible to key logging applications, it is important that they are appropriately protected against compromise. In addition, malicious actors that brute force captured password hashes can gain access to workstations if multi-factor authentication has not been implemented. To reduce this risk, hardware-based multi-factor authentication should be used for privileged users, remote access and any access to important or sensitive data repositories.</t>
    </r>
    <r>
      <rPr>
        <sz val="11"/>
        <color rgb="FF000000"/>
        <rFont val="Calibri"/>
      </rPr>
      <t xml:space="preserve">
</t>
    </r>
    <r>
      <rPr>
        <sz val="11"/>
        <color rgb="FF000000"/>
        <rFont val="Calibri"/>
      </rPr>
      <t xml:space="preserve">Organisations may consider whether Windows Hello for Business (WHfB) is suitable for their environment </t>
    </r>
    <r>
      <rPr>
        <sz val="11"/>
        <color rgb="FF0000FF"/>
        <rFont val="Calibri"/>
      </rPr>
      <t>(https://docs.microsoft.com/en-us/windows/security/identity-protection/hello-for-business/hello-identity-verification)</t>
    </r>
    <r>
      <rPr>
        <sz val="11"/>
        <color rgb="FF000000"/>
        <rFont val="Calibri"/>
      </rPr>
      <t>. Notably, WHfB can be configured with a personal identification number (PIN) or face/fingerprint recognition to unlock the use of asymmetric cryptography stored in a TPM in order to authenticate users.</t>
    </r>
    <r>
      <rPr>
        <sz val="11"/>
        <color rgb="FF000000"/>
        <rFont val="Calibri"/>
      </rPr>
      <t xml:space="preserve">
</t>
    </r>
    <r>
      <rPr>
        <sz val="11"/>
        <color rgb="FF000000"/>
        <rFont val="Calibri"/>
      </rPr>
      <t xml:space="preserve">For more information see the Implementing multi-factor authentication publication </t>
    </r>
    <r>
      <rPr>
        <sz val="11"/>
        <color rgb="FF0000FF"/>
        <rFont val="Calibri"/>
      </rPr>
      <t>(https://www.cyber.gov.au/resources-business-and-government/maintaining-devices-and-systems/system-hardening-and-administration/system-hardening/implementing-multi-factor-authentication)</t>
    </r>
    <r>
      <rPr>
        <sz val="11"/>
        <color rgb="FF000000"/>
        <rFont val="Calibri"/>
      </rPr>
      <t>.</t>
    </r>
  </si>
  <si>
    <t>High-14.01</t>
  </si>
  <si>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PIN Expiration: 365</t>
    </r>
    <r>
      <rPr>
        <sz val="11"/>
        <color rgb="FF000000"/>
        <rFont val="Calibri"/>
      </rPr>
      <t>'</t>
    </r>
  </si>
  <si>
    <r>
      <rPr>
        <sz val="11"/>
        <color rgb="FF000000"/>
        <rFont val="Calibri"/>
      </rPr>
      <t xml:space="preserve">Set the following UI path to </t>
    </r>
    <r>
      <rPr>
        <b/>
        <sz val="11"/>
        <color rgb="FF000000"/>
        <rFont val="Calibri"/>
      </rPr>
      <t>Enabled: PIN Expiration: 365</t>
    </r>
    <r>
      <rPr>
        <sz val="11"/>
        <color rgb="FF000000"/>
        <rFont val="Calibri"/>
      </rPr>
      <t>:</t>
    </r>
    <r>
      <rPr>
        <sz val="11"/>
        <color rgb="FF000000"/>
        <rFont val="Calibri"/>
      </rPr>
      <t xml:space="preserve">
</t>
    </r>
    <r>
      <rPr>
        <sz val="11"/>
        <color rgb="FF006096"/>
        <rFont val="Roboto Condensed"/>
      </rPr>
      <t>Computer Configuration\Policies\Administrative Templates\System\PIN Complexity\Expiration</t>
    </r>
    <r>
      <rPr>
        <sz val="11"/>
        <color rgb="FF006096"/>
        <rFont val="Roboto Condensed"/>
      </rPr>
      <t xml:space="preserve">
</t>
    </r>
  </si>
  <si>
    <t>High-14.02</t>
  </si>
  <si>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PIN length: 6</t>
    </r>
    <r>
      <rPr>
        <sz val="11"/>
        <color rgb="FF000000"/>
        <rFont val="Calibri"/>
      </rPr>
      <t>'</t>
    </r>
  </si>
  <si>
    <r>
      <rPr>
        <sz val="11"/>
        <color rgb="FF000000"/>
        <rFont val="Calibri"/>
      </rPr>
      <t xml:space="preserve">Set the following UI path to </t>
    </r>
    <r>
      <rPr>
        <b/>
        <sz val="11"/>
        <color rgb="FF000000"/>
        <rFont val="Calibri"/>
      </rPr>
      <t>Enabled: Minimum PIN length: 6</t>
    </r>
    <r>
      <rPr>
        <sz val="11"/>
        <color rgb="FF000000"/>
        <rFont val="Calibri"/>
      </rPr>
      <t>:</t>
    </r>
    <r>
      <rPr>
        <sz val="11"/>
        <color rgb="FF000000"/>
        <rFont val="Calibri"/>
      </rPr>
      <t xml:space="preserve">
</t>
    </r>
    <r>
      <rPr>
        <sz val="11"/>
        <color rgb="FF006096"/>
        <rFont val="Roboto Condensed"/>
      </rPr>
      <t>Computer Configuration\Policies\Administrative Templates\System\PIN Complexity\Minimum PIN length</t>
    </r>
    <r>
      <rPr>
        <sz val="11"/>
        <color rgb="FF006096"/>
        <rFont val="Roboto Condensed"/>
      </rPr>
      <t xml:space="preserve">
</t>
    </r>
  </si>
  <si>
    <t>High-14.03</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</si>
  <si>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</si>
  <si>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</si>
  <si>
    <t>High-14.04</t>
  </si>
  <si>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use the following security devices: TPM 1.2</t>
    </r>
    <r>
      <rPr>
        <sz val="11"/>
        <color rgb="FF000000"/>
        <rFont val="Calibri"/>
      </rPr>
      <t>'</t>
    </r>
  </si>
  <si>
    <r>
      <rPr>
        <sz val="11"/>
        <color rgb="FF000000"/>
        <rFont val="Calibri"/>
      </rPr>
      <t xml:space="preserve">Set the following UI path to </t>
    </r>
    <r>
      <rPr>
        <b/>
        <sz val="11"/>
        <color rgb="FF000000"/>
        <rFont val="Calibri"/>
      </rPr>
      <t>Enabled: Do not use the following security devices: TPM 1.2</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a hardware security device</t>
    </r>
    <r>
      <rPr>
        <sz val="11"/>
        <color rgb="FF006096"/>
        <rFont val="Roboto Condensed"/>
      </rPr>
      <t xml:space="preserve">
</t>
    </r>
  </si>
  <si>
    <t>High-14.05</t>
  </si>
  <si>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</si>
  <si>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biometrics</t>
    </r>
    <r>
      <rPr>
        <sz val="11"/>
        <color rgb="FF006096"/>
        <rFont val="Roboto Condensed"/>
      </rPr>
      <t xml:space="preserve">
</t>
    </r>
  </si>
  <si>
    <t>High-14.06</t>
  </si>
  <si>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</si>
  <si>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Windows Hello for Business</t>
    </r>
    <r>
      <rPr>
        <sz val="11"/>
        <color rgb="FF006096"/>
        <rFont val="Roboto Condensed"/>
      </rPr>
      <t xml:space="preserve">
</t>
    </r>
  </si>
  <si>
    <t>Operating system architecture</t>
  </si>
  <si>
    <t>High-15.00</t>
  </si>
  <si>
    <r>
      <rPr>
        <b/>
        <sz val="11"/>
        <color rgb="FF003B5C"/>
        <rFont val="Calibri"/>
      </rPr>
      <t>Section overview: 'Operating system architecture'</t>
    </r>
  </si>
  <si>
    <r>
      <rPr>
        <sz val="11"/>
        <color rgb="FF000000"/>
        <rFont val="Calibri"/>
      </rPr>
      <t xml:space="preserve">Ensure all workstations use the x64 (64-bit) edition of Microsoft Windows 11. Verify the architecture via Settings &gt; System &gt; About or by running </t>
    </r>
    <r>
      <rPr>
        <b/>
        <sz val="11"/>
        <color rgb="FF000000"/>
        <rFont val="Calibri"/>
      </rPr>
      <t>systeminfo</t>
    </r>
    <r>
      <rPr>
        <sz val="11"/>
        <color rgb="FF000000"/>
        <rFont val="Calibri"/>
      </rPr>
      <t xml:space="preserve"> at a command prompt.</t>
    </r>
  </si>
  <si>
    <r>
      <rPr>
        <sz val="11"/>
        <color rgb="FF000000"/>
        <rFont val="Calibri"/>
      </rPr>
      <t>The x64 (64-bit) versions of Microsoft Windows include additional security functionality that the x86 (32-bit) versions lack. This includes native hardware-based Data Execution Prevention (DEP) kernel support, Kernel Patch Protection (PatchGuard), mandatory device driver signing and lack of support for malicious 32-bit drivers. Using x86 (32-bit) versions of Microsoft Windows exposes organisations to exploit techniques mitigated by x64 (64-bit) versions of Microsoft Windows. To reduce this risk, workstations should use the x64 (64-bit) versions of Microsoft Windows.</t>
    </r>
  </si>
  <si>
    <t>Operating system patching</t>
  </si>
  <si>
    <t>High-16.00</t>
  </si>
  <si>
    <r>
      <rPr>
        <b/>
        <sz val="11"/>
        <color rgb="FF003B5C"/>
        <rFont val="Calibri"/>
      </rPr>
      <t>Section overview: 'Operating system patching'</t>
    </r>
  </si>
  <si>
    <r>
      <rPr>
        <sz val="11"/>
        <color rgb="FF000000"/>
        <rFont val="Calibri"/>
      </rPr>
      <t xml:space="preserve">Configure the individual settings listed in recommendations </t>
    </r>
    <r>
      <rPr>
        <b/>
        <sz val="11"/>
        <color rgb="FF000000"/>
        <rFont val="Calibri"/>
      </rPr>
      <t>High-16.01</t>
    </r>
    <r>
      <rPr>
        <sz val="11"/>
        <color rgb="FF000000"/>
        <rFont val="Calibri"/>
      </rPr>
      <t xml:space="preserve"> through </t>
    </r>
    <r>
      <rPr>
        <b/>
        <sz val="11"/>
        <color rgb="FF000000"/>
        <rFont val="Calibri"/>
      </rPr>
      <t>High-16.05</t>
    </r>
    <r>
      <rPr>
        <sz val="11"/>
        <color rgb="FF000000"/>
        <rFont val="Calibri"/>
      </rPr>
      <t xml:space="preserve"> to ensure operating systems remain appropriately patched.</t>
    </r>
  </si>
  <si>
    <r>
      <rPr>
        <sz val="11"/>
        <color rgb="FF000000"/>
        <rFont val="Calibri"/>
      </rPr>
      <t>Patches are released either in response to previously disclosed vulnerabilities or to proactively address vulnerabilities that have not yet been publicly disclosed. In the case of disclosed vulnerabilities, it is possible that exploits have already been developed and are freely available in common hacking tools. In the case of patches for vulnerabilities that have not yet been publically disclosed, it is relatively easy for malicious actors to use freely available tools to identify the vulnerability being patched and develop an associated exploit. This activity can be undertaken in less than one day and has led to an increase in 1-day attacks. To reduce this risk, operating system patches and driver updates should be centrally managed, deployed and applied in an appropriate timeframe as determined by the severity of the vulnerability and any mitigating measures already in place.</t>
    </r>
    <r>
      <rPr>
        <sz val="11"/>
        <color rgb="FF000000"/>
        <rFont val="Calibri"/>
      </rPr>
      <t xml:space="preserve">
</t>
    </r>
    <r>
      <rPr>
        <sz val="11"/>
        <color rgb="FF000000"/>
        <rFont val="Calibri"/>
      </rPr>
      <t xml:space="preserve">For more information see the Patching applications and operating systems publication </t>
    </r>
    <r>
      <rPr>
        <sz val="11"/>
        <color rgb="FF0000FF"/>
        <rFont val="Calibri"/>
      </rPr>
      <t>(https://www.cyber.gov.au/resources-business-and-government/maintaining-devices-and-systems/system-hardening-and-administration/system-hardening/patching-applications-and-operating-systems)</t>
    </r>
    <r>
      <rPr>
        <sz val="11"/>
        <color rgb="FF000000"/>
        <rFont val="Calibri"/>
      </rPr>
      <t>.</t>
    </r>
  </si>
  <si>
    <t>High-16.01</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</si>
  <si>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</si>
  <si>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</si>
  <si>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the recommendation </t>
    </r>
    <r>
      <rPr>
        <i/>
        <sz val="11"/>
        <color rgb="FF000000"/>
        <rFont val="Calibri"/>
      </rPr>
      <t>'Configure Automatic Updates'</t>
    </r>
    <r>
      <rPr>
        <sz val="11"/>
        <color rgb="FF000000"/>
        <rFont val="Calibri"/>
      </rPr>
      <t>. It will have no impact if any other option is selected.</t>
    </r>
  </si>
  <si>
    <r>
      <rPr>
        <sz val="11"/>
        <color rgb="FF000000"/>
        <rFont val="Calibri"/>
      </rPr>
      <t>Although each version of Windows is thoroughly tested before release, it is possible that problems will be discovered after the products are shipped. The Configure Automatic Updates setting can help you ensure that the computers in your environment will always have the most recent critical operating system updates and service packs installed.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</si>
  <si>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t>
    </r>
    <r>
      <rPr>
        <i/>
        <sz val="11"/>
        <color rgb="FF000000"/>
        <rFont val="Calibri"/>
      </rPr>
      <t>'Configure Automatic Updates'</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</si>
  <si>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</si>
  <si>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</si>
  <si>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High-16.02</t>
  </si>
  <si>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</si>
  <si>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"Pause updates" feature</t>
    </r>
    <r>
      <rPr>
        <sz val="11"/>
        <color rgb="FF006096"/>
        <rFont val="Roboto Condensed"/>
      </rPr>
      <t xml:space="preserve">
</t>
    </r>
  </si>
  <si>
    <t>High-16.03</t>
  </si>
  <si>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</si>
  <si>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use all Windows Update features</t>
    </r>
    <r>
      <rPr>
        <sz val="11"/>
        <color rgb="FF006096"/>
        <rFont val="Roboto Condensed"/>
      </rPr>
      <t xml:space="preserve">
</t>
    </r>
  </si>
  <si>
    <t>High-16.04</t>
  </si>
  <si>
    <r>
      <rPr>
        <sz val="11"/>
        <rFont val="Calibri"/>
      </rPr>
      <t xml:space="preserve">Ensure </t>
    </r>
    <r>
      <rPr>
        <sz val="11"/>
        <color rgb="FF000000"/>
        <rFont val="Calibri"/>
      </rPr>
      <t>'</t>
    </r>
    <r>
      <rPr>
        <b/>
        <sz val="11"/>
        <color rgb="FF000000"/>
        <rFont val="Calibri"/>
      </rPr>
      <t>Allow Updates in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</si>
  <si>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Components\OOBE\Allow Updates in OOBE</t>
    </r>
    <r>
      <rPr>
        <sz val="11"/>
        <color rgb="FF006096"/>
        <rFont val="Roboto Condensed"/>
      </rPr>
      <t xml:space="preserve">
</t>
    </r>
  </si>
  <si>
    <t>High-16.05</t>
  </si>
  <si>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server address (when using WSUS)</t>
    </r>
  </si>
  <si>
    <r>
      <rPr>
        <sz val="11"/>
        <color rgb="FF000000"/>
        <rFont val="Calibri"/>
      </rPr>
      <t xml:space="preserve">Set the following UI path to </t>
    </r>
    <r>
      <rPr>
        <b/>
        <sz val="11"/>
        <color rgb="FF000000"/>
        <rFont val="Calibri"/>
      </rPr>
      <t>Enabled: Set the intranet update service for detecting updates: &lt;server:port&gt;</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Server Update Service\Specify intranet Microsoft update service location</t>
    </r>
    <r>
      <rPr>
        <sz val="11"/>
        <color rgb="FF006096"/>
        <rFont val="Roboto Condensed"/>
      </rPr>
      <t xml:space="preserve">
</t>
    </r>
  </si>
  <si>
    <t>Operating system version</t>
  </si>
  <si>
    <t>High-17.00</t>
  </si>
  <si>
    <r>
      <rPr>
        <b/>
        <sz val="11"/>
        <color rgb="FF003B5C"/>
        <rFont val="Calibri"/>
      </rPr>
      <t>Section overview: 'Operating system version'</t>
    </r>
  </si>
  <si>
    <r>
      <rPr>
        <sz val="11"/>
        <color rgb="FF000000"/>
        <rFont val="Calibri"/>
      </rPr>
      <t xml:space="preserve">Ensure all workstations run the latest supported feature release of Microsoft Windows 11. At the time of publication this guide is baselined against version 25H2. Monitor Microsoft release information for the latest supported versions </t>
    </r>
    <r>
      <rPr>
        <sz val="11"/>
        <color rgb="FF0000FF"/>
        <rFont val="Calibri"/>
      </rPr>
      <t>(https://docs.microsoft.com/en-us/windows/release-health/release-information)</t>
    </r>
    <r>
      <rPr>
        <sz val="11"/>
        <color rgb="FF000000"/>
        <rFont val="Calibri"/>
      </rPr>
      <t>.</t>
    </r>
  </si>
  <si>
    <r>
      <rPr>
        <sz val="11"/>
        <color rgb="FF000000"/>
        <rFont val="Calibri"/>
      </rPr>
      <t>Using older versions of Microsoft Windows 11 can expose organisations to exploit techniques that have since been mitigated in newer versions of Microsoft Windows 11. To reduce this risk, workstations should use the latest version of Microsoft Windows 11.</t>
    </r>
  </si>
  <si>
    <t>Restricting privileged accounts</t>
  </si>
  <si>
    <t>High-18.00</t>
  </si>
  <si>
    <r>
      <rPr>
        <b/>
        <sz val="11"/>
        <color rgb="FF003B5C"/>
        <rFont val="Calibri"/>
      </rPr>
      <t>Section overview: 'Restricting privileged accounts'</t>
    </r>
  </si>
  <si>
    <r>
      <rPr>
        <sz val="11"/>
        <color rgb="FF000000"/>
        <rFont val="Calibri"/>
      </rPr>
      <t>Ensure users requiring privileged access are issued separate standard and privileged accounts. Block external web and email access for all privileged accounts.</t>
    </r>
  </si>
  <si>
    <r>
      <rPr>
        <sz val="11"/>
        <color rgb="FF000000"/>
        <rFont val="Calibri"/>
      </rPr>
      <t>Providing users with a privileged account for day to day usage poses a risk that they will use this account for external web and email access. This is of particular concern as privileged users have the ability to execute malicious code with privileged access rather than standard access. To reduce this risk, users that do not require privileged access should not be granted privileged accounts while users that require privileged access should have separate standard and privileged accounts with different credentials. In addition, any privileged accounts used should have external web and email access blocked.</t>
    </r>
    <r>
      <rPr>
        <sz val="11"/>
        <color rgb="FF000000"/>
        <rFont val="Calibri"/>
      </rPr>
      <t xml:space="preserve">
</t>
    </r>
    <r>
      <rPr>
        <sz val="11"/>
        <color rgb="FF000000"/>
        <rFont val="Calibri"/>
      </rPr>
      <t xml:space="preserve">For more information see the Restricting administrative privileges publication </t>
    </r>
    <r>
      <rPr>
        <sz val="11"/>
        <color rgb="FF0000FF"/>
        <rFont val="Calibri"/>
      </rPr>
      <t>(https://www.cyber.gov.au/resources-business-and-government/maintaining-devices-and-systems/system-hardening-and-administration/system-hardening/restricting-administrative-privileges)</t>
    </r>
    <r>
      <rPr>
        <sz val="11"/>
        <color rgb="FF000000"/>
        <rFont val="Calibri"/>
      </rPr>
      <t>.</t>
    </r>
  </si>
  <si>
    <t>Secure Boot</t>
  </si>
  <si>
    <t>High-19.00</t>
  </si>
  <si>
    <r>
      <rPr>
        <b/>
        <sz val="11"/>
        <color rgb="FF003B5C"/>
        <rFont val="Calibri"/>
      </rPr>
      <t>Section overview: 'Secure Boot'</t>
    </r>
  </si>
  <si>
    <r>
      <rPr>
        <sz val="11"/>
        <color rgb="FF000000"/>
        <rFont val="Calibri"/>
      </rPr>
      <t xml:space="preserve">Ensure Secure Boot is enabled in the UEFI firmware settings on all workstations. Verify Secure Boot status via </t>
    </r>
    <r>
      <rPr>
        <b/>
        <sz val="11"/>
        <color rgb="FF000000"/>
        <rFont val="Calibri"/>
      </rPr>
      <t>msinfo32</t>
    </r>
    <r>
      <rPr>
        <sz val="11"/>
        <color rgb="FF000000"/>
        <rFont val="Calibri"/>
      </rPr>
      <t xml:space="preserve"> (System Summary &gt; Secure Boot State).</t>
    </r>
  </si>
  <si>
    <r>
      <rPr>
        <sz val="11"/>
        <color rgb="FF000000"/>
        <rFont val="Calibri"/>
      </rPr>
      <t xml:space="preserve">Another method for malicious code to maintain persistence and prevent detection is to replace the default boot loader for Microsoft Windows with a malicious version. In such cases the malicious boot loader executes at boot time and loads Microsoft Windows without any indication that it is present. Such malicious boot loaders are extremely difficult to detect and can be used to conceal malicious code on workstations. To reduce this risk, motherboards with Secure Boot functionality should be used. </t>
    </r>
    <r>
      <rPr>
        <sz val="11"/>
        <color rgb="FF0000FF"/>
        <rFont val="Calibri"/>
      </rPr>
      <t>(https://docs.microsoft.com/en-us/windows-hardware/design/device-experiences/oem-secure-boot)</t>
    </r>
    <r>
      <rPr>
        <sz val="11"/>
        <color rgb="FF000000"/>
        <rFont val="Calibri"/>
      </rPr>
      <t>Secure Boot, a component of Trusted Boot, is a security feature of Microsoft Windows 11 in combination with motherboards with a UEFI. Secure Boot works by checking at boot time that the boot loader is signed and matches a Microsoft signed certificate stored in the UEFI. If the certificate signatures match the boot loader is allowed to run, otherwise it is prevented from running and the workstation will not boot.</t>
    </r>
  </si>
  <si>
    <t>Account lockout policy</t>
  </si>
  <si>
    <t>Medium-01.00</t>
  </si>
  <si>
    <r>
      <rPr>
        <b/>
        <sz val="11"/>
        <color rgb="FF003B5C"/>
        <rFont val="Calibri"/>
      </rPr>
      <t>Section overview: 'Account lockout policy'</t>
    </r>
  </si>
  <si>
    <t>Medium</t>
  </si>
  <si>
    <r>
      <rPr>
        <sz val="11"/>
        <color rgb="FF000000"/>
        <rFont val="Calibri"/>
      </rPr>
      <t xml:space="preserve">Configure the individual settings listed in recommendations </t>
    </r>
    <r>
      <rPr>
        <b/>
        <sz val="11"/>
        <color rgb="FF000000"/>
        <rFont val="Calibri"/>
      </rPr>
      <t>Medium-01.01</t>
    </r>
    <r>
      <rPr>
        <sz val="11"/>
        <color rgb="FF000000"/>
        <rFont val="Calibri"/>
      </rPr>
      <t xml:space="preserve"> through </t>
    </r>
    <r>
      <rPr>
        <b/>
        <sz val="11"/>
        <color rgb="FF000000"/>
        <rFont val="Calibri"/>
      </rPr>
      <t>Medium-01.04</t>
    </r>
    <r>
      <rPr>
        <sz val="11"/>
        <color rgb="FF000000"/>
        <rFont val="Calibri"/>
      </rPr>
      <t>.</t>
    </r>
  </si>
  <si>
    <r>
      <rPr>
        <sz val="11"/>
        <color rgb="FF000000"/>
        <rFont val="Calibri"/>
      </rPr>
      <t>Allowing unlimited attempts to access workstations will fail to prevent malicious actors' attempts to brute force authentication measures. To reduce this risk, accounts should be locked out after a defined number of invalid authentication attempts.</t>
    </r>
  </si>
  <si>
    <t>Medium-01.01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</si>
  <si>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</si>
  <si>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UI path to </t>
    </r>
    <r>
      <rPr>
        <b/>
        <sz val="11"/>
        <color rgb="FF000000"/>
        <rFont val="Calibri"/>
      </rPr>
      <t>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</si>
  <si>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</si>
  <si>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 denial-of-service (DoS) condition can be created if a threat actor abuses the Account lockout threshold and repeatedly attempts to log on with a specific account. Once the Account lockout threshold setting is configured, the account will be locked out after the specified number of failed attempts. If Account lockout duration is set to 0, then the account will remain locked out until an administrator unlocks it manually.</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</si>
  <si>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</si>
  <si>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Navigate to the UI Path articulated in the Remediation section and confirm it is set as prescribed.</t>
    </r>
  </si>
  <si>
    <r>
      <rPr>
        <sz val="11"/>
        <color rgb="FF000000"/>
        <rFont val="Calibri"/>
      </rPr>
      <t>None, because this policy setting only has meaning when an Account lockout threshold is specified. When an Account lockout threshold is configured, Windows automatically suggests a value of 30 minutes.</t>
    </r>
  </si>
  <si>
    <t>Medium-01.02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</si>
  <si>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</si>
  <si>
    <r>
      <rPr>
        <sz val="11"/>
        <color rgb="FF000000"/>
        <rFont val="Calibri"/>
      </rPr>
      <t xml:space="preserve">Set the following UI path to </t>
    </r>
    <r>
      <rPr>
        <b/>
        <sz val="11"/>
        <color rgb="FF000000"/>
        <rFont val="Calibri"/>
      </rPr>
      <t>5 invalid logon attempts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</si>
  <si>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</si>
  <si>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Setting an account lockout threshold reduces the likelihood that an online password brute force attack will be successful. Setting the account lockout threshold too low introduces risk of increased accidental lockouts and/or a threat actor intentionally locking out accounts.</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</si>
  <si>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</si>
  <si>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</si>
  <si>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Medium-01.03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</si>
  <si>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</si>
  <si>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</si>
  <si>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</si>
  <si>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Enabling account lockout policies for the built-in Administrator account will reduce the likelihood of a successful brute force attack.</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</si>
  <si>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</si>
  <si>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</si>
  <si>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Medium-01.04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</si>
  <si>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</si>
  <si>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</si>
  <si>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</si>
  <si>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account lockout policy is left at its default setting or configured with an excessively long interval, the environment may be vulnerable to denial-of-service (DoS) attacks. A threat actor could repeatedly attempt to login across multiple accounts, triggering lockouts and disrupting access.</t>
    </r>
    <r>
      <rPr>
        <sz val="11"/>
        <color rgb="FF000000"/>
        <rFont val="Calibri"/>
      </rPr>
      <t xml:space="preserve">
</t>
    </r>
    <r>
      <rPr>
        <sz val="11"/>
        <color rgb="FF000000"/>
        <rFont val="Calibri"/>
      </rPr>
      <t>Without a defined lockout threshold, administrators would need to manually reset affected accounts. However, by setting a reasonable lockout duration, accounts will automatically unlock after a specified period, reducing administrative overhead and maintaining security.</t>
    </r>
  </si>
  <si>
    <r>
      <rPr>
        <sz val="11"/>
        <color rgb="FF000000"/>
        <rFont val="Calibri"/>
      </rPr>
      <t>Users can accidentally lock themselves out of their accounts if they mistype their password multiple times.</t>
    </r>
  </si>
  <si>
    <t>Anonymous connections</t>
  </si>
  <si>
    <t>Medium-02.00</t>
  </si>
  <si>
    <r>
      <rPr>
        <b/>
        <sz val="11"/>
        <color rgb="FF003B5C"/>
        <rFont val="Calibri"/>
      </rPr>
      <t>Section overview: 'Anonymous connections'</t>
    </r>
  </si>
  <si>
    <r>
      <rPr>
        <sz val="11"/>
        <color rgb="FF000000"/>
        <rFont val="Calibri"/>
      </rPr>
      <t xml:space="preserve">Configure the individual settings listed in recommendations </t>
    </r>
    <r>
      <rPr>
        <b/>
        <sz val="11"/>
        <color rgb="FF000000"/>
        <rFont val="Calibri"/>
      </rPr>
      <t>Medium-02.01</t>
    </r>
    <r>
      <rPr>
        <sz val="11"/>
        <color rgb="FF000000"/>
        <rFont val="Calibri"/>
      </rPr>
      <t xml:space="preserve"> through </t>
    </r>
    <r>
      <rPr>
        <b/>
        <sz val="11"/>
        <color rgb="FF000000"/>
        <rFont val="Calibri"/>
      </rPr>
      <t>Medium-02.08</t>
    </r>
    <r>
      <rPr>
        <sz val="11"/>
        <color rgb="FF000000"/>
        <rFont val="Calibri"/>
      </rPr>
      <t>.</t>
    </r>
  </si>
  <si>
    <r>
      <rPr>
        <sz val="11"/>
        <color rgb="FF000000"/>
        <rFont val="Calibri"/>
      </rPr>
      <t xml:space="preserve">Malicious actors can use anonymous connections to gather information about the state of workstations. Information that can be gathered from anonymous connections (i.e. using the </t>
    </r>
    <r>
      <rPr>
        <b/>
        <sz val="11"/>
        <color rgb="FF000000"/>
        <rFont val="Calibri"/>
      </rPr>
      <t>net use</t>
    </r>
    <r>
      <rPr>
        <sz val="11"/>
        <color rgb="FF000000"/>
        <rFont val="Calibri"/>
      </rPr>
      <t xml:space="preserve"> command to connect to the IPC$ share) can include lists of users and groups, SIDs for accounts, lists of shares, workstation policies, operating system versions and patch levels. To reduce this risk, anonymous connections to workstations should be disabled.</t>
    </r>
  </si>
  <si>
    <t>Medium-02.01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</si>
  <si>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</si>
  <si>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</si>
  <si>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</si>
  <si>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Insecure guest logons are used by file servers to allow unauthenticated access to shared folders.</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</si>
  <si>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</si>
  <si>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</si>
  <si>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</si>
  <si>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Medium-02.02</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</si>
  <si>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</si>
  <si>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</si>
  <si>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</si>
  <si>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policy setting is enabled, a user with local access could use the well-known Administrator's SID to learn the real name of the built-in Administrator account, even if it has been renamed. That person could then use the account name to initiate a password guessing attack.</t>
    </r>
  </si>
  <si>
    <r>
      <rPr>
        <sz val="11"/>
        <color rgb="FF000000"/>
        <rFont val="Calibri"/>
      </rPr>
      <t>Disabled. (An anonymous user cannot request the SID attribute for another user.)</t>
    </r>
  </si>
  <si>
    <t>Medium-02.03</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</si>
  <si>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</si>
  <si>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</si>
  <si>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</si>
  <si>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An unauthorized user could anonymously list account names and use the information to attempt to guess passwords or perform social engineering attacks. (Social engineering attacks try to deceive users in some way to obtain passwords or some form of security information.)</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</si>
  <si>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</si>
  <si>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</si>
  <si>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</si>
  <si>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Medium-02.04</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</si>
  <si>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</si>
  <si>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</si>
  <si>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</si>
  <si>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An unauthorized user could anonymously list account names and shared resources and use the information to attempt to guess passwords or perform social engineering attacks. (Social engineering attacks try to deceive users in some way to obtain passwords or some form of security information.)</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</si>
  <si>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</si>
  <si>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</si>
  <si>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</si>
  <si>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Medium-02.05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</si>
  <si>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</si>
  <si>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</si>
  <si>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</si>
  <si>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 unauthorized user could anonymously list account names and shared resources and use the information to attempt to guess passwords, perform social engineering attacks, or launch DoS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</si>
  <si>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</si>
  <si>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</si>
  <si>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Medium-02.06</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</si>
  <si>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</si>
  <si>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</si>
  <si>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</si>
  <si>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Null sessions are a weakness that can be exploited through shares (including the default shares) on computers in your environment.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</si>
  <si>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</si>
  <si>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</si>
  <si>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</si>
  <si>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Medium-02.07</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</si>
  <si>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</si>
  <si>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</si>
  <si>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</si>
  <si>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To ensure that an unauthorized user cannot anonymously list local account names or groups and use the information to attempt to guess passwords or perform social engineering attacks. (Social engineering attacks try to deceive users in some way to obtain passwords or some form of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</si>
  <si>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</si>
  <si>
    <r>
      <rPr>
        <sz val="11"/>
        <color rgb="FF000000"/>
        <rFont val="Calibri"/>
      </rPr>
      <t>Administrators: Remote Access: Allow.</t>
    </r>
  </si>
  <si>
    <t>Medium-02.08</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</si>
  <si>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</si>
  <si>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</si>
  <si>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</si>
  <si>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NULL sessions are less secure because by definition they are unauthenticated.</t>
    </r>
  </si>
  <si>
    <r>
      <rPr>
        <sz val="11"/>
        <color rgb="FF000000"/>
        <rFont val="Calibri"/>
      </rPr>
      <t>None - this is the default behavior. 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</si>
  <si>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</si>
  <si>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Disabled. (NTLM will not be permitted to fall back to a NULL session when used with LocalSystem.)</t>
    </r>
  </si>
  <si>
    <t>Antivirus software</t>
  </si>
  <si>
    <t>Medium-03.00</t>
  </si>
  <si>
    <r>
      <rPr>
        <b/>
        <sz val="11"/>
        <color rgb="FF003B5C"/>
        <rFont val="Calibri"/>
      </rPr>
      <t>Section overview: 'Antivirus software'</t>
    </r>
  </si>
  <si>
    <r>
      <rPr>
        <sz val="11"/>
        <color rgb="FF000000"/>
        <rFont val="Calibri"/>
      </rPr>
      <t xml:space="preserve">Configure the individual settings listed in recommendations </t>
    </r>
    <r>
      <rPr>
        <b/>
        <sz val="11"/>
        <color rgb="FF000000"/>
        <rFont val="Calibri"/>
      </rPr>
      <t>Medium-03.01</t>
    </r>
    <r>
      <rPr>
        <sz val="11"/>
        <color rgb="FF000000"/>
        <rFont val="Calibri"/>
      </rPr>
      <t xml:space="preserve"> through </t>
    </r>
    <r>
      <rPr>
        <b/>
        <sz val="11"/>
        <color rgb="FF000000"/>
        <rFont val="Calibri"/>
      </rPr>
      <t>Medium-03.25</t>
    </r>
    <r>
      <rPr>
        <sz val="11"/>
        <color rgb="FF000000"/>
        <rFont val="Calibri"/>
      </rPr>
      <t xml:space="preserve"> to optimally configure Microsoft Defender Antivirus.</t>
    </r>
  </si>
  <si>
    <r>
      <rPr>
        <sz val="11"/>
        <color rgb="FF000000"/>
        <rFont val="Calibri"/>
      </rPr>
      <t>Malicious actors can develop malicious code to exploit vulnerabilities in software not detected and remedied by vendors during testing. As significant time and effort is often involved in the development of functioning and reliable exploits, malicious actors will often reuse their exploits as much as possible before being forced to develop new exploits. To reduce this risk, endpoint security applications with signature-based antivirus functionality should be implemented. In doing so, signatures should be updated at least on a daily basis.</t>
    </r>
    <r>
      <rPr>
        <sz val="11"/>
        <color rgb="FF000000"/>
        <rFont val="Calibri"/>
      </rPr>
      <t xml:space="preserve">
</t>
    </r>
    <r>
      <rPr>
        <sz val="11"/>
        <color rgb="FF000000"/>
        <rFont val="Calibri"/>
      </rPr>
      <t>Whilst using signature-based antivirus functionality can assist in reducing risk, they are only effective when a particular piece of malicious code has already been profiled and signatures are current. Malicious actors can create variants of known malicious code, or develop new unseen malicious code, to bypass traditional signature-based detection mechanisms. To reduce this risk, endpoint security applications with host-based intrusion prevention functionality, or equivalent functionality leveraging cloud-based services, should also be implemented. In doing so, such functionality should be set at the highest level available.</t>
    </r>
  </si>
  <si>
    <t>Medium-03.01</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</si>
  <si>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</si>
  <si>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</si>
  <si>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</si>
  <si>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Potentially unwanted applications can increase the risk of your network being infected with malware, cause malware infections to be harder to identify, and can waste IT resources in cleaning up the applications. They should be blocked from installation.</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</si>
  <si>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</si>
  <si>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</si>
  <si>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</si>
  <si>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Medium-03.02</t>
  </si>
  <si>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</si>
  <si>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behaviour for lists</t>
    </r>
    <r>
      <rPr>
        <sz val="11"/>
        <color rgb="FF006096"/>
        <rFont val="Roboto Condensed"/>
      </rPr>
      <t xml:space="preserve">
</t>
    </r>
  </si>
  <si>
    <t>Medium-03.03</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</si>
  <si>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</si>
  <si>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</si>
  <si>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</si>
  <si>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administrators should be able to view and manage Microsoft Defender Antivirus exclusions.</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</si>
  <si>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</si>
  <si>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</si>
  <si>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</si>
  <si>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Medium-03.04</t>
  </si>
  <si>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</si>
  <si>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Microsoft Defender Antivirus</t>
    </r>
    <r>
      <rPr>
        <sz val="11"/>
        <color rgb="FF006096"/>
        <rFont val="Roboto Condensed"/>
      </rPr>
      <t xml:space="preserve">
</t>
    </r>
  </si>
  <si>
    <t>Medium-03.05</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</si>
  <si>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</si>
  <si>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routine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</si>
  <si>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whether Microsoft Defender Antivirus automatically takes action on all detected threats. The action to be taken on a particular threat is determined by the combination of the policy-defined action, user-defined action, and the signature-defined action.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</si>
  <si>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setting is enabled, Microsoft Defender prompts the user to take action on detected threats. Allowing users to choose threat remediation actions is not considered a best practice, as it can lead to inconsistent or unsafe responses.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</si>
  <si>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Defender:DisableRoutinelyTakingAction</t>
    </r>
    <r>
      <rPr>
        <sz val="11"/>
        <color rgb="FF006096"/>
        <rFont val="Roboto Condensed"/>
      </rPr>
      <t xml:space="preserve">
</t>
    </r>
  </si>
  <si>
    <r>
      <rPr>
        <sz val="11"/>
        <color rgb="FF000000"/>
        <rFont val="Calibri"/>
      </rPr>
      <t>Disabled. (Microsoft Defender Antivirus automatically takes action on all detected threats after a nonconfigurable delay of approximately five seconds.)</t>
    </r>
  </si>
  <si>
    <t>Medium-03.06</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</si>
  <si>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</si>
  <si>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</si>
  <si>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</si>
  <si>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decision on whether or not to participate in Microsoft MAPS / Microsoft Defender Antivirus Cloud Protection Service for malicious software reporting should be made centrally in an enterprise managed environment, so that all computers within it behave consistently in that regard. Configuring this setting to Disabled ensures that the decision remains centrally managed.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</si>
  <si>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</si>
  <si>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</si>
  <si>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Medium-03.07</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</si>
  <si>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</si>
  <si>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</si>
  <si>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whether the device checks (in real time) with the Microsoft Active Protection Service (MAPS) before allowing certain content to be run or accessed.</t>
    </r>
    <r>
      <rPr>
        <sz val="11"/>
        <color rgb="FF000000"/>
        <rFont val="Calibri"/>
      </rPr>
      <t xml:space="preserve">
</t>
    </r>
    <r>
      <rPr>
        <sz val="11"/>
        <color rgb="FF000000"/>
        <rFont val="Calibri"/>
      </rPr>
      <t>The block at first sight feature works when Microsoft Defender Antivirus encounters a suspicious but undetected file. It then queries the Microsoft cloud protection backend and applies heuristics, machine learning, and automated analysis of the file to determine whether the files are malicious.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This setting requires at least </t>
    </r>
    <r>
      <rPr>
        <i/>
        <sz val="11"/>
        <color rgb="FF000000"/>
        <rFont val="Calibri"/>
      </rPr>
      <t>Microsoft Defender for Endpoint Plan 1 (Foundational enterprise endpoint protection)</t>
    </r>
    <r>
      <rPr>
        <sz val="11"/>
        <color rgb="FF000000"/>
        <rFont val="Calibri"/>
      </rPr>
      <t xml:space="preserve"> to function. If </t>
    </r>
    <r>
      <rPr>
        <i/>
        <sz val="11"/>
        <color rgb="FF000000"/>
        <rFont val="Calibri"/>
      </rPr>
      <t>Plan 1</t>
    </r>
    <r>
      <rPr>
        <sz val="11"/>
        <color rgb="FF000000"/>
        <rFont val="Calibri"/>
      </rPr>
      <t xml:space="preserve"> is not in use, an exception to this recommendation is required.</t>
    </r>
  </si>
  <si>
    <r>
      <rPr>
        <sz val="11"/>
        <color rgb="FF000000"/>
        <rFont val="Calibri"/>
      </rPr>
      <t>Enabling the Block at First Sight feature enhances threat protection by using next‑generation protection to detect new malware and block it within seconds.</t>
    </r>
  </si>
  <si>
    <r>
      <rPr>
        <sz val="11"/>
        <color rgb="FF000000"/>
        <rFont val="Calibri"/>
      </rPr>
      <t>The block at first sight can block nonportable executable files (such as JS, VBS, or macros) and executable files, running the latest Defender antimalware platform on Windows or Windows Server.</t>
    </r>
    <r>
      <rPr>
        <sz val="11"/>
        <color rgb="FF000000"/>
        <rFont val="Calibri"/>
      </rPr>
      <t xml:space="preserve">
</t>
    </r>
    <r>
      <rPr>
        <b/>
        <sz val="11"/>
        <color rgb="FF000000"/>
        <rFont val="Calibri"/>
      </rPr>
      <t>Note:</t>
    </r>
    <r>
      <rPr>
        <sz val="11"/>
        <color rgb="FF000000"/>
        <rFont val="Calibri"/>
      </rPr>
      <t xml:space="preserve"> The block at first sight feature requires the following Group Policy settings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Send file samples when further analysis is required</t>
    </r>
    <r>
      <rPr>
        <sz val="11"/>
        <color rgb="FF000000"/>
        <rFont val="Calibri"/>
      </rPr>
      <t xml:space="preserve"> should be set to </t>
    </r>
    <r>
      <rPr>
        <b/>
        <sz val="11"/>
        <color rgb="FF000000"/>
        <rFont val="Calibri"/>
      </rPr>
      <t>1 (Send safe samples)</t>
    </r>
    <r>
      <rPr>
        <sz val="11"/>
        <color rgb="FF000000"/>
        <rFont val="Calibri"/>
      </rPr>
      <t xml:space="preserve"> or </t>
    </r>
    <r>
      <rPr>
        <b/>
        <sz val="11"/>
        <color rgb="FF000000"/>
        <rFont val="Calibri"/>
      </rPr>
      <t>3 (Send all samples)</t>
    </r>
    <r>
      <rPr>
        <sz val="11"/>
        <color rgb="FF000000"/>
        <rFont val="Calibri"/>
      </rPr>
      <t xml:space="preserve">
</t>
    </r>
    <r>
      <rPr>
        <sz val="11"/>
        <color rgb="FF000000"/>
        <rFont val="Calibri"/>
      </rPr>
      <t xml:space="preserve">- </t>
    </r>
    <r>
      <rPr>
        <i/>
        <sz val="11"/>
        <color rgb="FF000000"/>
        <rFont val="Calibri"/>
      </rPr>
      <t>Scan all downloaded files</t>
    </r>
    <r>
      <rPr>
        <sz val="11"/>
        <color rgb="FF000000"/>
        <rFont val="Calibri"/>
      </rPr>
      <t xml:space="preserve"> and attachments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Turn off real-time protection</t>
    </r>
    <r>
      <rPr>
        <sz val="11"/>
        <color rgb="FF000000"/>
        <rFont val="Calibri"/>
      </rPr>
      <t xml:space="preserve"> must </t>
    </r>
    <r>
      <rPr>
        <b/>
        <sz val="11"/>
        <color rgb="FF000000"/>
        <rFont val="Calibri"/>
      </rPr>
      <t>NOT</t>
    </r>
    <r>
      <rPr>
        <sz val="11"/>
        <color rgb="FF000000"/>
        <rFont val="Calibri"/>
      </rPr>
      <t xml:space="preserve">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</si>
  <si>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Defender\Spynet:DisableBlockAtFirstSeen</t>
    </r>
    <r>
      <rPr>
        <sz val="11"/>
        <color rgb="FF006096"/>
        <rFont val="Roboto Condensed"/>
      </rPr>
      <t xml:space="preserve">
</t>
    </r>
  </si>
  <si>
    <t>Medium-03.08</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</si>
  <si>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</si>
  <si>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</si>
  <si>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</si>
  <si>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Cloud protection works with Microsoft Defender Antivirus to provide intelligent, real-time threat detection. Microsoft strongly recommends enabling cloud protection, as several advanced security features in Microsoft Defender for Endpoint rely on it to function properly. To fully take advantage of these protections, including several ASR rules, this setting must be enabled to allow for MAPS reporting.</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</si>
  <si>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</si>
  <si>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</si>
  <si>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</si>
  <si>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Medium-03.09</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</si>
  <si>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</si>
  <si>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or </t>
    </r>
    <r>
      <rPr>
        <b/>
        <sz val="11"/>
        <color rgb="FF000000"/>
        <rFont val="Calibri"/>
      </rPr>
      <t>Enabled: Send all samples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</si>
  <si>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the behavior of samples sent to Microsoft for submission when opt-in for MAPS telemetry is set.</t>
    </r>
    <r>
      <rPr>
        <sz val="11"/>
        <color rgb="FF000000"/>
        <rFont val="Calibri"/>
      </rPr>
      <t xml:space="preserve">
</t>
    </r>
    <r>
      <rPr>
        <sz val="11"/>
        <color rgb="FF000000"/>
        <rFont val="Calibri"/>
      </rPr>
      <t xml:space="preserve">The recommended state for this setting is: </t>
    </r>
    <r>
      <rPr>
        <b/>
        <sz val="11"/>
        <color rgb="FF000000"/>
        <rFont val="Calibri"/>
      </rPr>
      <t>Enabled: Send safe samples</t>
    </r>
    <r>
      <rPr>
        <sz val="11"/>
        <color rgb="FF000000"/>
        <rFont val="Calibri"/>
      </rPr>
      <t xml:space="preserve"> or </t>
    </r>
    <r>
      <rPr>
        <b/>
        <sz val="11"/>
        <color rgb="FF000000"/>
        <rFont val="Calibri"/>
      </rPr>
      <t>Enabled: Send all samples</t>
    </r>
    <r>
      <rPr>
        <sz val="11"/>
        <color rgb="FF000000"/>
        <rFont val="Calibri"/>
      </rPr>
      <t>.</t>
    </r>
  </si>
  <si>
    <r>
      <rPr>
        <sz val="11"/>
        <color rgb="FF000000"/>
        <rFont val="Calibri"/>
      </rPr>
      <t>For the</t>
    </r>
    <r>
      <rPr>
        <sz val="11"/>
        <color rgb="FF000000"/>
        <rFont val="Calibri"/>
      </rPr>
      <t xml:space="preserve">
</t>
    </r>
    <r>
      <rPr>
        <sz val="11"/>
        <color rgb="FF000000"/>
        <rFont val="Calibri"/>
      </rPr>
      <t>Block at First Sight</t>
    </r>
    <r>
      <rPr>
        <sz val="11"/>
        <color rgb="FF000000"/>
        <rFont val="Calibri"/>
      </rPr>
      <t xml:space="preserve">
</t>
    </r>
    <r>
      <rPr>
        <sz val="11"/>
        <color rgb="FF000000"/>
        <rFont val="Calibri"/>
      </rPr>
      <t>feature to function properly, the</t>
    </r>
    <r>
      <rPr>
        <sz val="11"/>
        <color rgb="FF000000"/>
        <rFont val="Calibri"/>
      </rPr>
      <t xml:space="preserve">
</t>
    </r>
    <r>
      <rPr>
        <sz val="11"/>
        <color rgb="FF000000"/>
        <rFont val="Calibri"/>
      </rPr>
      <t>Send file samples when further analysis is required</t>
    </r>
    <r>
      <rPr>
        <sz val="11"/>
        <color rgb="FF000000"/>
        <rFont val="Calibri"/>
      </rPr>
      <t xml:space="preserve">
</t>
    </r>
    <r>
      <rPr>
        <sz val="11"/>
        <color rgb="FF000000"/>
        <rFont val="Calibri"/>
      </rPr>
      <t>setting must be configured as prescribed.</t>
    </r>
  </si>
  <si>
    <r>
      <rPr>
        <sz val="11"/>
        <color rgb="FF000000"/>
        <rFont val="Calibri"/>
      </rPr>
      <t>Submitting samples carries a small risk that sensitive information may be inadvertently included.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</si>
  <si>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Defender\Spynet:SubmitSamplesConsent</t>
    </r>
    <r>
      <rPr>
        <sz val="11"/>
        <color rgb="FF006096"/>
        <rFont val="Roboto Condensed"/>
      </rPr>
      <t xml:space="preserve">
</t>
    </r>
  </si>
  <si>
    <r>
      <rPr>
        <sz val="11"/>
        <color rgb="FF000000"/>
        <rFont val="Calibri"/>
      </rPr>
      <t>Not configured.</t>
    </r>
  </si>
  <si>
    <t>Medium-03.10</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</si>
  <si>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Specify the extended cloud check time in seconds: 50</t>
    </r>
    <r>
      <rPr>
        <sz val="11"/>
        <color rgb="FF000000"/>
        <rFont val="Calibri"/>
      </rPr>
      <t>'</t>
    </r>
  </si>
  <si>
    <r>
      <rPr>
        <sz val="11"/>
        <color rgb="FF000000"/>
        <rFont val="Calibri"/>
      </rPr>
      <t xml:space="preserve">Set the following UI path to </t>
    </r>
    <r>
      <rPr>
        <b/>
        <sz val="11"/>
        <color rgb="FF000000"/>
        <rFont val="Calibri"/>
      </rPr>
      <t>Enabled: Specify the extended cloud check time in seconds: 50</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r>
      <rPr>
        <sz val="11"/>
        <color rgb="FF006096"/>
        <rFont val="Roboto Condensed"/>
      </rPr>
      <t xml:space="preserve">
</t>
    </r>
  </si>
  <si>
    <t>Medium-03.11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</si>
  <si>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</si>
  <si>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</si>
  <si>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</si>
  <si>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running an antivirus solution such as Microsoft Defender Antivirus, it is important to ensure that it is configured to monitor for suspicious and known malicious activity. File hashes are a reliable way of detecting changes to files, and can speed up the scan process by skipping files that have not changed since they were last scanned and determined to be safe. A changed file hash can also be cause for additional scrutiny.</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</si>
  <si>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</si>
  <si>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</si>
  <si>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</si>
  <si>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Medium-03.12</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</si>
  <si>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 or High+ blocking level</t>
    </r>
    <r>
      <rPr>
        <sz val="11"/>
        <color rgb="FF000000"/>
        <rFont val="Calibri"/>
      </rPr>
      <t>'</t>
    </r>
  </si>
  <si>
    <r>
      <rPr>
        <sz val="11"/>
        <color rgb="FF000000"/>
        <rFont val="Calibri"/>
      </rPr>
      <t xml:space="preserve">Set the following UI path to </t>
    </r>
    <r>
      <rPr>
        <b/>
        <sz val="11"/>
        <color rgb="FF000000"/>
        <rFont val="Calibri"/>
      </rPr>
      <t>Enabled: High blocking level or High+ blocking level</t>
    </r>
    <r>
      <rPr>
        <sz val="11"/>
        <color rgb="FF000000"/>
        <rFont val="Calibri"/>
      </rPr>
      <t xml:space="preserve">,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</si>
  <si>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determines how aggressive Microsoft Defender Antivirus will be in blocking and scanning suspicious files. Threat data from this feature is analyzed in real time using, machine learning models, and behavioral analysis.</t>
    </r>
    <r>
      <rPr>
        <sz val="11"/>
        <color rgb="FF000000"/>
        <rFont val="Calibri"/>
      </rPr>
      <t xml:space="preserve">
</t>
    </r>
    <r>
      <rPr>
        <sz val="11"/>
        <color rgb="FF000000"/>
        <rFont val="Calibri"/>
      </rPr>
      <t>Options for blocking levels are:</t>
    </r>
    <r>
      <rPr>
        <sz val="11"/>
        <color rgb="FF000000"/>
        <rFont val="Calibri"/>
      </rPr>
      <t xml:space="preserve">
</t>
    </r>
    <r>
      <rPr>
        <sz val="11"/>
        <color rgb="FF000000"/>
        <rFont val="Calibri"/>
      </rPr>
      <t xml:space="preserve">- </t>
    </r>
    <r>
      <rPr>
        <b/>
        <sz val="11"/>
        <color rgb="FF000000"/>
        <rFont val="Calibri"/>
      </rPr>
      <t>Default blocking level</t>
    </r>
    <r>
      <rPr>
        <sz val="11"/>
        <color rgb="FF000000"/>
        <rFont val="Calibri"/>
      </rPr>
      <t xml:space="preserve"> provides strong detection without increasing the risk of detecting legitimate files.</t>
    </r>
    <r>
      <rPr>
        <sz val="11"/>
        <color rgb="FF000000"/>
        <rFont val="Calibri"/>
      </rPr>
      <t xml:space="preserve">
</t>
    </r>
    <r>
      <rPr>
        <sz val="11"/>
        <color rgb="FF000000"/>
        <rFont val="Calibri"/>
      </rPr>
      <t xml:space="preserve">- </t>
    </r>
    <r>
      <rPr>
        <b/>
        <sz val="11"/>
        <color rgb="FF000000"/>
        <rFont val="Calibri"/>
      </rPr>
      <t>Moderate blocking level</t>
    </r>
    <r>
      <rPr>
        <sz val="11"/>
        <color rgb="FF000000"/>
        <rFont val="Calibri"/>
      </rPr>
      <t xml:space="preserve"> provides moderate only for high confidence detections</t>
    </r>
    <r>
      <rPr>
        <sz val="11"/>
        <color rgb="FF000000"/>
        <rFont val="Calibri"/>
      </rPr>
      <t xml:space="preserve">
</t>
    </r>
    <r>
      <rPr>
        <sz val="11"/>
        <color rgb="FF000000"/>
        <rFont val="Calibri"/>
      </rPr>
      <t xml:space="preserve">- </t>
    </r>
    <r>
      <rPr>
        <b/>
        <sz val="11"/>
        <color rgb="FF000000"/>
        <rFont val="Calibri"/>
      </rPr>
      <t>High blocking level</t>
    </r>
    <r>
      <rPr>
        <sz val="11"/>
        <color rgb="FF000000"/>
        <rFont val="Calibri"/>
      </rPr>
      <t xml:space="preserve"> applies a strong level of detection while optimizing client performance (but can also give a greater chance of false positives).</t>
    </r>
    <r>
      <rPr>
        <sz val="11"/>
        <color rgb="FF000000"/>
        <rFont val="Calibri"/>
      </rPr>
      <t xml:space="preserve">
</t>
    </r>
    <r>
      <rPr>
        <sz val="11"/>
        <color rgb="FF000000"/>
        <rFont val="Calibri"/>
      </rPr>
      <t xml:space="preserve">- </t>
    </r>
    <r>
      <rPr>
        <b/>
        <sz val="11"/>
        <color rgb="FF000000"/>
        <rFont val="Calibri"/>
      </rPr>
      <t>High + blocking level</t>
    </r>
    <r>
      <rPr>
        <sz val="11"/>
        <color rgb="FF000000"/>
        <rFont val="Calibri"/>
      </rPr>
      <t xml:space="preserve"> applies extra protection measures (might affect client performance and increase the chance of false positives).</t>
    </r>
    <r>
      <rPr>
        <sz val="11"/>
        <color rgb="FF000000"/>
        <rFont val="Calibri"/>
      </rPr>
      <t xml:space="preserve">
</t>
    </r>
    <r>
      <rPr>
        <sz val="11"/>
        <color rgb="FF000000"/>
        <rFont val="Calibri"/>
      </rPr>
      <t xml:space="preserve">- </t>
    </r>
    <r>
      <rPr>
        <b/>
        <sz val="11"/>
        <color rgb="FF000000"/>
        <rFont val="Calibri"/>
      </rPr>
      <t>Zero tolerance blocking level</t>
    </r>
    <r>
      <rPr>
        <sz val="11"/>
        <color rgb="FF000000"/>
        <rFont val="Calibri"/>
      </rPr>
      <t xml:space="preserve"> blocks all unknown executables.</t>
    </r>
    <r>
      <rPr>
        <sz val="11"/>
        <color rgb="FF000000"/>
        <rFont val="Calibri"/>
      </rPr>
      <t xml:space="preserve">
</t>
    </r>
    <r>
      <rPr>
        <sz val="11"/>
        <color rgb="FF000000"/>
        <rFont val="Calibri"/>
      </rPr>
      <t xml:space="preserve">The recommended state for this setting is: </t>
    </r>
    <r>
      <rPr>
        <b/>
        <sz val="11"/>
        <color rgb="FF000000"/>
        <rFont val="Calibri"/>
      </rPr>
      <t>Enabled: Moderate blocking level</t>
    </r>
    <r>
      <rPr>
        <sz val="11"/>
        <color rgb="FF000000"/>
        <rFont val="Calibri"/>
      </rPr>
      <t xml:space="preserve">. Configuring this setting to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 xml:space="preserve"> also conforms to the benchmark.</t>
    </r>
  </si>
  <si>
    <r>
      <rPr>
        <sz val="11"/>
        <color rgb="FF000000"/>
        <rFont val="Calibri"/>
      </rPr>
      <t>Attackers routinely deploy new malware variants that can change faster than signature updates. Enabling cloud protection can close this gap with its ability to detect and block new, unknown, and fast‑moving threats.</t>
    </r>
  </si>
  <si>
    <r>
      <rPr>
        <sz val="11"/>
        <color rgb="FF000000"/>
        <rFont val="Calibri"/>
      </rPr>
      <t>Although higher protection levels can increase detection of new threats, it can also raise the potential for false positives.</t>
    </r>
    <r>
      <rPr>
        <sz val="11"/>
        <color rgb="FF000000"/>
        <rFont val="Calibri"/>
      </rPr>
      <t xml:space="preserve">
</t>
    </r>
    <r>
      <rPr>
        <sz val="11"/>
        <color rgb="FF000000"/>
        <rFont val="Calibri"/>
      </rPr>
      <t>Note: The select cloud protection level feature requires the following Group Policy setting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</si>
  <si>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or </t>
    </r>
    <r>
      <rPr>
        <b/>
        <sz val="11"/>
        <color rgb="FF000000"/>
        <rFont val="Calibri"/>
      </rPr>
      <t>6</t>
    </r>
    <r>
      <rPr>
        <sz val="11"/>
        <color rgb="FF000000"/>
        <rFont val="Calibri"/>
      </rPr>
      <t>.</t>
    </r>
    <r>
      <rPr>
        <sz val="11"/>
        <color rgb="FF000000"/>
        <rFont val="Calibri"/>
      </rPr>
      <t xml:space="preserve">
</t>
    </r>
    <r>
      <rPr>
        <sz val="11"/>
        <color rgb="FF006096"/>
        <rFont val="Roboto Condensed"/>
      </rPr>
      <t>HKLM\SOFTWARE\Policies\Microsoft\Windows Defender\MpEngine:MpCloudBlockLevel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Resultant Set of Policy with Group Policy (RSOP) is run on the system, and </t>
    </r>
    <r>
      <rPr>
        <b/>
        <sz val="11"/>
        <color rgb="FF000000"/>
        <rFont val="Calibri"/>
      </rPr>
      <t>Default blocking level</t>
    </r>
    <r>
      <rPr>
        <sz val="11"/>
        <color rgb="FF000000"/>
        <rFont val="Calibri"/>
      </rPr>
      <t xml:space="preserve"> is selected, it can produce misleading results. A setting with a </t>
    </r>
    <r>
      <rPr>
        <b/>
        <sz val="11"/>
        <color rgb="FF000000"/>
        <rFont val="Calibri"/>
      </rPr>
      <t>0</t>
    </r>
    <r>
      <rPr>
        <sz val="11"/>
        <color rgb="FF000000"/>
        <rFont val="Calibri"/>
      </rPr>
      <t xml:space="preserve"> value is read as disabled by RSOP.</t>
    </r>
  </si>
  <si>
    <r>
      <rPr>
        <sz val="11"/>
        <color rgb="FF000000"/>
        <rFont val="Calibri"/>
      </rPr>
      <t>Enabled: Default blocking level. (Provides strong detection without increasing the risk of detecting legitimate files.)</t>
    </r>
  </si>
  <si>
    <t>Medium-03.13</t>
  </si>
  <si>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</si>
  <si>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Antivirus\Quarantine\Configure removal of items from Quarantine folder</t>
    </r>
    <r>
      <rPr>
        <sz val="11"/>
        <color rgb="FF006096"/>
        <rFont val="Roboto Condensed"/>
      </rPr>
      <t xml:space="preserve">
</t>
    </r>
  </si>
  <si>
    <t>Medium-03.14</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</si>
  <si>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</si>
  <si>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</si>
  <si>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monitoring for file and program activity.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</si>
  <si>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Attackers routinely deploy new malware variants that can change faster than signature updates. Enabling this setting ensures that file and program activity are continually monitored.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</si>
  <si>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Protection:DisableOnAccessProtection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DisableOnAccessProtection</t>
    </r>
    <r>
      <rPr>
        <sz val="11"/>
        <color rgb="FF000000"/>
        <rFont val="Calibri"/>
      </rPr>
      <t xml:space="preserve"> interacts with the system.</t>
    </r>
  </si>
  <si>
    <r>
      <rPr>
        <sz val="11"/>
        <color rgb="FF000000"/>
        <rFont val="Calibri"/>
      </rPr>
      <t>Enabled.</t>
    </r>
  </si>
  <si>
    <t>Medium-03.15</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</si>
  <si>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</si>
  <si>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</si>
  <si>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</si>
  <si>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running an antivirus solution such as Microsoft Defender Antivirus, it is important to ensure that it is configured to heuristically monitor in real-time for suspicious and known malicious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</si>
  <si>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</si>
  <si>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</si>
  <si>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Medium-03.16</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</si>
  <si>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</si>
  <si>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</si>
  <si>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</si>
  <si>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</si>
  <si>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</si>
  <si>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Medium-03.17</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</si>
  <si>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</si>
  <si>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</si>
  <si>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</si>
  <si>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</si>
  <si>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</si>
  <si>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Medium-03.18</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</si>
  <si>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</si>
  <si>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</si>
  <si>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process scanning when real-time protection is turned on. This helps to catch malware which could start when real-time protection is turned off.</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</si>
  <si>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Protection:DisableScanOnRealtimeEnable</t>
    </r>
    <r>
      <rPr>
        <sz val="11"/>
        <color rgb="FF006096"/>
        <rFont val="Roboto Condensed"/>
      </rPr>
      <t xml:space="preserve">
</t>
    </r>
  </si>
  <si>
    <t>Medium-03.19</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</si>
  <si>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</si>
  <si>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</si>
  <si>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</si>
  <si>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</si>
  <si>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</si>
  <si>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Medium-03.20</t>
  </si>
  <si>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</si>
  <si>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Antivirus\Scan\Allow users to pause scan</t>
    </r>
    <r>
      <rPr>
        <sz val="11"/>
        <color rgb="FF006096"/>
        <rFont val="Roboto Condensed"/>
      </rPr>
      <t xml:space="preserve">
</t>
    </r>
  </si>
  <si>
    <t>Medium-03.21</t>
  </si>
  <si>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</si>
  <si>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Antivirus\Scan\Check for the latest virus and spyware security intelligence before running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</si>
  <si>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to check for new virus and spyware security intelligence before running a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to scheduled scans and has no effect on scans that are initiated manually from the user interface or to the ones that have been started from the command line using </t>
    </r>
    <r>
      <rPr>
        <b/>
        <sz val="11"/>
        <color rgb="FF000000"/>
        <rFont val="Calibri"/>
      </rPr>
      <t>mpcmdrun -Scan</t>
    </r>
    <r>
      <rPr>
        <sz val="11"/>
        <color rgb="FF000000"/>
        <rFont val="Calibri"/>
      </rPr>
      <t>.</t>
    </r>
  </si>
  <si>
    <r>
      <rPr>
        <sz val="11"/>
        <color rgb="FF000000"/>
        <rFont val="Calibri"/>
      </rPr>
      <t>A malware scan is only as effective as the threat definitions it uses. Running a scan with outdated intelligence significantly reduces detection accuracy and can create a false sense of security.</t>
    </r>
  </si>
  <si>
    <r>
      <rPr>
        <sz val="11"/>
        <color rgb="FF000000"/>
        <rFont val="Calibri"/>
      </rPr>
      <t>Checking for updated security intelligence can add a small amount of overhead before a scan begins.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</si>
  <si>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Defender\Scan:CheckForSignaturesBeforeRunningScan</t>
    </r>
    <r>
      <rPr>
        <sz val="11"/>
        <color rgb="FF006096"/>
        <rFont val="Roboto Condensed"/>
      </rPr>
      <t xml:space="preserve">
</t>
    </r>
  </si>
  <si>
    <r>
      <rPr>
        <sz val="11"/>
        <color rgb="FF000000"/>
        <rFont val="Calibri"/>
      </rPr>
      <t>Disabled. (The scan will start using the existing security intelligence.)</t>
    </r>
  </si>
  <si>
    <t>Medium-03.22</t>
  </si>
  <si>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</si>
  <si>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archive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</si>
  <si>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 xml:space="preserve">This policy setting configures whether Microsoft Defender Antivirus scans for malicious software and unwanted software in archive files such as </t>
    </r>
    <r>
      <rPr>
        <b/>
        <sz val="11"/>
        <color rgb="FF000000"/>
        <rFont val="Calibri"/>
      </rPr>
      <t>.ZIP</t>
    </r>
    <r>
      <rPr>
        <sz val="11"/>
        <color rgb="FF000000"/>
        <rFont val="Calibri"/>
      </rPr>
      <t xml:space="preserve"> or </t>
    </r>
    <r>
      <rPr>
        <b/>
        <sz val="11"/>
        <color rgb="FF000000"/>
        <rFont val="Calibri"/>
      </rPr>
      <t>.CAB</t>
    </r>
    <r>
      <rPr>
        <sz val="11"/>
        <color rgb="FF000000"/>
        <rFont val="Calibri"/>
      </rPr>
      <t xml:space="preserve"> 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</si>
  <si>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Archive files such as</t>
    </r>
    <r>
      <rPr>
        <sz val="11"/>
        <color rgb="FF000000"/>
        <rFont val="Calibri"/>
      </rPr>
      <t xml:space="preserve">
</t>
    </r>
    <r>
      <rPr>
        <sz val="11"/>
        <color rgb="FF000000"/>
        <rFont val="Calibri"/>
      </rPr>
      <t>.zip</t>
    </r>
    <r>
      <rPr>
        <sz val="11"/>
        <color rgb="FF000000"/>
        <rFont val="Calibri"/>
      </rPr>
      <t xml:space="preserve">
</t>
    </r>
    <r>
      <rPr>
        <sz val="11"/>
        <color rgb="FF000000"/>
        <rFont val="Calibri"/>
      </rPr>
      <t>,</t>
    </r>
    <r>
      <rPr>
        <sz val="11"/>
        <color rgb="FF000000"/>
        <rFont val="Calibri"/>
      </rPr>
      <t xml:space="preserve">
</t>
    </r>
    <r>
      <rPr>
        <sz val="11"/>
        <color rgb="FF000000"/>
        <rFont val="Calibri"/>
      </rPr>
      <t>.rar</t>
    </r>
    <r>
      <rPr>
        <sz val="11"/>
        <color rgb="FF000000"/>
        <rFont val="Calibri"/>
      </rPr>
      <t xml:space="preserve">
</t>
    </r>
    <r>
      <rPr>
        <sz val="11"/>
        <color rgb="FF000000"/>
        <rFont val="Calibri"/>
      </rPr>
      <t>,</t>
    </r>
    <r>
      <rPr>
        <sz val="11"/>
        <color rgb="FF000000"/>
        <rFont val="Calibri"/>
      </rPr>
      <t xml:space="preserve">
</t>
    </r>
    <r>
      <rPr>
        <sz val="11"/>
        <color rgb="FF000000"/>
        <rFont val="Calibri"/>
      </rPr>
      <t>.7z</t>
    </r>
    <r>
      <rPr>
        <sz val="11"/>
        <color rgb="FF000000"/>
        <rFont val="Calibri"/>
      </rPr>
      <t xml:space="preserve">
</t>
    </r>
    <r>
      <rPr>
        <sz val="11"/>
        <color rgb="FF000000"/>
        <rFont val="Calibri"/>
      </rPr>
      <t>, and</t>
    </r>
    <r>
      <rPr>
        <sz val="11"/>
        <color rgb="FF000000"/>
        <rFont val="Calibri"/>
      </rPr>
      <t xml:space="preserve">
</t>
    </r>
    <r>
      <rPr>
        <sz val="11"/>
        <color rgb="FF000000"/>
        <rFont val="Calibri"/>
      </rPr>
      <t>.iso</t>
    </r>
    <r>
      <rPr>
        <sz val="11"/>
        <color rgb="FF000000"/>
        <rFont val="Calibri"/>
      </rPr>
      <t xml:space="preserve">
</t>
    </r>
    <r>
      <rPr>
        <sz val="11"/>
        <color rgb="FF000000"/>
        <rFont val="Calibri"/>
      </rPr>
      <t>are a common and effective way threat actors hide malware, bypass basic defenses, and to delay detection.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</si>
  <si>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Defender\Scan:DisableArchiveScanning</t>
    </r>
    <r>
      <rPr>
        <sz val="11"/>
        <color rgb="FF006096"/>
        <rFont val="Roboto Condensed"/>
      </rPr>
      <t xml:space="preserve">
</t>
    </r>
  </si>
  <si>
    <t>Medium-03.23</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</si>
  <si>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</si>
  <si>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</si>
  <si>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</si>
  <si>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Packing executables is a way to compress and create smaller files and can make it difficult to access and analyze the code associated with the executable. This is a common method to obfuscate malicious executables by bad actors.</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</si>
  <si>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</si>
  <si>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</si>
  <si>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</si>
  <si>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Medium-03.24</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</si>
  <si>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</si>
  <si>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</si>
  <si>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</si>
  <si>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It is important to ensure that any present removable drives are always included in any type of scan, as removable drives are more likely to contain malicious software brought into the enterprise managed environment from an external, unmanaged computer.</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</si>
  <si>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</si>
  <si>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</si>
  <si>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</si>
  <si>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Medium-03.25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</si>
  <si>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</si>
  <si>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</si>
  <si>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</si>
  <si>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Incoming e-mails should be scanned by an antivirus solution such as Microsoft Defender Antivirus, as email attachments are a commonly used attack vector to infiltrate computers with malicious software.</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</si>
  <si>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</si>
  <si>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</si>
  <si>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</si>
  <si>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Attachment Manager</t>
  </si>
  <si>
    <t>Medium-04.00</t>
  </si>
  <si>
    <r>
      <rPr>
        <b/>
        <sz val="11"/>
        <color rgb="FF003B5C"/>
        <rFont val="Calibri"/>
      </rPr>
      <t>Section overview: 'Attachment Manager'</t>
    </r>
  </si>
  <si>
    <r>
      <rPr>
        <sz val="11"/>
        <color rgb="FF000000"/>
        <rFont val="Calibri"/>
      </rPr>
      <t xml:space="preserve">Configure the individual settings listed in recommendations </t>
    </r>
    <r>
      <rPr>
        <b/>
        <sz val="11"/>
        <color rgb="FF000000"/>
        <rFont val="Calibri"/>
      </rPr>
      <t>Medium-04.01</t>
    </r>
    <r>
      <rPr>
        <sz val="11"/>
        <color rgb="FF000000"/>
        <rFont val="Calibri"/>
      </rPr>
      <t xml:space="preserve"> and </t>
    </r>
    <r>
      <rPr>
        <b/>
        <sz val="11"/>
        <color rgb="FF000000"/>
        <rFont val="Calibri"/>
      </rPr>
      <t>Medium-04.02</t>
    </r>
    <r>
      <rPr>
        <sz val="11"/>
        <color rgb="FF000000"/>
        <rFont val="Calibri"/>
      </rPr>
      <t>.</t>
    </r>
  </si>
  <si>
    <r>
      <rPr>
        <sz val="11"/>
        <color rgb="FF000000"/>
        <rFont val="Calibri"/>
      </rPr>
      <t>The Attachment Manager within Microsoft Windows works in conjunction with applications such as the Microsoft Office suite and Microsoft Edge to help protect workstations from attachments that have been received via email or downloaded from the internet. The Attachment Manager classifies files as high, medium or low risk based on the zone they originated from and the type of file. Based on the risk to the workstation, the Attachment Manager will either issue a warning to a user or prevent them from opening a file. If zone information is not preserved, or can be removed, it can allow malicious actors to socially engineer a user to bypass protections afforded by the Attachment Manager. To reduce this risk, the Attachment Manager should be configured to preserve and protect zone information for files.</t>
    </r>
  </si>
  <si>
    <t>Medium-04.01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</si>
  <si>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</si>
  <si>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</si>
  <si>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</si>
  <si>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A file that is downloaded from a computer in the Internet or Restricted Sites zone may be moved to a location that makes it appear safe, like an intranet file share, and executed by an unsuspecting user. The Attachment Manager feature will warn users when opening or executing files which are marked as being from an untrusted source, unless/until the file's zone information has been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</si>
  <si>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</si>
  <si>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</si>
  <si>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Medium-04.02</t>
  </si>
  <si>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</si>
  <si>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User</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</si>
  <si>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Manager\Hide mechanisms to remove zone information</t>
    </r>
    <r>
      <rPr>
        <sz val="11"/>
        <color rgb="FF006096"/>
        <rFont val="Roboto Condensed"/>
      </rPr>
      <t xml:space="preserve">
</t>
    </r>
  </si>
  <si>
    <t>Audit event management</t>
  </si>
  <si>
    <t>Medium-05.00</t>
  </si>
  <si>
    <r>
      <rPr>
        <b/>
        <sz val="11"/>
        <color rgb="FF003B5C"/>
        <rFont val="Calibri"/>
      </rPr>
      <t>Section overview: 'Audit event management'</t>
    </r>
  </si>
  <si>
    <r>
      <rPr>
        <sz val="11"/>
        <color rgb="FF000000"/>
        <rFont val="Calibri"/>
      </rPr>
      <t xml:space="preserve">Configure the individual settings listed in recommendations </t>
    </r>
    <r>
      <rPr>
        <b/>
        <sz val="11"/>
        <color rgb="FF000000"/>
        <rFont val="Calibri"/>
      </rPr>
      <t>Medium-05.01</t>
    </r>
    <r>
      <rPr>
        <sz val="11"/>
        <color rgb="FF000000"/>
        <rFont val="Calibri"/>
      </rPr>
      <t xml:space="preserve"> through </t>
    </r>
    <r>
      <rPr>
        <b/>
        <sz val="11"/>
        <color rgb="FF000000"/>
        <rFont val="Calibri"/>
      </rPr>
      <t>Medium-05.29</t>
    </r>
    <r>
      <rPr>
        <sz val="11"/>
        <color rgb="FF000000"/>
        <rFont val="Calibri"/>
      </rPr>
      <t>.</t>
    </r>
  </si>
  <si>
    <r>
      <rPr>
        <sz val="11"/>
        <color rgb="FF000000"/>
        <rFont val="Calibri"/>
      </rPr>
      <t>Failure to capture and analyse security-related audit events from workstations can result in cybersecurity intrusions going unnoticed. In addition, the lack of such information can significantly hamper investigations following a cybersecurity incident. To reduce this risk, security-related audit events from workstations should be captured and routinely analysed.</t>
    </r>
  </si>
  <si>
    <t>Medium-05.01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</si>
  <si>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</si>
  <si>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</si>
  <si>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</si>
  <si>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Capturing process command line information in event logs can be very valuable when performing forensic investigations of attack incidents.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</si>
  <si>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</si>
  <si>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</si>
  <si>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</si>
  <si>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Medium-05.02</t>
  </si>
  <si>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an organisation-defined NTP server</t>
    </r>
  </si>
  <si>
    <r>
      <rPr>
        <sz val="11"/>
        <color rgb="FF000000"/>
        <rFont val="Calibri"/>
      </rPr>
      <t xml:space="preserve">Set the following UI path to </t>
    </r>
    <r>
      <rPr>
        <b/>
        <sz val="11"/>
        <color rgb="FF000000"/>
        <rFont val="Calibri"/>
      </rPr>
      <t>Enabled: NtpServer: &lt;organisation defined&gt;</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Providers\Configure Windows NTP Client</t>
    </r>
    <r>
      <rPr>
        <sz val="11"/>
        <color rgb="FF006096"/>
        <rFont val="Roboto Condensed"/>
      </rPr>
      <t xml:space="preserve">
</t>
    </r>
  </si>
  <si>
    <t>Medium-05.03</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</si>
  <si>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(Application) is set to </t>
    </r>
    <r>
      <rPr>
        <sz val="11"/>
        <color rgb="FF000000"/>
        <rFont val="Calibri"/>
      </rPr>
      <t>'</t>
    </r>
    <r>
      <rPr>
        <b/>
        <sz val="11"/>
        <color rgb="FF000000"/>
        <rFont val="Calibri"/>
      </rPr>
      <t>Enabled: 65536 or greater</t>
    </r>
    <r>
      <rPr>
        <sz val="11"/>
        <color rgb="FF000000"/>
        <rFont val="Calibri"/>
      </rPr>
      <t>'</t>
    </r>
  </si>
  <si>
    <r>
      <rPr>
        <sz val="11"/>
        <color rgb="FF000000"/>
        <rFont val="Calibri"/>
      </rPr>
      <t xml:space="preserve">Set the following UI path to </t>
    </r>
    <r>
      <rPr>
        <b/>
        <sz val="11"/>
        <color rgb="FF000000"/>
        <rFont val="Calibri"/>
      </rPr>
      <t>65536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</si>
  <si>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</si>
  <si>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If events are not recorded it may be difficult or impossible to determine the root cause of system problems or the unauthorized activities of threat actors.</t>
    </r>
    <r>
      <rPr>
        <sz val="11"/>
        <color rgb="FF000000"/>
        <rFont val="Calibri"/>
      </rPr>
      <t xml:space="preserve">
</t>
    </r>
    <r>
      <rPr>
        <sz val="11"/>
        <color rgb="FF000000"/>
        <rFont val="Calibri"/>
      </rPr>
      <t>The consequence of this configuration is that older events will be removed from the logs. Threat actors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 threat actor who successfully compromises a server could clear the Security log. If all events are sent to a monitoring server, then you will be able to gather forensic information about the threat actor's activities.</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</si>
  <si>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</si>
  <si>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</si>
  <si>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</si>
  <si>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Medium-05.04</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</si>
  <si>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(Security) is set to </t>
    </r>
    <r>
      <rPr>
        <sz val="11"/>
        <color rgb="FF000000"/>
        <rFont val="Calibri"/>
      </rPr>
      <t>'</t>
    </r>
    <r>
      <rPr>
        <b/>
        <sz val="11"/>
        <color rgb="FF000000"/>
        <rFont val="Calibri"/>
      </rPr>
      <t>Enabled: 2097152 or greater</t>
    </r>
    <r>
      <rPr>
        <sz val="11"/>
        <color rgb="FF000000"/>
        <rFont val="Calibri"/>
      </rPr>
      <t>'</t>
    </r>
  </si>
  <si>
    <r>
      <rPr>
        <sz val="11"/>
        <color rgb="FF000000"/>
        <rFont val="Calibri"/>
      </rPr>
      <t xml:space="preserve">Set the following UI path to </t>
    </r>
    <r>
      <rPr>
        <b/>
        <sz val="11"/>
        <color rgb="FF000000"/>
        <rFont val="Calibri"/>
      </rPr>
      <t>Enabled: Maximum Log Size (KB): 2097152</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</si>
  <si>
    <t>Medium-05.05</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</si>
  <si>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(System) is set to </t>
    </r>
    <r>
      <rPr>
        <sz val="11"/>
        <color rgb="FF000000"/>
        <rFont val="Calibri"/>
      </rPr>
      <t>'</t>
    </r>
    <r>
      <rPr>
        <b/>
        <sz val="11"/>
        <color rgb="FF000000"/>
        <rFont val="Calibri"/>
      </rPr>
      <t>Enabled: 65536 or greater</t>
    </r>
    <r>
      <rPr>
        <sz val="11"/>
        <color rgb="FF000000"/>
        <rFont val="Calibri"/>
      </rPr>
      <t>'</t>
    </r>
  </si>
  <si>
    <r>
      <rPr>
        <sz val="11"/>
        <color rgb="FF000000"/>
        <rFont val="Calibri"/>
      </rPr>
      <t xml:space="preserve">Set the following UI path to </t>
    </r>
    <r>
      <rPr>
        <b/>
        <sz val="11"/>
        <color rgb="FF000000"/>
        <rFont val="Calibri"/>
      </rPr>
      <t>Enabled: Maximum Log Size (KB): 65536</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</si>
  <si>
    <t>Medium-05.06</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</si>
  <si>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</si>
  <si>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</si>
  <si>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</si>
  <si>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 ability to manage the Security event log is a powerful user right and it should be closely guarded. Anyone with this user right can clear the Security log to erase important evidence of unauthorized activity.</t>
    </r>
  </si>
  <si>
    <r>
      <rPr>
        <sz val="11"/>
        <color rgb="FF000000"/>
        <rFont val="Calibri"/>
      </rPr>
      <t>Administrators.</t>
    </r>
  </si>
  <si>
    <t>Medium-05.07</t>
  </si>
  <si>
    <r>
      <rPr>
        <sz val="11"/>
        <rFont val="Calibri"/>
      </rPr>
      <t xml:space="preserve">Ensure </t>
    </r>
    <r>
      <rPr>
        <sz val="11"/>
        <color rgb="FF000000"/>
        <rFont val="Calibri"/>
      </rPr>
      <t>'</t>
    </r>
    <r>
      <rPr>
        <b/>
        <sz val="11"/>
        <color rgb="FF000000"/>
        <rFont val="Calibri"/>
      </rPr>
      <t>Enable / disable CLFS log 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</si>
  <si>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</si>
  <si>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</si>
  <si>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CLFS is a security feature which hardens logfile parsing. If modifications to logfiles are detected, CLFS will consider the logfile unsafe for parsing and return an error to the caller. It is also able to detect modifications by writing authentication codes to logfiles which combines file data with a system-unique cryptographic key.</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</si>
  <si>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</si>
  <si>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</si>
  <si>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</si>
  <si>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Medium-05.08</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</si>
  <si>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</si>
  <si>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</si>
  <si>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t>Medium-05.09</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</si>
  <si>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</si>
  <si>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</si>
  <si>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t>Medium-05.10</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</si>
  <si>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</si>
  <si>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</si>
  <si>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</si>
  <si>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</si>
  <si>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</si>
  <si>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</si>
  <si>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r>
      <rPr>
        <sz val="11"/>
        <color rgb="FF000000"/>
        <rFont val="Calibri"/>
      </rPr>
      <t>Success.</t>
    </r>
  </si>
  <si>
    <t>Medium-05.11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</si>
  <si>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</si>
  <si>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</si>
  <si>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</si>
  <si>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</si>
  <si>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Medium-05.12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</si>
  <si>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</si>
  <si>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</si>
  <si>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for the most recent information about this setting </t>
    </r>
    <r>
      <rPr>
        <sz val="11"/>
        <color rgb="FF0000FF"/>
        <rFont val="Calibri"/>
      </rPr>
      <t>(https://support.microsoft.com/en-us/kb/947226)</t>
    </r>
    <r>
      <rPr>
        <sz val="11"/>
        <color rgb="FF000000"/>
        <rFont val="Calibri"/>
      </rPr>
      <t>.</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</si>
  <si>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</si>
  <si>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r>
      <rPr>
        <sz val="11"/>
        <color rgb="FF000000"/>
        <rFont val="Calibri"/>
      </rPr>
      <t>No Auditing.</t>
    </r>
  </si>
  <si>
    <t>Medium-05.13</t>
  </si>
  <si>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</si>
  <si>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Termination</t>
    </r>
    <r>
      <rPr>
        <sz val="11"/>
        <color rgb="FF006096"/>
        <rFont val="Roboto Condensed"/>
      </rPr>
      <t xml:space="preserve">
</t>
    </r>
  </si>
  <si>
    <t>Medium-05.14</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</si>
  <si>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</si>
  <si>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</si>
  <si>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</si>
  <si>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</si>
  <si>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Medium-05.15</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</si>
  <si>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</si>
  <si>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</si>
  <si>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</si>
  <si>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</si>
  <si>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Medium-05.16</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</si>
  <si>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</si>
  <si>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</si>
  <si>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</si>
  <si>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</si>
  <si>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Medium-05.17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</si>
  <si>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</si>
  <si>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</si>
  <si>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</si>
  <si>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</si>
  <si>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Medium-05.18</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</si>
  <si>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</si>
  <si>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</si>
  <si>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</si>
  <si>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</si>
  <si>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Medium-05.19</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</si>
  <si>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</si>
  <si>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</si>
  <si>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</si>
  <si>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</si>
  <si>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Medium-05.20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</si>
  <si>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</si>
  <si>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</si>
  <si>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</si>
  <si>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In an enterprise managed environment, workstations should have limited file sharing activity, as file servers would normally handle the overall burden of file sharing activities. Any unusual file sharing activity on workstations may therefore be useful in an investigation of potentially malicious activity.</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</si>
  <si>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</si>
  <si>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Medium-05.21</t>
  </si>
  <si>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</si>
  <si>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System</t>
    </r>
    <r>
      <rPr>
        <sz val="11"/>
        <color rgb="FF006096"/>
        <rFont val="Roboto Condensed"/>
      </rPr>
      <t xml:space="preserve">
</t>
    </r>
  </si>
  <si>
    <t>Medium-05.22</t>
  </si>
  <si>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</si>
  <si>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Kernel Object</t>
    </r>
    <r>
      <rPr>
        <sz val="11"/>
        <color rgb="FF006096"/>
        <rFont val="Roboto Condensed"/>
      </rPr>
      <t xml:space="preserve">
</t>
    </r>
  </si>
  <si>
    <t>Medium-05.23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</si>
  <si>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</si>
  <si>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</si>
  <si>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</si>
  <si>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The unexpected creation of scheduled tasks and COM+ objects could potentially be an indication of malicious activity. Since these types of actions are generally low volume, it may be useful to capture them in the audit logs for use during an investigation.</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</si>
  <si>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</si>
  <si>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Medium-05.24</t>
  </si>
  <si>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</si>
  <si>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Registry</t>
    </r>
    <r>
      <rPr>
        <sz val="11"/>
        <color rgb="FF006096"/>
        <rFont val="Roboto Condensed"/>
      </rPr>
      <t xml:space="preserve">
</t>
    </r>
  </si>
  <si>
    <t>Medium-05.25</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</si>
  <si>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</si>
  <si>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</si>
  <si>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</si>
  <si>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</si>
  <si>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Medium-05.26</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</si>
  <si>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</si>
  <si>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</si>
  <si>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</si>
  <si>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This setting can help detect errors in applied Security settings which came from Group Policy, and failure events related to Cryptographic Next Generation (CNG) functions.</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</si>
  <si>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</si>
  <si>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Medium-05.27</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</si>
  <si>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</si>
  <si>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</si>
  <si>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</si>
  <si>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</si>
  <si>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r>
      <rPr>
        <sz val="11"/>
        <color rgb="FF000000"/>
        <rFont val="Calibri"/>
      </rPr>
      <t>Success and Failure.</t>
    </r>
  </si>
  <si>
    <t>Medium-05.28</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</si>
  <si>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</si>
  <si>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</si>
  <si>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</si>
  <si>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Prior to the introduction of auditing subcategories in Windows Vista, it was difficult to track events at a per-system or per-user level. The larger event categories created too many events and the key information that needed to be audited was difficult to find.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</si>
  <si>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</si>
  <si>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</si>
  <si>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Medium-05.29</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</si>
  <si>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</si>
  <si>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</si>
  <si>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</si>
  <si>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Users who can change the time on a computer could cause several problems. For example, time stamps on event log entries could be made inaccurate, time stamps on files and folders that are created or modified could be incorrect, and computers that belong to a domain may not be able to authenticate themselves or users who try to log on to the domain from them. Also, because the Kerberos authentication protocol requires that the requestor and authenticator have their clocks synchronized within an administrator-defined skew period, a threat actor who changes a computer's time may cause that computer to be unable to obtain or grant Kerberos tickets.</t>
    </r>
    <r>
      <rPr>
        <sz val="11"/>
        <color rgb="FF000000"/>
        <rFont val="Calibri"/>
      </rPr>
      <t xml:space="preserve">
</t>
    </r>
    <r>
      <rPr>
        <sz val="11"/>
        <color rgb="FF000000"/>
        <rFont val="Calibri"/>
      </rPr>
      <t>The risk from these types of events is mitigated on most Domain Controllers, Member Servers, and end-user computers because the Windows Time service automatically synchronizes time with Domain Controllers in the following ways:</t>
    </r>
    <r>
      <rPr>
        <sz val="11"/>
        <color rgb="FF000000"/>
        <rFont val="Calibri"/>
      </rPr>
      <t xml:space="preserve">
</t>
    </r>
    <r>
      <rPr>
        <sz val="11"/>
        <color rgb="FF000000"/>
        <rFont val="Calibri"/>
      </rPr>
      <t>All client desktop computers and Member Servers use the authenticating Domain Controller as their inbound time partner.</t>
    </r>
    <r>
      <rPr>
        <sz val="11"/>
        <color rgb="FF000000"/>
        <rFont val="Calibri"/>
      </rPr>
      <t xml:space="preserve">
</t>
    </r>
    <r>
      <rPr>
        <sz val="11"/>
        <color rgb="FF000000"/>
        <rFont val="Calibri"/>
      </rPr>
      <t>All Domain Controllers in a domain nominate the Primary Domain Controller (PDC) Emulator operations master as their inbound time partner.</t>
    </r>
    <r>
      <rPr>
        <sz val="11"/>
        <color rgb="FF000000"/>
        <rFont val="Calibri"/>
      </rPr>
      <t xml:space="preserve">
</t>
    </r>
    <r>
      <rPr>
        <sz val="11"/>
        <color rgb="FF000000"/>
        <rFont val="Calibri"/>
      </rPr>
      <t>All PDC Emulator operations masters follow the hierarchy of domains in the selection of their inbound time partner.</t>
    </r>
    <r>
      <rPr>
        <sz val="11"/>
        <color rgb="FF000000"/>
        <rFont val="Calibri"/>
      </rPr>
      <t xml:space="preserve">
</t>
    </r>
    <r>
      <rPr>
        <sz val="11"/>
        <color rgb="FF000000"/>
        <rFont val="Calibri"/>
      </rPr>
      <t>The PDC Emulator operations master at the root of the domain is authoritative for the organization. Therefore it is recommended that you configure this computer to synchronize with a reliable external time server.</t>
    </r>
    <r>
      <rPr>
        <sz val="11"/>
        <color rgb="FF000000"/>
        <rFont val="Calibri"/>
      </rPr>
      <t xml:space="preserve">
</t>
    </r>
    <r>
      <rPr>
        <sz val="11"/>
        <color rgb="FF000000"/>
        <rFont val="Calibri"/>
      </rPr>
      <t>This vulnerability becomes much more serious if a threat actor is able to change the system time and then stop the Windows Time service or reconfigure it to synchronize with a time server that is not accurate.</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</si>
  <si>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</si>
  <si>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Administrators, LOCAL SERVICE.</t>
    </r>
  </si>
  <si>
    <t>Autoplay and AutoRun</t>
  </si>
  <si>
    <t>Medium-06.00</t>
  </si>
  <si>
    <r>
      <rPr>
        <b/>
        <sz val="11"/>
        <color rgb="FF003B5C"/>
        <rFont val="Calibri"/>
      </rPr>
      <t>Section overview: 'Autoplay and AutoRun'</t>
    </r>
  </si>
  <si>
    <r>
      <rPr>
        <sz val="11"/>
        <color rgb="FF000000"/>
        <rFont val="Calibri"/>
      </rPr>
      <t xml:space="preserve">Configure the individual settings listed in recommendations </t>
    </r>
    <r>
      <rPr>
        <b/>
        <sz val="11"/>
        <color rgb="FF000000"/>
        <rFont val="Calibri"/>
      </rPr>
      <t>Medium-06.01</t>
    </r>
    <r>
      <rPr>
        <sz val="11"/>
        <color rgb="FF000000"/>
        <rFont val="Calibri"/>
      </rPr>
      <t xml:space="preserve"> through </t>
    </r>
    <r>
      <rPr>
        <b/>
        <sz val="11"/>
        <color rgb="FF000000"/>
        <rFont val="Calibri"/>
      </rPr>
      <t>Medium-06.03</t>
    </r>
    <r>
      <rPr>
        <sz val="11"/>
        <color rgb="FF000000"/>
        <rFont val="Calibri"/>
      </rPr>
      <t>.</t>
    </r>
  </si>
  <si>
    <r>
      <rPr>
        <sz val="11"/>
        <color rgb="FF000000"/>
        <rFont val="Calibri"/>
      </rPr>
      <t>When enabled, Autoplay will automatically begin reading from a drive or media source as soon as it is used with a workstation, while AutoRun commands, generally in an autorun.inf file on the media, can be used to automatically execute any file on the media without user interaction. This functionality can be exploited by malicious actors to automatically execute malicious code. To reduce this risk, Autoplay and AutoRun functionality should be disabled.</t>
    </r>
  </si>
  <si>
    <t>Medium-06.01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</si>
  <si>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</si>
  <si>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</si>
  <si>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</si>
  <si>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threat actor could use this feature to launch a program to damage a client computer or data on the computer.</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</si>
  <si>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</si>
  <si>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</si>
  <si>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</si>
  <si>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Medium-06.02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</si>
  <si>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</si>
  <si>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</si>
  <si>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</si>
  <si>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</si>
  <si>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</si>
  <si>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</si>
  <si>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</si>
  <si>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Medium-06.03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</si>
  <si>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</si>
  <si>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</si>
  <si>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</si>
  <si>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</si>
  <si>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</si>
  <si>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</si>
  <si>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Boot devices</t>
  </si>
  <si>
    <t>Medium-07.00</t>
  </si>
  <si>
    <r>
      <rPr>
        <b/>
        <sz val="11"/>
        <color rgb="FF003B5C"/>
        <rFont val="Calibri"/>
      </rPr>
      <t>Section overview: 'Boot devices'</t>
    </r>
  </si>
  <si>
    <r>
      <rPr>
        <sz val="11"/>
        <color rgb="FF000000"/>
        <rFont val="Calibri"/>
      </rPr>
      <t>Configure the UEFI firmware boot order to boot exclusively from the primary system drive. Set a UEFI supervisor password to prevent unauthorised changes. This is a firmware-level control and cannot be enforced through Group Policy.</t>
    </r>
  </si>
  <si>
    <r>
      <rPr>
        <sz val="11"/>
        <color rgb="FF000000"/>
        <rFont val="Calibri"/>
      </rPr>
      <t>By default, workstations are often configured to boot from optical media, or even USB media, in preference to hard drives. Malicious actors with physical access to such workstations can boot from their own media in order to gain access to the content of the hard drives. With this access, malicious actors can reset local user account passwords or gain access to the local SAM database to steal password hashes for offline brute force cracking attempts. To reduce this risk, workstations should be restricted to only booting from the designated primary system drive.</t>
    </r>
  </si>
  <si>
    <t>Bridging networks</t>
  </si>
  <si>
    <t>Medium-08.00</t>
  </si>
  <si>
    <r>
      <rPr>
        <b/>
        <sz val="11"/>
        <color rgb="FF003B5C"/>
        <rFont val="Calibri"/>
      </rPr>
      <t>Section overview: 'Bridging networks'</t>
    </r>
  </si>
  <si>
    <r>
      <rPr>
        <sz val="11"/>
        <color rgb="FF000000"/>
        <rFont val="Calibri"/>
      </rPr>
      <t xml:space="preserve">Configure the individual settings listed in recommendations </t>
    </r>
    <r>
      <rPr>
        <b/>
        <sz val="11"/>
        <color rgb="FF000000"/>
        <rFont val="Calibri"/>
      </rPr>
      <t>Medium-08.01</t>
    </r>
    <r>
      <rPr>
        <sz val="11"/>
        <color rgb="FF000000"/>
        <rFont val="Calibri"/>
      </rPr>
      <t xml:space="preserve"> through </t>
    </r>
    <r>
      <rPr>
        <b/>
        <sz val="11"/>
        <color rgb="FF000000"/>
        <rFont val="Calibri"/>
      </rPr>
      <t>Medium-08.03</t>
    </r>
    <r>
      <rPr>
        <sz val="11"/>
        <color rgb="FF000000"/>
        <rFont val="Calibri"/>
      </rPr>
      <t>.</t>
    </r>
  </si>
  <si>
    <r>
      <rPr>
        <sz val="11"/>
        <color rgb="FF000000"/>
        <rFont val="Calibri"/>
      </rPr>
      <t>When workstations have multiple network interfaces, such as an Ethernet interface and a wireless interface, it is possible to establish a bridge between the connected networks. Malicious actors can directly access the wired network from the wireless network to extract sensitive information. To reduce this risk, the ability to install and configure network bridges between different networks should be disabled.</t>
    </r>
  </si>
  <si>
    <t>Medium-08.01</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</si>
  <si>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</si>
  <si>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</si>
  <si>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is no longer available starting with Windows 11, version 24H2. If the environment is running version 24H2 or later, an exception to this recommendation will be required. This recommendation will be removed from the Benchmark in November 2026, after Windows 11 version 23H2 reaches end of life.</t>
    </r>
  </si>
  <si>
    <r>
      <rPr>
        <sz val="11"/>
        <color rgb="FF000000"/>
        <rFont val="Calibri"/>
      </rPr>
      <t>Non-administrators should not be able to turn on the Mobile Hotspot feature and open their Internet connectivity up to nearby mobile devices.</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</si>
  <si>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</si>
  <si>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</si>
  <si>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</si>
  <si>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Medium-08.02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</si>
  <si>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</si>
  <si>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</si>
  <si>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</si>
  <si>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potential concern is that a user would unknowingly allow network traffic to flow between the insecure public network and the enterprise managed network.</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</si>
  <si>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</si>
  <si>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</si>
  <si>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</si>
  <si>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Medium-08.03</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</si>
  <si>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Minimize Policy Options: 3 = Prevent Wi-Fi when on Ethernet</t>
    </r>
    <r>
      <rPr>
        <sz val="11"/>
        <color rgb="FF000000"/>
        <rFont val="Calibri"/>
      </rPr>
      <t>'</t>
    </r>
  </si>
  <si>
    <r>
      <rPr>
        <sz val="11"/>
        <color rgb="FF000000"/>
        <rFont val="Calibri"/>
      </rPr>
      <t xml:space="preserve">Set the following UI path to </t>
    </r>
    <r>
      <rPr>
        <b/>
        <sz val="11"/>
        <color rgb="FF000000"/>
        <rFont val="Calibri"/>
      </rPr>
      <t>Enabled: Minimize Policy Options: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</si>
  <si>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</si>
  <si>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Preventing bridged network connections can help prevent a user unknowingly allowing traffic to route between internal and external networks, which risks exposure to sensitive internal data.</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</si>
  <si>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</si>
  <si>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</si>
  <si>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</si>
  <si>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Built-in guest accounts</t>
  </si>
  <si>
    <t>Medium-09.00</t>
  </si>
  <si>
    <r>
      <rPr>
        <b/>
        <sz val="11"/>
        <color rgb="FF003B5C"/>
        <rFont val="Calibri"/>
      </rPr>
      <t>Section overview: 'Built-in guest accounts'</t>
    </r>
  </si>
  <si>
    <r>
      <rPr>
        <sz val="11"/>
        <color rgb="FF000000"/>
        <rFont val="Calibri"/>
      </rPr>
      <t xml:space="preserve">Configure the setting listed in recommendation </t>
    </r>
    <r>
      <rPr>
        <b/>
        <sz val="11"/>
        <color rgb="FF000000"/>
        <rFont val="Calibri"/>
      </rPr>
      <t>Medium-09.01</t>
    </r>
    <r>
      <rPr>
        <sz val="11"/>
        <color rgb="FF000000"/>
        <rFont val="Calibri"/>
      </rPr>
      <t xml:space="preserve"> to disable the built-in guest account.</t>
    </r>
  </si>
  <si>
    <r>
      <rPr>
        <sz val="11"/>
        <color rgb="FF000000"/>
        <rFont val="Calibri"/>
      </rPr>
      <t>When built-in guest accounts are used, it can allow malicious actors to log onto a workstation over the network without first needing to compromise legitimate user credentials. To reduce this risk, built-in guest accounts should be disabled.</t>
    </r>
  </si>
  <si>
    <t>Medium-09.01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</si>
  <si>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</si>
  <si>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</si>
  <si>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</si>
  <si>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The default Guest account allows unauthenticated network users to log on as Guest with no password. These unauthorized users could access any resources that are accessible to the Guest account over the network. This capability means that any network shares with permissions that allow access to the Guest account, the Guests group, or the Everyone group will be accessible over the network, which could lead to the exposure or corruption of data.</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</si>
  <si>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</si>
  <si>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CD burner access</t>
  </si>
  <si>
    <t>Medium-10.00</t>
  </si>
  <si>
    <r>
      <rPr>
        <b/>
        <sz val="11"/>
        <color rgb="FF003B5C"/>
        <rFont val="Calibri"/>
      </rPr>
      <t>Section overview: 'CD burner access'</t>
    </r>
  </si>
  <si>
    <r>
      <rPr>
        <sz val="11"/>
        <color rgb="FF000000"/>
        <rFont val="Calibri"/>
      </rPr>
      <t xml:space="preserve">Configure the setting listed in recommendation </t>
    </r>
    <r>
      <rPr>
        <b/>
        <sz val="11"/>
        <color rgb="FF000000"/>
        <rFont val="Calibri"/>
      </rPr>
      <t>Medium-10.01</t>
    </r>
    <r>
      <rPr>
        <sz val="11"/>
        <color rgb="FF000000"/>
        <rFont val="Calibri"/>
      </rPr>
      <t xml:space="preserve"> to prevent access to CD burning functionality.</t>
    </r>
  </si>
  <si>
    <r>
      <rPr>
        <sz val="11"/>
        <color rgb="FF000000"/>
        <rFont val="Calibri"/>
      </rPr>
      <t>If CD burning functionality is enabled, and CD burners are installed in workstations, malicious actors may attempt to steal sensitive information by burning it to CD. To reduce this risk, users should not have access to CD burning functionality except when explicitly required.</t>
    </r>
  </si>
  <si>
    <t>Medium-10.01</t>
  </si>
  <si>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</si>
  <si>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Components\File Explorer\Remove CD Burning features</t>
    </r>
    <r>
      <rPr>
        <sz val="11"/>
        <color rgb="FF006096"/>
        <rFont val="Roboto Condensed"/>
      </rPr>
      <t xml:space="preserve">
</t>
    </r>
  </si>
  <si>
    <t>Centralised audit event logging</t>
  </si>
  <si>
    <t>Medium-11.00</t>
  </si>
  <si>
    <r>
      <rPr>
        <b/>
        <sz val="11"/>
        <color rgb="FF003B5C"/>
        <rFont val="Calibri"/>
      </rPr>
      <t>Section overview: 'Centralised audit event logging'</t>
    </r>
  </si>
  <si>
    <r>
      <rPr>
        <sz val="11"/>
        <color rgb="FF000000"/>
        <rFont val="Calibri"/>
      </rPr>
      <t>Configure a Windows Event Forwarding (WEF) or equivalent solution to transfer audit event logs from workstations to a secure central logging server. Ensure the central logging server is hardened and access-controlled.</t>
    </r>
  </si>
  <si>
    <r>
      <rPr>
        <sz val="11"/>
        <color rgb="FF000000"/>
        <rFont val="Calibri"/>
      </rPr>
      <t>Storing audit event logs on workstations poses a risk that malicious actors could attempt to modify or delete these logs during an intrusion to cover their tracks. In addition, failure to conduct centralised audit event logging will reduce the visibility of audit events across all workstations, prevent the correlation of audit events and increase the complexity of any investigations after cybersecurity incidents. To reduce this risk, audit event logs from workstations should be transferred to a secure central logging server.</t>
    </r>
  </si>
  <si>
    <t>Command Prompt</t>
  </si>
  <si>
    <t>Medium-12.00</t>
  </si>
  <si>
    <r>
      <rPr>
        <b/>
        <sz val="11"/>
        <color rgb="FF003B5C"/>
        <rFont val="Calibri"/>
      </rPr>
      <t>Section overview: 'Command Prompt'</t>
    </r>
  </si>
  <si>
    <r>
      <rPr>
        <sz val="11"/>
        <color rgb="FF000000"/>
        <rFont val="Calibri"/>
      </rPr>
      <t xml:space="preserve">Configure the setting listed in recommendation </t>
    </r>
    <r>
      <rPr>
        <b/>
        <sz val="11"/>
        <color rgb="FF000000"/>
        <rFont val="Calibri"/>
      </rPr>
      <t>Medium-12.01</t>
    </r>
    <r>
      <rPr>
        <sz val="11"/>
        <color rgb="FF000000"/>
        <rFont val="Calibri"/>
      </rPr>
      <t xml:space="preserve"> to prevent access to the Command Prompt and script processing functionality.</t>
    </r>
  </si>
  <si>
    <r>
      <rPr>
        <sz val="11"/>
        <color rgb="FF000000"/>
        <rFont val="Calibri"/>
      </rPr>
      <t>Malicious actors who gain access to a workstation can use the Command Prompt to execute in-built Microsoft Windows tools to gather information about the workstation or domain as well as schedule malicious code to execute on other workstations on the network. To reduce this risk, users should not have Command Prompt access or the ability to execute batch files and scripts.</t>
    </r>
  </si>
  <si>
    <t>Medium-12.01</t>
  </si>
  <si>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the command prompt script processing also: Yes</t>
    </r>
    <r>
      <rPr>
        <sz val="11"/>
        <color rgb="FF000000"/>
        <rFont val="Calibri"/>
      </rPr>
      <t>'</t>
    </r>
  </si>
  <si>
    <r>
      <rPr>
        <sz val="11"/>
        <color rgb="FF000000"/>
        <rFont val="Calibri"/>
      </rPr>
      <t xml:space="preserve">Set the following UI path to </t>
    </r>
    <r>
      <rPr>
        <b/>
        <sz val="11"/>
        <color rgb="FF000000"/>
        <rFont val="Calibri"/>
      </rPr>
      <t>Enabled: Disable the command prompt script processing also: Yes</t>
    </r>
    <r>
      <rPr>
        <sz val="11"/>
        <color rgb="FF000000"/>
        <rFont val="Calibri"/>
      </rPr>
      <t>:</t>
    </r>
    <r>
      <rPr>
        <sz val="11"/>
        <color rgb="FF000000"/>
        <rFont val="Calibri"/>
      </rPr>
      <t xml:space="preserve">
</t>
    </r>
    <r>
      <rPr>
        <sz val="11"/>
        <color rgb="FF006096"/>
        <rFont val="Roboto Condensed"/>
      </rPr>
      <t>User Configuration\Policies\Administrative Templates\System\Prevent access to the command prompt</t>
    </r>
    <r>
      <rPr>
        <sz val="11"/>
        <color rgb="FF006096"/>
        <rFont val="Roboto Condensed"/>
      </rPr>
      <t xml:space="preserve">
</t>
    </r>
  </si>
  <si>
    <t>Direct Memory Access</t>
  </si>
  <si>
    <t>Medium-13.00</t>
  </si>
  <si>
    <r>
      <rPr>
        <b/>
        <sz val="11"/>
        <color rgb="FF003B5C"/>
        <rFont val="Calibri"/>
      </rPr>
      <t>Section overview: 'Direct Memory Access'</t>
    </r>
  </si>
  <si>
    <r>
      <rPr>
        <sz val="11"/>
        <color rgb="FF000000"/>
        <rFont val="Calibri"/>
      </rPr>
      <t xml:space="preserve">Configure the individual settings listed in recommendations </t>
    </r>
    <r>
      <rPr>
        <b/>
        <sz val="11"/>
        <color rgb="FF000000"/>
        <rFont val="Calibri"/>
      </rPr>
      <t>Medium-13.01</t>
    </r>
    <r>
      <rPr>
        <sz val="11"/>
        <color rgb="FF000000"/>
        <rFont val="Calibri"/>
      </rPr>
      <t xml:space="preserve"> through </t>
    </r>
    <r>
      <rPr>
        <b/>
        <sz val="11"/>
        <color rgb="FF000000"/>
        <rFont val="Calibri"/>
      </rPr>
      <t>Medium-13.03</t>
    </r>
    <r>
      <rPr>
        <sz val="11"/>
        <color rgb="FF000000"/>
        <rFont val="Calibri"/>
      </rPr>
      <t>.</t>
    </r>
  </si>
  <si>
    <r>
      <rPr>
        <sz val="11"/>
        <color rgb="FF000000"/>
        <rFont val="Calibri"/>
      </rPr>
      <t>Communications interfaces that use Direct Memory Access (DMA) can allow malicious actors with physical access to a workstation to directly access the contents of a workstation's memory. This can be used to read sensitive contents such as cryptographic keys or to write malicious code directly into memory. To reduce this risk, communications interfaces that allow DMA (e.g. FireWire and Thunderbolt) should be disabled.</t>
    </r>
  </si>
  <si>
    <t>Medium-13.01</t>
  </si>
  <si>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PCI\CC_0C0010, PCI\CC_0C0A</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</si>
  <si>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Device IDs </t>
    </r>
    <r>
      <rPr>
        <b/>
        <sz val="11"/>
        <color rgb="FF000000"/>
        <rFont val="Calibri"/>
      </rPr>
      <t>PCI\CC_0C0010</t>
    </r>
    <r>
      <rPr>
        <sz val="11"/>
        <color rgb="FF000000"/>
        <rFont val="Calibri"/>
      </rPr>
      <t xml:space="preserve"> and </t>
    </r>
    <r>
      <rPr>
        <b/>
        <sz val="11"/>
        <color rgb="FF000000"/>
        <rFont val="Calibri"/>
      </rPr>
      <t>PCI\CC_0C0A</t>
    </r>
    <r>
      <rPr>
        <sz val="11"/>
        <color rgb="FF000000"/>
        <rFont val="Calibri"/>
      </rPr>
      <t xml:space="preserve"> (also apply to matching devices that are already installed):</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</si>
  <si>
    <t>Medium-13.02</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</si>
  <si>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</si>
  <si>
    <r>
      <rPr>
        <sz val="11"/>
        <color rgb="FF000000"/>
        <rFont val="Calibri"/>
      </rPr>
      <t xml:space="preserve">Set the following UI path to </t>
    </r>
    <r>
      <rPr>
        <b/>
        <sz val="11"/>
        <color rgb="FF000000"/>
        <rFont val="Calibri"/>
      </rPr>
      <t>Enabled: {d48179be-ec20-11d1-b6b8-00c04fa372a7}</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</si>
  <si>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</si>
  <si>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A BitLocker-protected computer may be vulnerable to Direct Memory Access (DMA) attacks when the computer is turned on or is in the Standby power state - this includes when the workstation is locked.</t>
    </r>
    <r>
      <rPr>
        <sz val="11"/>
        <color rgb="FF000000"/>
        <rFont val="Calibri"/>
      </rPr>
      <t xml:space="preserve">
</t>
    </r>
    <r>
      <rPr>
        <sz val="11"/>
        <color rgb="FF000000"/>
        <rFont val="Calibri"/>
      </rPr>
      <t>BitLocker with TPM-only authentication lets a computer enter the power-on state without any pre-boot authentication. Therefore, a threat actor may be able to perform DMA attacks.</t>
    </r>
    <r>
      <rPr>
        <sz val="11"/>
        <color rgb="FF000000"/>
        <rFont val="Calibri"/>
      </rPr>
      <t xml:space="preserve">
</t>
    </r>
    <r>
      <rPr>
        <sz val="11"/>
        <color rgb="FF000000"/>
        <rFont val="Calibri"/>
      </rPr>
      <t>This issue is documented in Microsoft Knowledge Base article 2516445:</t>
    </r>
    <r>
      <rPr>
        <sz val="11"/>
        <color rgb="FF000000"/>
        <rFont val="Calibri"/>
      </rPr>
      <t xml:space="preserve">
</t>
    </r>
    <r>
      <rPr>
        <sz val="11"/>
        <color rgb="FF000000"/>
        <rFont val="Calibri"/>
      </rPr>
      <t>Blocking the SBP-2 driver and Thunderbolt controllers to reduce 1394 DMA and Thunderbolt DMA threats to BitLocker</t>
    </r>
    <r>
      <rPr>
        <sz val="11"/>
        <color rgb="FF000000"/>
        <rFont val="Calibri"/>
      </rPr>
      <t xml:space="preserve">
</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</si>
  <si>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</si>
  <si>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</si>
  <si>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</si>
  <si>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Medium-13.03</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</si>
  <si>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</si>
  <si>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</si>
  <si>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</si>
  <si>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Device memory sandboxing allows the OS to leverage the I/O Memory Management Unit (IOMMU) of a device to block unpermitted I/O, or memory access, by the peripheral.</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</si>
  <si>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</si>
  <si>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</si>
  <si>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</si>
  <si>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Drive encryption</t>
  </si>
  <si>
    <t>Medium-14.00</t>
  </si>
  <si>
    <r>
      <rPr>
        <b/>
        <sz val="11"/>
        <color rgb="FF003B5C"/>
        <rFont val="Calibri"/>
      </rPr>
      <t>Section overview: 'Drive encryption'</t>
    </r>
  </si>
  <si>
    <r>
      <rPr>
        <sz val="11"/>
        <color rgb="FF000000"/>
        <rFont val="Calibri"/>
      </rPr>
      <t xml:space="preserve">If using Microsoft BitLocker, configure the individual settings listed in recommendations </t>
    </r>
    <r>
      <rPr>
        <b/>
        <sz val="11"/>
        <color rgb="FF000000"/>
        <rFont val="Calibri"/>
      </rPr>
      <t>Medium-14.01</t>
    </r>
    <r>
      <rPr>
        <sz val="11"/>
        <color rgb="FF000000"/>
        <rFont val="Calibri"/>
      </rPr>
      <t xml:space="preserve"> through </t>
    </r>
    <r>
      <rPr>
        <b/>
        <sz val="11"/>
        <color rgb="FF000000"/>
        <rFont val="Calibri"/>
      </rPr>
      <t>Medium-14.18</t>
    </r>
    <r>
      <rPr>
        <sz val="11"/>
        <color rgb="FF000000"/>
        <rFont val="Calibri"/>
      </rPr>
      <t xml:space="preserve"> to implement full disk encryption.</t>
    </r>
  </si>
  <si>
    <r>
      <rPr>
        <sz val="11"/>
        <color rgb="FF000000"/>
        <rFont val="Calibri"/>
      </rPr>
      <t>Malicious actors with physical access to a workstation may be able to use a bootable CD/DVD or USB media to load their own operating environment. From this environment, they can access the local file system to gain access to sensitive information or the SAM database to access password hashes. In addition, malicious actors that gain access to a stolen or unsanitised hard drive will be able to recover its contents. To reduce this risk, AES-based full disk encryption should be used to protect the contents of hard drives from unauthorised access.</t>
    </r>
  </si>
  <si>
    <t>Medium-14.01</t>
  </si>
  <si>
    <r>
      <rPr>
        <sz val="11"/>
        <rFont val="Calibri"/>
      </rPr>
      <t xml:space="preserve">Ensure </t>
    </r>
    <r>
      <rPr>
        <sz val="11"/>
        <color rgb="FF000000"/>
        <rFont val="Calibri"/>
      </rPr>
      <t>'</t>
    </r>
    <r>
      <rPr>
        <b/>
        <sz val="11"/>
        <color rgb="FF000000"/>
        <rFont val="Calibri"/>
      </rPr>
      <t>Choose drive encryption method and cipher strength (Windows 10 [Version 1511] and later)</t>
    </r>
    <r>
      <rPr>
        <sz val="11"/>
        <color rgb="FF000000"/>
        <rFont val="Calibri"/>
      </rPr>
      <t>'</t>
    </r>
    <r>
      <rPr>
        <sz val="11"/>
        <color rgb="FF000000"/>
        <rFont val="Calibri"/>
      </rPr>
      <t xml:space="preserve"> is set to </t>
    </r>
    <r>
      <rPr>
        <sz val="11"/>
        <color rgb="FF000000"/>
        <rFont val="Calibri"/>
      </rPr>
      <t>'</t>
    </r>
    <r>
      <rPr>
        <b/>
        <sz val="11"/>
        <color rgb="FF000000"/>
        <rFont val="Calibri"/>
      </rPr>
      <t>Enabled: XTS-AES 128-bit for OS and fixed drives, XTS-AES 128-bit for removable drives</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</si>
  <si>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XTS-AES 128-bit for OS and fixed drives, XTS-AES 128-bit for removable drives</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removable data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</si>
  <si>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t>
    </r>
    <r>
      <rPr>
        <sz val="11"/>
        <color rgb="FF000000"/>
        <rFont val="Calibri"/>
      </rPr>
      <t xml:space="preserve"> or </t>
    </r>
    <r>
      <rPr>
        <b/>
        <sz val="11"/>
        <color rgb="FF000000"/>
        <rFont val="Calibri"/>
      </rPr>
      <t>XTS-AES 256-bit</t>
    </r>
  </si>
  <si>
    <r>
      <rPr>
        <sz val="11"/>
        <color rgb="FF000000"/>
        <rFont val="Calibri"/>
      </rPr>
      <t>The default value of AES-CBC 128-bit is used for backwards compatibility with other operating systems. Using the other available ciphers will increase the level of security for sensitive data, but it may impact compatibility with other operating systems.</t>
    </r>
    <r>
      <rPr>
        <sz val="11"/>
        <color rgb="FF000000"/>
        <rFont val="Calibri"/>
      </rPr>
      <t xml:space="preserve">
</t>
    </r>
    <r>
      <rPr>
        <sz val="11"/>
        <color rgb="FF000000"/>
        <rFont val="Calibri"/>
      </rPr>
      <t>This setting is included in the benchmark because it is automatically added when 'Choose drive encryption method and cipher strength' is enabled. System administrators should use the most secure cipher available to them whenever possible.</t>
    </r>
  </si>
  <si>
    <r>
      <rPr>
        <sz val="11"/>
        <color rgb="FF000000"/>
        <rFont val="Calibri"/>
      </rPr>
      <t>Using settings beyond the default value of AES-CBC 128-bit may decrease the backwards compatibility of encrypted removable drives when used in other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</si>
  <si>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HKLM\SOFTWARE\Policies\Microsoft\FVE:EncryptionMethodWithXtsRdv</t>
    </r>
    <r>
      <rPr>
        <sz val="11"/>
        <color rgb="FF006096"/>
        <rFont val="Roboto Condensed"/>
      </rPr>
      <t xml:space="preserve">
</t>
    </r>
  </si>
  <si>
    <r>
      <rPr>
        <sz val="11"/>
        <color rgb="FF000000"/>
        <rFont val="Calibri"/>
      </rPr>
      <t>XTS-AES 128-bit (default)</t>
    </r>
  </si>
  <si>
    <t>Medium-14.02</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</si>
  <si>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</si>
  <si>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r>
      <rPr>
        <sz val="11"/>
        <color rgb="FF006096"/>
        <rFont val="Roboto Condensed"/>
      </rPr>
      <t xml:space="preserve">
</t>
    </r>
  </si>
  <si>
    <t>Medium-14.03</t>
  </si>
  <si>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</si>
  <si>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Encryption\Prevent memory overwrite on restart</t>
    </r>
    <r>
      <rPr>
        <sz val="11"/>
        <color rgb="FF006096"/>
        <rFont val="Roboto Condensed"/>
      </rPr>
      <t xml:space="preserve">
</t>
    </r>
  </si>
  <si>
    <t>Medium-14.04</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</si>
  <si>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backup recovery passwords and key packages to AD DS; do not enable BitLocker until recovery information is stored</t>
    </r>
    <r>
      <rPr>
        <sz val="11"/>
        <color rgb="FF000000"/>
        <rFont val="Calibri"/>
      </rPr>
      <t>'</t>
    </r>
  </si>
  <si>
    <r>
      <rPr>
        <sz val="11"/>
        <color rgb="FF000000"/>
        <rFont val="Calibri"/>
      </rPr>
      <t xml:space="preserve">Set the following UI path to </t>
    </r>
    <r>
      <rPr>
        <b/>
        <sz val="11"/>
        <color rgb="FF000000"/>
        <rFont val="Calibri"/>
      </rPr>
      <t>Enabled: Allow data recovery agent; backup recovery passwords and key packages to AD DS; do not enable BitLocker until recovery information is stored</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Do not enable BitLocker until recovery information is stored to AD 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</si>
  <si>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</si>
  <si>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Administrators should always have a safe, secure way to access encrypted data in the event users cannot access their data.</t>
    </r>
    <r>
      <rPr>
        <sz val="11"/>
        <color rgb="FF000000"/>
        <rFont val="Calibri"/>
      </rPr>
      <t xml:space="preserve">
</t>
    </r>
    <r>
      <rPr>
        <sz val="11"/>
        <color rgb="FF000000"/>
        <rFont val="Calibri"/>
      </rPr>
      <t>Additionally, as with any authentication method, a drive can be compromised by guessing or finding the authentication information used to access the drive.</t>
    </r>
    <r>
      <rPr>
        <sz val="11"/>
        <color rgb="FF000000"/>
        <rFont val="Calibri"/>
      </rPr>
      <t xml:space="preserve">
</t>
    </r>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</si>
  <si>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HKLM\SOFTWARE\Policies\Microsoft\FVE:FDVRequireActiveDirectoryBackup</t>
    </r>
    <r>
      <rPr>
        <sz val="11"/>
        <color rgb="FF006096"/>
        <rFont val="Roboto Condensed"/>
      </rPr>
      <t xml:space="preserve">
</t>
    </r>
  </si>
  <si>
    <r>
      <rPr>
        <sz val="11"/>
        <color rgb="FF000000"/>
        <rFont val="Calibri"/>
      </rPr>
      <t>BitLocker can be enabled on fixed drives without the requirement of storing recovery information to Active Directory first.</t>
    </r>
  </si>
  <si>
    <t>Medium-14.05</t>
  </si>
  <si>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password complexity, minimum length 15</t>
    </r>
    <r>
      <rPr>
        <sz val="11"/>
        <color rgb="FF000000"/>
        <rFont val="Calibri"/>
      </rPr>
      <t>'</t>
    </r>
  </si>
  <si>
    <r>
      <rPr>
        <sz val="11"/>
        <color rgb="FF000000"/>
        <rFont val="Calibri"/>
      </rPr>
      <t xml:space="preserve">Set the following UI path to </t>
    </r>
    <r>
      <rPr>
        <b/>
        <sz val="11"/>
        <color rgb="FF000000"/>
        <rFont val="Calibri"/>
      </rPr>
      <t>Enabled: Require password complexity, minimum length 15</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passwords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</si>
  <si>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a password is required to unlock BitLocker-protected fixed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</si>
  <si>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Using a dictionary-style attack, passwords can be guessed or discovered by repeatedly attempting to unlock a drive. Since this type of BitLocker password does include anti-dictionary attack protections provided by a TPM, for example, there is no mechanism to slow down rapid brute-force attacks against them.</t>
    </r>
  </si>
  <si>
    <r>
      <rPr>
        <sz val="11"/>
        <color rgb="FF000000"/>
        <rFont val="Calibri"/>
      </rPr>
      <t>The password option will not be available when configuring BitLocker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</si>
  <si>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HKLM\SOFTWARE\Policies\Microsoft\FVE:FDVPassphrase</t>
    </r>
    <r>
      <rPr>
        <sz val="11"/>
        <color rgb="FF006096"/>
        <rFont val="Roboto Condensed"/>
      </rPr>
      <t xml:space="preserve">
</t>
    </r>
  </si>
  <si>
    <r>
      <rPr>
        <sz val="11"/>
        <color rgb="FF000000"/>
        <rFont val="Calibri"/>
      </rPr>
      <t>Passwords are supported, without complexity requirements and with an 8 character minimum.</t>
    </r>
  </si>
  <si>
    <t>Medium-14.06</t>
  </si>
  <si>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</si>
  <si>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Drives\Deny write access to fixed drives not protected by BitLocker</t>
    </r>
    <r>
      <rPr>
        <sz val="11"/>
        <color rgb="FF006096"/>
        <rFont val="Roboto Condensed"/>
      </rPr>
      <t xml:space="preserve">
</t>
    </r>
  </si>
  <si>
    <t>Medium-14.07</t>
  </si>
  <si>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</si>
  <si>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UI path to </t>
    </r>
    <r>
      <rPr>
        <b/>
        <sz val="11"/>
        <color rgb="FF000000"/>
        <rFont val="Calibri"/>
      </rPr>
      <t>Enabled: Full encryption</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Drives\Enforce drive encryption type on fixed data drives</t>
    </r>
    <r>
      <rPr>
        <sz val="11"/>
        <color rgb="FF006096"/>
        <rFont val="Roboto Condensed"/>
      </rPr>
      <t xml:space="preserve">
</t>
    </r>
  </si>
  <si>
    <t>Medium-14.08</t>
  </si>
  <si>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</si>
  <si>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devices compliant with InstantGo or HSTI to opt out of pre-boot PIN</t>
    </r>
    <r>
      <rPr>
        <sz val="11"/>
        <color rgb="FF006096"/>
        <rFont val="Roboto Condensed"/>
      </rPr>
      <t xml:space="preserve">
</t>
    </r>
  </si>
  <si>
    <t>Medium-14.09</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</si>
  <si>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</si>
  <si>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</si>
  <si>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</si>
  <si>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numeric-only PIN provides less entropy than a PIN that is alpha-numeric. When not using enhanced PIN for startup, BitLocker requires the use of the function keys [F1-F10] for PIN entry since the PIN is entered in the pre-OS environment before localization support is available. This limits each PIN digit to one of ten possibilities. The TPM has an anti-hammering feature that includes a mechanism to exponentially increase the delay for PIN retry attempts; however, a threat actor is able to more effectively mount a brute force attack using a domain of 10 digits of the function keys.</t>
    </r>
  </si>
  <si>
    <r>
      <rPr>
        <sz val="11"/>
        <color rgb="FF000000"/>
        <rFont val="Calibri"/>
      </rPr>
      <t>All new BitLocker startup PINs set will be enhanced PINs.</t>
    </r>
    <r>
      <rPr>
        <sz val="11"/>
        <color rgb="FF000000"/>
        <rFont val="Calibri"/>
      </rPr>
      <t xml:space="preserve">
</t>
    </r>
    <r>
      <rPr>
        <b/>
        <sz val="11"/>
        <color rgb="FF000000"/>
        <rFont val="Calibri"/>
      </rPr>
      <t>Note:</t>
    </r>
    <r>
      <rPr>
        <sz val="11"/>
        <color rgb="FF000000"/>
        <rFont val="Calibri"/>
      </rPr>
      <t xml:space="preserve"> Not all computers enable full keyboard support in the Pre-OS environment. Some keys may not be available. It is recommended this functionality be tested using the computers in your environment prior to it being deployed.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</si>
  <si>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HKLM\SOFTWARE\Policies\Microsoft\FVE:UseEnhancedPin</t>
    </r>
    <r>
      <rPr>
        <sz val="11"/>
        <color rgb="FF006096"/>
        <rFont val="Roboto Condensed"/>
      </rPr>
      <t xml:space="preserve">
</t>
    </r>
  </si>
  <si>
    <r>
      <rPr>
        <sz val="11"/>
        <color rgb="FF000000"/>
        <rFont val="Calibri"/>
      </rPr>
      <t>Disabled. (Enhanced PINs will not be used.)</t>
    </r>
  </si>
  <si>
    <t>Medium-14.10</t>
  </si>
  <si>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</si>
  <si>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network unlocked at startup</t>
    </r>
    <r>
      <rPr>
        <sz val="11"/>
        <color rgb="FF006096"/>
        <rFont val="Roboto Condensed"/>
      </rPr>
      <t xml:space="preserve">
</t>
    </r>
  </si>
  <si>
    <t>Medium-14.11</t>
  </si>
  <si>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</si>
  <si>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Secure Boot for integrity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</si>
  <si>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whether Secure Boot will be allowed as the platform integrity provider for BitLocker operating system drives.</t>
    </r>
    <r>
      <rPr>
        <sz val="11"/>
        <color rgb="FF000000"/>
        <rFont val="Calibri"/>
      </rPr>
      <t xml:space="preserve">
</t>
    </r>
    <r>
      <rPr>
        <sz val="11"/>
        <color rgb="FF000000"/>
        <rFont val="Calibri"/>
      </rPr>
      <t>Secure Boot ensures that the PC's pre-boot environment only loads firmware that is digitally signed by authorized software publishers. Secure Boot also provides more flexibility for managing pre-boot configuration than legacy BitLocker integrity checks.</t>
    </r>
    <r>
      <rPr>
        <sz val="11"/>
        <color rgb="FF000000"/>
        <rFont val="Calibri"/>
      </rPr>
      <t xml:space="preserve">
</t>
    </r>
    <r>
      <rPr>
        <sz val="11"/>
        <color rgb="FF000000"/>
        <rFont val="Calibri"/>
      </rPr>
      <t>Secure Boot requires a system that meets the UEFI 2.3.1 Specifications for Class 2 and Class 3 computers.</t>
    </r>
    <r>
      <rPr>
        <sz val="11"/>
        <color rgb="FF000000"/>
        <rFont val="Calibri"/>
      </rPr>
      <t xml:space="preserve">
</t>
    </r>
    <r>
      <rPr>
        <sz val="11"/>
        <color rgb="FF000000"/>
        <rFont val="Calibri"/>
      </rPr>
      <t>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t>
    </r>
    <r>
      <rPr>
        <sz val="11"/>
        <color rgb="FF000000"/>
        <rFont val="Calibri"/>
      </rPr>
      <t xml:space="preserve">
</t>
    </r>
    <r>
      <rPr>
        <b/>
        <sz val="11"/>
        <color rgb="FF000000"/>
        <rFont val="Calibri"/>
      </rPr>
      <t>Note:</t>
    </r>
    <r>
      <rPr>
        <sz val="11"/>
        <color rgb="FF000000"/>
        <rFont val="Calibri"/>
      </rPr>
      <t xml:space="preserve"> If the group policy setting "Configure TPM platform validation profile for native UEFI firmware configurations" is enabled and has PCR 7 omitted, BitLocker will be prevented from using Secure Boot for platform or Boot Configuration Data (BCD) integrity validation.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</si>
  <si>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Secure Boot ensures that only firmware digitally signed by authorized software publishers is loaded during computer startup, which reduces the risk of rootkits and other types of malware from gaining control of the system. It also helps provide protection against malicious users booting from an alternate operating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</si>
  <si>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HKLM\SOFTWARE\Policies\Microsoft\FVE:OSAllowSecureBootForIntegrity</t>
    </r>
    <r>
      <rPr>
        <sz val="11"/>
        <color rgb="FF006096"/>
        <rFont val="Roboto Condensed"/>
      </rPr>
      <t xml:space="preserve">
</t>
    </r>
  </si>
  <si>
    <r>
      <rPr>
        <sz val="11"/>
        <color rgb="FF000000"/>
        <rFont val="Calibri"/>
      </rPr>
      <t>Enabled. (BitLocker will use Secure Boot for platform integrity if the platform is capable of Secure Boot-based integrity validation.)</t>
    </r>
  </si>
  <si>
    <t>Medium-14.12</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</si>
  <si>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data recovery agent; store recovery passwords and key packages to AD DS; do not enable BitLocker until recovery information is stored</t>
    </r>
    <r>
      <rPr>
        <sz val="11"/>
        <color rgb="FF000000"/>
        <rFont val="Calibri"/>
      </rPr>
      <t>'</t>
    </r>
  </si>
  <si>
    <r>
      <rPr>
        <sz val="11"/>
        <color rgb="FF000000"/>
        <rFont val="Calibri"/>
      </rPr>
      <t xml:space="preserve">Set the following UI path to </t>
    </r>
    <r>
      <rPr>
        <b/>
        <sz val="11"/>
        <color rgb="FF000000"/>
        <rFont val="Calibri"/>
      </rPr>
      <t>Enabled: Allow data recovery agent; store recovery passwords and key packages to AD DS; do not enable BitLocker until recovery information is stored</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Do not enable BitLocker until recovery information is stored to AD 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</si>
  <si>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</si>
  <si>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Should a user lose their primary means for accessing an encrypted OS volume, or should the system not pass its boot time integrity checks, the system will go into recovery mode. If the recovery key has not been backed up to Active Directory, the user would need to have saved the recovery key to another location such as a USB flash drive, or have printed the recovery password, and now have access to one of those in order to recovery the system. If the user is unable to produce the recovery key, then the user will be denied access to the encrypted volume and subsequently any data that is stored there.</t>
    </r>
  </si>
  <si>
    <r>
      <rPr>
        <sz val="11"/>
        <color rgb="FF000000"/>
        <rFont val="Calibri"/>
      </rPr>
      <t>Users will need to be domain connected and the back up of BitLocker recovery information for the operating system drive must succeed in order to turn on BitLocker. This policy is not FIPS compliant.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</si>
  <si>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HKLM\SOFTWARE\Policies\Microsoft\FVE:OSRequireActiveDirectoryBackup</t>
    </r>
    <r>
      <rPr>
        <sz val="11"/>
        <color rgb="FF006096"/>
        <rFont val="Roboto Condensed"/>
      </rPr>
      <t xml:space="preserve">
</t>
    </r>
  </si>
  <si>
    <r>
      <rPr>
        <sz val="11"/>
        <color rgb="FF000000"/>
        <rFont val="Calibri"/>
      </rPr>
      <t>BitLocker can be enabled on the operating system drive without the requirement of storing recovery information to Active Directory first.</t>
    </r>
  </si>
  <si>
    <t>Medium-14.13</t>
  </si>
  <si>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Minimum characters: 15</t>
    </r>
    <r>
      <rPr>
        <sz val="11"/>
        <color rgb="FF000000"/>
        <rFont val="Calibri"/>
      </rPr>
      <t>'</t>
    </r>
  </si>
  <si>
    <r>
      <rPr>
        <sz val="11"/>
        <color rgb="FF000000"/>
        <rFont val="Calibri"/>
      </rPr>
      <t xml:space="preserve">Set the following UI path to </t>
    </r>
    <r>
      <rPr>
        <b/>
        <sz val="11"/>
        <color rgb="FF000000"/>
        <rFont val="Calibri"/>
      </rPr>
      <t>Enabled: Minimum characters: 15</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minimum PIN length for startup</t>
    </r>
    <r>
      <rPr>
        <sz val="11"/>
        <color rgb="FF006096"/>
        <rFont val="Roboto Condensed"/>
      </rPr>
      <t xml:space="preserve">
</t>
    </r>
  </si>
  <si>
    <t>Medium-14.14</t>
  </si>
  <si>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</si>
  <si>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Full encryption</t>
    </r>
    <r>
      <rPr>
        <sz val="11"/>
        <color rgb="FF000000"/>
        <rFont val="Calibri"/>
      </rPr>
      <t xml:space="preserve"> or </t>
    </r>
    <r>
      <rPr>
        <b/>
        <sz val="11"/>
        <color rgb="FF000000"/>
        <rFont val="Calibri"/>
      </rPr>
      <t>Full encryption</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Drives\Enforce drive encryption type on operating system drives: Select the encryption type: (Device)</t>
    </r>
    <r>
      <rPr>
        <sz val="11"/>
        <color rgb="FF006096"/>
        <rFont val="Roboto Condensed"/>
      </rPr>
      <t xml:space="preserve">
</t>
    </r>
  </si>
  <si>
    <r>
      <rPr>
        <sz val="11"/>
        <color rgb="FF000000"/>
        <rFont val="Calibri"/>
      </rPr>
      <t>This policy setting configures the encryption type (space only and whole) used by BitLocker Drive Encryption.</t>
    </r>
    <r>
      <rPr>
        <sz val="11"/>
        <color rgb="FF000000"/>
        <rFont val="Calibri"/>
      </rPr>
      <t xml:space="preserve">
</t>
    </r>
    <r>
      <rPr>
        <sz val="11"/>
        <color rgb="FF000000"/>
        <rFont val="Calibri"/>
      </rPr>
      <t xml:space="preserve">The recommended state for this setting is: </t>
    </r>
    <r>
      <rPr>
        <b/>
        <sz val="11"/>
        <color rgb="FF000000"/>
        <rFont val="Calibri"/>
      </rPr>
      <t>Enabled: Used Space Only encryption</t>
    </r>
    <r>
      <rPr>
        <sz val="11"/>
        <color rgb="FF000000"/>
        <rFont val="Calibri"/>
      </rPr>
      <t xml:space="preserve"> or </t>
    </r>
    <r>
      <rPr>
        <b/>
        <sz val="11"/>
        <color rgb="FF000000"/>
        <rFont val="Calibri"/>
      </rPr>
      <t>Enabled: Full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Changing the encryption type does not affect drives that are already encrypted or if encryption is in progress.</t>
    </r>
    <r>
      <rPr>
        <sz val="11"/>
        <color rgb="FF000000"/>
        <rFont val="Calibri"/>
      </rPr>
      <t xml:space="preserve">
</t>
    </r>
    <r>
      <rPr>
        <b/>
        <sz val="11"/>
        <color rgb="FF000000"/>
        <rFont val="Calibri"/>
      </rPr>
      <t>Note #2:</t>
    </r>
    <r>
      <rPr>
        <sz val="11"/>
        <color rgb="FF000000"/>
        <rFont val="Calibri"/>
      </rPr>
      <t xml:space="preserve"> If the option </t>
    </r>
    <r>
      <rPr>
        <i/>
        <sz val="11"/>
        <color rgb="FF000000"/>
        <rFont val="Calibri"/>
      </rPr>
      <t>full encryption</t>
    </r>
    <r>
      <rPr>
        <sz val="11"/>
        <color rgb="FF000000"/>
        <rFont val="Calibri"/>
      </rPr>
      <t xml:space="preserve"> is selected, the entire drive be encrypted. If the option </t>
    </r>
    <r>
      <rPr>
        <i/>
        <sz val="11"/>
        <color rgb="FF000000"/>
        <rFont val="Calibri"/>
      </rPr>
      <t>used space only encryption</t>
    </r>
    <r>
      <rPr>
        <sz val="11"/>
        <color rgb="FF000000"/>
        <rFont val="Calibri"/>
      </rPr>
      <t xml:space="preserve"> is selected, only the portion of the drive used to store data will be encrypted.</t>
    </r>
  </si>
  <si>
    <r>
      <rPr>
        <sz val="11"/>
        <color rgb="FF000000"/>
        <rFont val="Calibri"/>
      </rPr>
      <t>The type of encryption (used space only or full) used by BitLocker should be an organizational decision and not an end user decision.</t>
    </r>
  </si>
  <si>
    <r>
      <rPr>
        <sz val="11"/>
        <color rgb="FF000000"/>
        <rFont val="Calibri"/>
      </rPr>
      <t>An organization will have to choose which method is used when BitLocker is enabled. The end user will not be able to choose the encryption type.</t>
    </r>
    <r>
      <rPr>
        <sz val="11"/>
        <color rgb="FF000000"/>
        <rFont val="Calibri"/>
      </rPr>
      <t xml:space="preserve">
</t>
    </r>
    <r>
      <rPr>
        <b/>
        <sz val="11"/>
        <color rgb="FF000000"/>
        <rFont val="Calibri"/>
      </rPr>
      <t>Note:</t>
    </r>
    <r>
      <rPr>
        <sz val="11"/>
        <color rgb="FF000000"/>
        <rFont val="Calibri"/>
      </rPr>
      <t xml:space="preserve"> This policy is ignored when shrinking or expanding a volume, and BitLocker uses the current encryption method. Example: When a drive uses </t>
    </r>
    <r>
      <rPr>
        <i/>
        <sz val="11"/>
        <color rgb="FF000000"/>
        <rFont val="Calibri"/>
      </rPr>
      <t>Space Only encryption</t>
    </r>
    <r>
      <rPr>
        <sz val="11"/>
        <color rgb="FF000000"/>
        <rFont val="Calibri"/>
      </rPr>
      <t xml:space="preserve"> and is expanded, the new free space isn't wiped as it is for a drive that uses </t>
    </r>
    <r>
      <rPr>
        <i/>
        <sz val="11"/>
        <color rgb="FF000000"/>
        <rFont val="Calibri"/>
      </rPr>
      <t>Full encryption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</si>
  <si>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HKLM\SOFTWARE\Policies\Microsoft\FVE:OSEncryptionType</t>
    </r>
    <r>
      <rPr>
        <sz val="11"/>
        <color rgb="FF006096"/>
        <rFont val="Roboto Condensed"/>
      </rPr>
      <t xml:space="preserve">
</t>
    </r>
  </si>
  <si>
    <r>
      <rPr>
        <sz val="11"/>
        <color rgb="FF000000"/>
        <rFont val="Calibri"/>
      </rPr>
      <t>Disabled. (The BitLocker setup wizard will ask the user to select the encryption type before turning on BitLocker.)</t>
    </r>
  </si>
  <si>
    <t>Medium-14.15</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</si>
  <si>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</si>
  <si>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Configure TPM startup PIN: Allow startup PIN with TPM; Configure TPM startup key: Allow startup key with TPM; Configure TPM startup key and PIN: Allow startup key and PIN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PIN:</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</si>
  <si>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 xml:space="preserve">The recommended state for this setting is: </t>
    </r>
    <r>
      <rPr>
        <b/>
        <sz val="11"/>
        <color rgb="FF000000"/>
        <rFont val="Calibri"/>
      </rPr>
      <t>Enabled: Require startup PIN with TPM</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
    </r>
    <r>
      <rPr>
        <b/>
        <sz val="11"/>
        <color rgb="FF000000"/>
        <rFont val="Calibri"/>
      </rPr>
      <t>silent encryption</t>
    </r>
    <r>
      <rPr>
        <sz val="11"/>
        <color rgb="FF000000"/>
        <rFont val="Calibri"/>
      </rPr>
      <t xml:space="preserve"> is desired, this setting must be configured to </t>
    </r>
    <r>
      <rPr>
        <b/>
        <sz val="11"/>
        <color rgb="FF000000"/>
        <rFont val="Calibri"/>
      </rPr>
      <t>Do not allow startup PIN with TPM</t>
    </r>
    <r>
      <rPr>
        <sz val="11"/>
        <color rgb="FF000000"/>
        <rFont val="Calibri"/>
      </rPr>
      <t xml:space="preserve"> and an exception to this recommendation will be needed. Please also see recommendation </t>
    </r>
    <r>
      <rPr>
        <i/>
        <sz val="11"/>
        <color rgb="FF000000"/>
        <rFont val="Calibri"/>
      </rPr>
      <t>Require additional authentication at startup: Configure TPM startup:' is set to 'Enabled: Do not allow TPM'</t>
    </r>
    <r>
      <rPr>
        <sz val="11"/>
        <color rgb="FF000000"/>
        <rFont val="Calibri"/>
      </rPr>
      <t xml:space="preserve"> for needed configuration change for silent encryption.</t>
    </r>
  </si>
  <si>
    <r>
      <rPr>
        <sz val="11"/>
        <color rgb="FF000000"/>
        <rFont val="Calibri"/>
      </rPr>
      <t>TPM without use of a PIN will only validate early boot components and does not require a user to enter any additional authentication information. If a computer is lost or stolen in this configuration, BitLocker will not provide any additional measure of protection beyond what is provided by native Windows authentication unless the early boot components are tampered with or the encrypted drive is removed from the machine.</t>
    </r>
  </si>
  <si>
    <r>
      <rPr>
        <sz val="11"/>
        <color rgb="FF000000"/>
        <rFont val="Calibri"/>
      </rPr>
      <t>A startup PIN will be required in addition to a TPM for BitLocker authentication. 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</si>
  <si>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HKLM\SOFTWARE\Policies\Microsoft\FVE:UseTPMPIN</t>
    </r>
    <r>
      <rPr>
        <sz val="11"/>
        <color rgb="FF006096"/>
        <rFont val="Roboto Condensed"/>
      </rPr>
      <t xml:space="preserve">
</t>
    </r>
  </si>
  <si>
    <r>
      <rPr>
        <sz val="11"/>
        <color rgb="FF000000"/>
        <rFont val="Calibri"/>
      </rPr>
      <t>Allow (but not require) a startup PIN with TPM.</t>
    </r>
  </si>
  <si>
    <t>Medium-14.16</t>
  </si>
  <si>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</si>
  <si>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Drives\Reset platform validation data after BitLocker recovery</t>
    </r>
    <r>
      <rPr>
        <sz val="11"/>
        <color rgb="FF006096"/>
        <rFont val="Roboto Condensed"/>
      </rPr>
      <t xml:space="preserve">
</t>
    </r>
  </si>
  <si>
    <t>Medium-14.17</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</si>
  <si>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</si>
  <si>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</si>
  <si>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</si>
  <si>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may not voluntarily encrypt removable drives prior to saving important data to the drive.</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</si>
  <si>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</si>
  <si>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</si>
  <si>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</si>
  <si>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Medium-14.18</t>
  </si>
  <si>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</si>
  <si>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account lockout threshold</t>
    </r>
    <r>
      <rPr>
        <sz val="11"/>
        <color rgb="FF006096"/>
        <rFont val="Roboto Condensed"/>
      </rPr>
      <t xml:space="preserve">
</t>
    </r>
  </si>
  <si>
    <t>Endpoint device control</t>
  </si>
  <si>
    <t>Medium-15.00</t>
  </si>
  <si>
    <r>
      <rPr>
        <b/>
        <sz val="11"/>
        <color rgb="FF003B5C"/>
        <rFont val="Calibri"/>
      </rPr>
      <t>Section overview: 'Endpoint device control'</t>
    </r>
  </si>
  <si>
    <r>
      <rPr>
        <sz val="11"/>
        <color rgb="FF000000"/>
        <rFont val="Calibri"/>
      </rPr>
      <t xml:space="preserve">Configure the settings listed in recommendations </t>
    </r>
    <r>
      <rPr>
        <b/>
        <sz val="11"/>
        <color rgb="FF000000"/>
        <rFont val="Calibri"/>
      </rPr>
      <t>Medium-15.01</t>
    </r>
    <r>
      <rPr>
        <sz val="11"/>
        <color rgb="FF000000"/>
        <rFont val="Calibri"/>
      </rPr>
      <t xml:space="preserve"> through </t>
    </r>
    <r>
      <rPr>
        <b/>
        <sz val="11"/>
        <color rgb="FF000000"/>
        <rFont val="Calibri"/>
      </rPr>
      <t>Medium-15.12</t>
    </r>
    <r>
      <rPr>
        <sz val="11"/>
        <color rgb="FF000000"/>
        <rFont val="Calibri"/>
      </rPr>
      <t xml:space="preserve"> to control removable storage device access.</t>
    </r>
  </si>
  <si>
    <r>
      <rPr>
        <sz val="11"/>
        <color rgb="FF000000"/>
        <rFont val="Calibri"/>
      </rPr>
      <t>Malicious actors with physical access to a workstation may attempt to connect unauthorised USB media or other devices with mass storage functionality to facilitate malicious code infections or the unauthorised copying of sensitive information. To reduce this risk, endpoint device control functionality should be appropriately implemented to control the use of all removable storage devices.</t>
    </r>
  </si>
  <si>
    <t>Medium-15.01</t>
  </si>
  <si>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</si>
  <si>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Access\All Removable Storage classes: Deny all access</t>
    </r>
    <r>
      <rPr>
        <sz val="11"/>
        <color rgb="FF006096"/>
        <rFont val="Roboto Condensed"/>
      </rPr>
      <t xml:space="preserve">
</t>
    </r>
  </si>
  <si>
    <t>Medium-15.02</t>
  </si>
  <si>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</si>
  <si>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execute access</t>
    </r>
    <r>
      <rPr>
        <sz val="11"/>
        <color rgb="FF006096"/>
        <rFont val="Roboto Condensed"/>
      </rPr>
      <t xml:space="preserve">
</t>
    </r>
  </si>
  <si>
    <t>Medium-15.03</t>
  </si>
  <si>
    <r>
      <rPr>
        <sz val="11"/>
        <rFont val="Calibri"/>
      </rPr>
      <t xml:space="preserve">Ensure </t>
    </r>
    <r>
      <rPr>
        <sz val="11"/>
        <color rgb="FF000000"/>
        <rFont val="Calibri"/>
      </rPr>
      <t>'</t>
    </r>
    <r>
      <rPr>
        <b/>
        <sz val="11"/>
        <color rgb="FF000000"/>
        <rFont val="Calibri"/>
      </rPr>
      <t>CD and DVD: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</si>
  <si>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read access</t>
    </r>
    <r>
      <rPr>
        <sz val="11"/>
        <color rgb="FF006096"/>
        <rFont val="Roboto Condensed"/>
      </rPr>
      <t xml:space="preserve">
</t>
    </r>
  </si>
  <si>
    <t>Medium-15.04</t>
  </si>
  <si>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</si>
  <si>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write access</t>
    </r>
    <r>
      <rPr>
        <sz val="11"/>
        <color rgb="FF006096"/>
        <rFont val="Roboto Condensed"/>
      </rPr>
      <t xml:space="preserve">
</t>
    </r>
  </si>
  <si>
    <t>Medium-15.05</t>
  </si>
  <si>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</si>
  <si>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execute access</t>
    </r>
    <r>
      <rPr>
        <sz val="11"/>
        <color rgb="FF006096"/>
        <rFont val="Roboto Condensed"/>
      </rPr>
      <t xml:space="preserve">
</t>
    </r>
  </si>
  <si>
    <t>Medium-15.06</t>
  </si>
  <si>
    <r>
      <rPr>
        <sz val="11"/>
        <rFont val="Calibri"/>
      </rPr>
      <t xml:space="preserve">Ensure </t>
    </r>
    <r>
      <rPr>
        <sz val="11"/>
        <color rgb="FF000000"/>
        <rFont val="Calibri"/>
      </rPr>
      <t>'</t>
    </r>
    <r>
      <rPr>
        <b/>
        <sz val="11"/>
        <color rgb="FF000000"/>
        <rFont val="Calibri"/>
      </rPr>
      <t>Removable Disks: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</si>
  <si>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read access</t>
    </r>
    <r>
      <rPr>
        <sz val="11"/>
        <color rgb="FF006096"/>
        <rFont val="Roboto Condensed"/>
      </rPr>
      <t xml:space="preserve">
</t>
    </r>
  </si>
  <si>
    <t>Medium-15.07</t>
  </si>
  <si>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</si>
  <si>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write access</t>
    </r>
    <r>
      <rPr>
        <sz val="11"/>
        <color rgb="FF006096"/>
        <rFont val="Roboto Condensed"/>
      </rPr>
      <t xml:space="preserve">
</t>
    </r>
  </si>
  <si>
    <t>Medium-15.08</t>
  </si>
  <si>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</si>
  <si>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execute access</t>
    </r>
    <r>
      <rPr>
        <sz val="11"/>
        <color rgb="FF006096"/>
        <rFont val="Roboto Condensed"/>
      </rPr>
      <t xml:space="preserve">
</t>
    </r>
  </si>
  <si>
    <t>Medium-15.09</t>
  </si>
  <si>
    <r>
      <rPr>
        <sz val="11"/>
        <rFont val="Calibri"/>
      </rPr>
      <t xml:space="preserve">Ensure </t>
    </r>
    <r>
      <rPr>
        <sz val="11"/>
        <color rgb="FF000000"/>
        <rFont val="Calibri"/>
      </rPr>
      <t>'</t>
    </r>
    <r>
      <rPr>
        <b/>
        <sz val="11"/>
        <color rgb="FF000000"/>
        <rFont val="Calibri"/>
      </rPr>
      <t>Tape Drives: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</si>
  <si>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read access</t>
    </r>
    <r>
      <rPr>
        <sz val="11"/>
        <color rgb="FF006096"/>
        <rFont val="Roboto Condensed"/>
      </rPr>
      <t xml:space="preserve">
</t>
    </r>
  </si>
  <si>
    <t>Medium-15.10</t>
  </si>
  <si>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</si>
  <si>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write access</t>
    </r>
    <r>
      <rPr>
        <sz val="11"/>
        <color rgb="FF006096"/>
        <rFont val="Roboto Condensed"/>
      </rPr>
      <t xml:space="preserve">
</t>
    </r>
  </si>
  <si>
    <t>Medium-15.11</t>
  </si>
  <si>
    <r>
      <rPr>
        <sz val="11"/>
        <rFont val="Calibri"/>
      </rPr>
      <t xml:space="preserve">Ensure </t>
    </r>
    <r>
      <rPr>
        <sz val="11"/>
        <color rgb="FF000000"/>
        <rFont val="Calibri"/>
      </rPr>
      <t>'</t>
    </r>
    <r>
      <rPr>
        <b/>
        <sz val="11"/>
        <color rgb="FF000000"/>
        <rFont val="Calibri"/>
      </rPr>
      <t>WPD Devices: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</si>
  <si>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Access\WPD Devices: Deny read access</t>
    </r>
    <r>
      <rPr>
        <sz val="11"/>
        <color rgb="FF006096"/>
        <rFont val="Roboto Condensed"/>
      </rPr>
      <t xml:space="preserve">
</t>
    </r>
  </si>
  <si>
    <t>Medium-15.12</t>
  </si>
  <si>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</si>
  <si>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Access\WPD Devices: Deny write access</t>
    </r>
    <r>
      <rPr>
        <sz val="11"/>
        <color rgb="FF006096"/>
        <rFont val="Roboto Condensed"/>
      </rPr>
      <t xml:space="preserve">
</t>
    </r>
  </si>
  <si>
    <t>File and print sharing</t>
  </si>
  <si>
    <t>Medium-16.00</t>
  </si>
  <si>
    <r>
      <rPr>
        <b/>
        <sz val="11"/>
        <color rgb="FF003B5C"/>
        <rFont val="Calibri"/>
      </rPr>
      <t>Section overview: 'File and print sharing'</t>
    </r>
  </si>
  <si>
    <r>
      <rPr>
        <sz val="11"/>
        <color rgb="FF000000"/>
        <rFont val="Calibri"/>
      </rPr>
      <t xml:space="preserve">Configure the setting listed in recommendation </t>
    </r>
    <r>
      <rPr>
        <b/>
        <sz val="11"/>
        <color rgb="FF000000"/>
        <rFont val="Calibri"/>
      </rPr>
      <t>Medium-16.01</t>
    </r>
    <r>
      <rPr>
        <sz val="11"/>
        <color rgb="FF000000"/>
        <rFont val="Calibri"/>
      </rPr>
      <t>.</t>
    </r>
  </si>
  <si>
    <r>
      <rPr>
        <sz val="11"/>
        <color rgb="FF000000"/>
        <rFont val="Calibri"/>
      </rPr>
      <t>Users sharing files from their workstations can result in a lack of appropriate access controls being applied to sensitive information and the potential for the propagation of malicious code should file shares have read/write access. To reduce this risk, local file and print sharing should be disabled.</t>
    </r>
  </si>
  <si>
    <t>Medium-16.01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</si>
  <si>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</si>
  <si>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</si>
  <si>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</si>
  <si>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not properly configured, a user could accidentally share sensitive data with unauthorized users. In an enterprise managed environment, the company should provide a managed location for file sharing, such as a file server or SharePoint, instead of the user sharing files directly from their own user profile.</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</si>
  <si>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</si>
  <si>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</si>
  <si>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</si>
  <si>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Group Policy processing</t>
  </si>
  <si>
    <t>Medium-17.00</t>
  </si>
  <si>
    <r>
      <rPr>
        <b/>
        <sz val="11"/>
        <color rgb="FF003B5C"/>
        <rFont val="Calibri"/>
      </rPr>
      <t>Section overview: 'Group Policy processing'</t>
    </r>
  </si>
  <si>
    <r>
      <rPr>
        <sz val="11"/>
        <color rgb="FF000000"/>
        <rFont val="Calibri"/>
      </rPr>
      <t xml:space="preserve">Configure the individual settings listed in recommendations </t>
    </r>
    <r>
      <rPr>
        <b/>
        <sz val="11"/>
        <color rgb="FF000000"/>
        <rFont val="Calibri"/>
      </rPr>
      <t>Medium-17.01</t>
    </r>
    <r>
      <rPr>
        <sz val="11"/>
        <color rgb="FF000000"/>
        <rFont val="Calibri"/>
      </rPr>
      <t xml:space="preserve"> through </t>
    </r>
    <r>
      <rPr>
        <b/>
        <sz val="11"/>
        <color rgb="FF000000"/>
        <rFont val="Calibri"/>
      </rPr>
      <t>Medium-17.03</t>
    </r>
    <r>
      <rPr>
        <sz val="11"/>
        <color rgb="FF000000"/>
        <rFont val="Calibri"/>
      </rPr>
      <t>.</t>
    </r>
  </si>
  <si>
    <r>
      <rPr>
        <sz val="11"/>
        <color rgb="FF000000"/>
        <rFont val="Calibri"/>
      </rPr>
      <t>Relying on users to set Group Policy settings for their workstations creates the potential for users to inadvertently misconfigure or disable security functionality. Alternatively, malicious actors could exploit this to disable any Local Group Policy settings that are hampering their efforts to extract sensitive information. To reduce this risk, all audit, user rights and security related Group Policy settings should be specified for workstations at an organisational unit or domain level.</t>
    </r>
  </si>
  <si>
    <t>Medium-17.01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</si>
  <si>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and \\*\NETLOGON with RequireMutualAuthentication=1, RequireIntegrity=1</t>
    </r>
    <r>
      <rPr>
        <sz val="11"/>
        <color rgb="FF000000"/>
        <rFont val="Calibri"/>
      </rPr>
      <t>'</t>
    </r>
  </si>
  <si>
    <r>
      <rPr>
        <sz val="11"/>
        <color rgb="FF000000"/>
        <rFont val="Calibri"/>
      </rPr>
      <t xml:space="preserve">Set the following UI path to </t>
    </r>
    <r>
      <rPr>
        <b/>
        <sz val="11"/>
        <color rgb="FF000000"/>
        <rFont val="Calibri"/>
      </rPr>
      <t>Enabled: \\*\SYSVOL and \\*\NETLOGON with RequireMutualAuthentication=1, RequireIntegrity=1</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 MSKB 3000483 </t>
    </r>
    <r>
      <rPr>
        <sz val="11"/>
        <color rgb="FF0000FF"/>
        <rFont val="Calibri"/>
      </rPr>
      <t>(https://technet.microsoft.com/library/security/MS15-011)</t>
    </r>
    <r>
      <rPr>
        <sz val="11"/>
        <color rgb="FF000000"/>
        <rFont val="Calibri"/>
      </rPr>
      <t xml:space="preserve">security update or with the Microsoft Windows 10 RTM (Release 1507) Administrative Templates (or newer) </t>
    </r>
    <r>
      <rPr>
        <sz val="11"/>
        <color rgb="FF0000FF"/>
        <rFont val="Calibri"/>
      </rPr>
      <t>(https://support.microsoft.com/en-us/kb/3000483)</t>
    </r>
    <r>
      <rPr>
        <sz val="11"/>
        <color rgb="FF000000"/>
        <rFont val="Calibri"/>
      </rPr>
      <t>.</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</si>
  <si>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</si>
  <si>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In February 2015, Microsoft released a new control mechanism to mitigate a remote code execution vulnerability (</t>
    </r>
    <r>
      <rPr>
        <sz val="11"/>
        <color rgb="FF000000"/>
        <rFont val="Calibri"/>
      </rPr>
      <t xml:space="preserve">
</t>
    </r>
    <r>
      <rPr>
        <sz val="11"/>
        <color rgb="FF000000"/>
        <rFont val="Calibri"/>
      </rPr>
      <t>MS15-011</t>
    </r>
    <r>
      <rPr>
        <sz val="11"/>
        <color rgb="FF000000"/>
        <rFont val="Calibri"/>
      </rPr>
      <t xml:space="preserve">
</t>
    </r>
    <r>
      <rPr>
        <sz val="11"/>
        <color rgb="FF000000"/>
        <rFont val="Calibri"/>
      </rPr>
      <t>/</t>
    </r>
    <r>
      <rPr>
        <sz val="11"/>
        <color rgb="FF000000"/>
        <rFont val="Calibri"/>
      </rPr>
      <t xml:space="preserve">
</t>
    </r>
    <r>
      <rPr>
        <sz val="11"/>
        <color rgb="FF000000"/>
        <rFont val="Calibri"/>
      </rPr>
      <t>MSKB 3000483</t>
    </r>
    <r>
      <rPr>
        <sz val="11"/>
        <color rgb="FF000000"/>
        <rFont val="Calibri"/>
      </rPr>
      <t xml:space="preserve">
</t>
    </r>
    <r>
      <rPr>
        <sz val="11"/>
        <color rgb="FF000000"/>
        <rFont val="Calibri"/>
      </rPr>
      <t>) in how Group Policy receives and applies connection data when a domain-joined system connects to a domain controller. A threat actor who successfully exploits this vulnerability could take complete control of the affected system. They could then install programs, view, change, or delete data, or create new accounts with full user rights. Users whose accounts are configured to have fewer user rights on the system could be less affected than users who operate with administrative user rights.</t>
    </r>
    <r>
      <rPr>
        <sz val="11"/>
        <color rgb="FF000000"/>
        <rFont val="Calibri"/>
      </rPr>
      <t xml:space="preserve">
</t>
    </r>
    <r>
      <rPr>
        <sz val="11"/>
        <color rgb="FF000000"/>
        <rFont val="Calibri"/>
      </rPr>
      <t>MS15-011</t>
    </r>
    <r>
      <rPr>
        <sz val="11"/>
        <color rgb="FF000000"/>
        <rFont val="Calibri"/>
      </rPr>
      <t xml:space="preserve">
</t>
    </r>
    <r>
      <rPr>
        <sz val="11"/>
        <color rgb="FF000000"/>
        <rFont val="Calibri"/>
      </rPr>
      <t>/</t>
    </r>
    <r>
      <rPr>
        <sz val="11"/>
        <color rgb="FF000000"/>
        <rFont val="Calibri"/>
      </rPr>
      <t xml:space="preserve">
</t>
    </r>
    <r>
      <rPr>
        <sz val="11"/>
        <color rgb="FF000000"/>
        <rFont val="Calibri"/>
      </rPr>
      <t>MSKB 3000483</t>
    </r>
    <r>
      <rPr>
        <sz val="11"/>
        <color rgb="FF000000"/>
        <rFont val="Calibri"/>
      </rPr>
      <t xml:space="preserve">
</t>
    </r>
    <r>
      <rPr>
        <sz val="11"/>
        <color rgb="FF000000"/>
        <rFont val="Calibri"/>
      </rPr>
      <t>requires both the installation of the new security update and also the deployment of specific group policy settings to all computers on the domain from Windows Vista / Server 2008 (non-R2) or newer (the associated security patch to enable this feature was not released for Server 2003). A new group policy template (</t>
    </r>
    <r>
      <rPr>
        <sz val="11"/>
        <color rgb="FF000000"/>
        <rFont val="Calibri"/>
      </rPr>
      <t xml:space="preserve">
</t>
    </r>
    <r>
      <rPr>
        <sz val="11"/>
        <color rgb="FF000000"/>
        <rFont val="Calibri"/>
      </rPr>
      <t>NetworkProvider.admx/adml</t>
    </r>
    <r>
      <rPr>
        <sz val="11"/>
        <color rgb="FF000000"/>
        <rFont val="Calibri"/>
      </rPr>
      <t xml:space="preserve">
</t>
    </r>
    <r>
      <rPr>
        <sz val="11"/>
        <color rgb="FF000000"/>
        <rFont val="Calibri"/>
      </rPr>
      <t>) was also provided with the security update.</t>
    </r>
    <r>
      <rPr>
        <sz val="11"/>
        <color rgb="FF000000"/>
        <rFont val="Calibri"/>
      </rPr>
      <t xml:space="preserve">
</t>
    </r>
    <r>
      <rPr>
        <sz val="11"/>
        <color rgb="FF000000"/>
        <rFont val="Calibri"/>
      </rPr>
      <t>Once the new GPO template is in place, the following are the minimum requirements to remediate the Group Policy security risk:</t>
    </r>
    <r>
      <rPr>
        <sz val="11"/>
        <color rgb="FF000000"/>
        <rFont val="Calibri"/>
      </rPr>
      <t xml:space="preserve">
</t>
    </r>
    <r>
      <rPr>
        <sz val="11"/>
        <color rgb="FF000000"/>
        <rFont val="Calibri"/>
      </rPr>
      <t>\\*\NETLOGON RequireMutualAuthentication=1, RequireIntegrity=1, RequirePrivacy=1</t>
    </r>
    <r>
      <rPr>
        <sz val="11"/>
        <color rgb="FF000000"/>
        <rFont val="Calibri"/>
      </rPr>
      <t xml:space="preserve">
</t>
    </r>
    <r>
      <rPr>
        <sz val="11"/>
        <color rgb="FF000000"/>
        <rFont val="Calibri"/>
      </rPr>
      <t>\\*\SYSVOL RequireMutualAuthentication=1, RequireIntegrity=1, RequirePrivacy=1</t>
    </r>
    <r>
      <rPr>
        <sz val="11"/>
        <color rgb="FF000000"/>
        <rFont val="Calibri"/>
      </rPr>
      <t xml:space="preserve">
</t>
    </r>
    <r>
      <rPr>
        <sz val="11"/>
        <color rgb="FF000000"/>
        <rFont val="Calibri"/>
      </rPr>
      <t>Note:</t>
    </r>
    <r>
      <rPr>
        <sz val="11"/>
        <color rgb="FF000000"/>
        <rFont val="Calibri"/>
      </rPr>
      <t xml:space="preserve">
</t>
    </r>
    <r>
      <rPr>
        <sz val="11"/>
        <color rgb="FF000000"/>
        <rFont val="Calibri"/>
      </rPr>
      <t>A reboot may be required after the setting is applied to a client machine to access the above paths.</t>
    </r>
    <r>
      <rPr>
        <sz val="11"/>
        <color rgb="FF000000"/>
        <rFont val="Calibri"/>
      </rPr>
      <t xml:space="preserve">
</t>
    </r>
    <r>
      <rPr>
        <sz val="11"/>
        <color rgb="FF000000"/>
        <rFont val="Calibri"/>
      </rPr>
      <t>Additional guidance on the deployment of this security setting is available from the Microsoft Premier Field Engineering (PFE) Platforms TechNet Blog here:</t>
    </r>
    <r>
      <rPr>
        <sz val="11"/>
        <color rgb="FF000000"/>
        <rFont val="Calibri"/>
      </rPr>
      <t xml:space="preserve">
</t>
    </r>
    <r>
      <rPr>
        <sz val="11"/>
        <color rgb="FF000000"/>
        <rFont val="Calibri"/>
      </rPr>
      <t>Guidance on Deployment of MS15-011 and MS15-014</t>
    </r>
    <r>
      <rPr>
        <sz val="11"/>
        <color rgb="FF000000"/>
        <rFont val="Calibri"/>
      </rPr>
      <t xml:space="preserve">
</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</si>
  <si>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</si>
  <si>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</si>
  <si>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</si>
  <si>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Medium-17.02</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</si>
  <si>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</si>
  <si>
    <r>
      <rPr>
        <sz val="11"/>
        <color rgb="FF000000"/>
        <rFont val="Calibri"/>
      </rPr>
      <t xml:space="preserve">Set the following UI path to </t>
    </r>
    <r>
      <rPr>
        <b/>
        <sz val="11"/>
        <color rgb="FF000000"/>
        <rFont val="Calibri"/>
      </rPr>
      <t>Enabled: Do not apply during periodic background processing = False; Process even if the Group Policy objects have not changed = Enabled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</si>
  <si>
    <t>Medium-17.03</t>
  </si>
  <si>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Do not apply during periodic background processing: False</t>
    </r>
    <r>
      <rPr>
        <sz val="11"/>
        <color rgb="FF000000"/>
        <rFont val="Calibri"/>
      </rPr>
      <t>'</t>
    </r>
    <r>
      <rPr>
        <sz val="11"/>
        <color rgb="FF000000"/>
        <rFont val="Calibri"/>
      </rPr>
      <t xml:space="preserve"> and </t>
    </r>
    <r>
      <rPr>
        <sz val="11"/>
        <color rgb="FF000000"/>
        <rFont val="Calibri"/>
      </rPr>
      <t>'</t>
    </r>
    <r>
      <rPr>
        <b/>
        <sz val="11"/>
        <color rgb="FF000000"/>
        <rFont val="Calibri"/>
      </rPr>
      <t>Process even if the Group Policy objects have not changed: Enabled</t>
    </r>
    <r>
      <rPr>
        <sz val="11"/>
        <color rgb="FF000000"/>
        <rFont val="Calibri"/>
      </rPr>
      <t>'</t>
    </r>
  </si>
  <si>
    <r>
      <rPr>
        <sz val="11"/>
        <color rgb="FF000000"/>
        <rFont val="Calibri"/>
      </rPr>
      <t xml:space="preserve">Set the following UI path to </t>
    </r>
    <r>
      <rPr>
        <b/>
        <sz val="11"/>
        <color rgb="FF000000"/>
        <rFont val="Calibri"/>
      </rPr>
      <t>Enabled: Do not apply during periodic background processing = False; Process even if the Group Policy objects have not changed = Enabled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</si>
  <si>
    <t>Installing applications</t>
  </si>
  <si>
    <t>Medium-18.00</t>
  </si>
  <si>
    <r>
      <rPr>
        <b/>
        <sz val="11"/>
        <color rgb="FF003B5C"/>
        <rFont val="Calibri"/>
      </rPr>
      <t>Section overview: 'Installing applications'</t>
    </r>
  </si>
  <si>
    <r>
      <rPr>
        <sz val="11"/>
        <color rgb="FF000000"/>
        <rFont val="Calibri"/>
      </rPr>
      <t xml:space="preserve">Configure the individual settings listed in recommendations </t>
    </r>
    <r>
      <rPr>
        <b/>
        <sz val="11"/>
        <color rgb="FF000000"/>
        <rFont val="Calibri"/>
      </rPr>
      <t>Medium-18.01</t>
    </r>
    <r>
      <rPr>
        <sz val="11"/>
        <color rgb="FF000000"/>
        <rFont val="Calibri"/>
      </rPr>
      <t xml:space="preserve"> through </t>
    </r>
    <r>
      <rPr>
        <b/>
        <sz val="11"/>
        <color rgb="FF000000"/>
        <rFont val="Calibri"/>
      </rPr>
      <t>Medium-18.07</t>
    </r>
    <r>
      <rPr>
        <sz val="11"/>
        <color rgb="FF000000"/>
        <rFont val="Calibri"/>
      </rPr>
      <t>.</t>
    </r>
  </si>
  <si>
    <r>
      <rPr>
        <sz val="11"/>
        <color rgb="FF000000"/>
        <rFont val="Calibri"/>
      </rPr>
      <t>While the ability to install applications may be a business requirement for users, this privilege can be exploited by malicious actors. Malicious actors can email a malicious application or host one on a compromised website and use social engineering techniques to convince users into installing it. Additionally, if applications are configured to install using elevated privileges, malicious actors can exploit this by creating a Windows Installer installation package to create a new account that belongs to the local built-in administrators group or to install a malicious application.</t>
    </r>
  </si>
  <si>
    <t>Medium-18.01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</si>
  <si>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</si>
  <si>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</si>
  <si>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</si>
  <si>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Windows Defender SmartScreen helps keep PCs safer by warning users before running unrecognized programs downloaded from the Internet. However, due to the fact that some information is sent to Microsoft about files and programs run on PCs some organizations may prefer to disable it.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</si>
  <si>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</si>
  <si>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HKLM\SOFTWARE\Policies\Microsoft\Windows\System:EnableSmartScreen</t>
    </r>
    <r>
      <rPr>
        <sz val="11"/>
        <color rgb="FF006096"/>
        <rFont val="Roboto Condensed"/>
      </rPr>
      <t xml:space="preserve">
</t>
    </r>
    <r>
      <rPr>
        <sz val="11"/>
        <color rgb="FF006096"/>
        <rFont val="Roboto Condensed"/>
      </rPr>
      <t>HKLM\SOFTWARE\Policies\Microsoft\Windows\System:ShellSmartScreenLevel</t>
    </r>
    <r>
      <rPr>
        <sz val="11"/>
        <color rgb="FF006096"/>
        <rFont val="Roboto Condensed"/>
      </rPr>
      <t xml:space="preserve">
</t>
    </r>
  </si>
  <si>
    <r>
      <rPr>
        <sz val="11"/>
        <color rgb="FF000000"/>
        <rFont val="Calibri"/>
      </rPr>
      <t>Enabled. (Users can change settings.)</t>
    </r>
  </si>
  <si>
    <t>Medium-18.02</t>
  </si>
  <si>
    <r>
      <rPr>
        <sz val="11"/>
        <rFont val="Calibri"/>
      </rPr>
      <t xml:space="preserve">Ensure </t>
    </r>
    <r>
      <rPr>
        <sz val="11"/>
        <color rgb="FF000000"/>
        <rFont val="Calibri"/>
      </rPr>
      <t>'</t>
    </r>
    <r>
      <rPr>
        <b/>
        <sz val="11"/>
        <color rgb="FF000000"/>
        <rFont val="Calibri"/>
      </rPr>
      <t>Configure Windows Defender SmartScreen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</si>
  <si>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t>Medium-18.03</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</si>
  <si>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</si>
  <si>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</si>
  <si>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</si>
  <si>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an enterprise managed environment, only IT staff with administrative rights should be installing or changing software on a system. Allowing users the ability to have any control over installs can risk unapproved software from being installed or removed from a system, which could cause the system to become vulnerable to compromise.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</si>
  <si>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</si>
  <si>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</si>
  <si>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Medium-18.04</t>
  </si>
  <si>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</si>
  <si>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</si>
  <si>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</si>
  <si>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with limited privileges can exploit this feature by creating a Windows Installer installation package that creates a new local account that belongs to the local built-in Administrators group, adds their current account to the local built-in Administrators group, installs malicious software, or performs other unauthorized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</si>
  <si>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</si>
  <si>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</si>
  <si>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Medium-18.05</t>
  </si>
  <si>
    <r>
      <rPr>
        <sz val="11"/>
        <rFont val="Calibri"/>
      </rPr>
      <t xml:space="preserve">Ensure </t>
    </r>
    <r>
      <rPr>
        <sz val="11"/>
        <color rgb="FF000000"/>
        <rFont val="Calibri"/>
      </rPr>
      <t>'</t>
    </r>
    <r>
      <rPr>
        <b/>
        <sz val="11"/>
        <color rgb="FF000000"/>
        <rFont val="Calibri"/>
      </rPr>
      <t>Always install with elevated privileges (User)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</si>
  <si>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Medium-18.06</t>
  </si>
  <si>
    <r>
      <rPr>
        <sz val="11"/>
        <rFont val="Calibri"/>
      </rPr>
      <t xml:space="preserve">Ensure </t>
    </r>
    <r>
      <rPr>
        <sz val="11"/>
        <color rgb="FF000000"/>
        <rFont val="Calibri"/>
      </rPr>
      <t>'</t>
    </r>
    <r>
      <rPr>
        <b/>
        <sz val="11"/>
        <color rgb="FF000000"/>
        <rFont val="Calibri"/>
      </rPr>
      <t>Set authorized domains for HTTPS authentication in MSIX streaming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 &lt;organisation-defined domains&gt;</t>
    </r>
    <r>
      <rPr>
        <sz val="11"/>
        <color rgb="FF000000"/>
        <rFont val="Calibri"/>
      </rPr>
      <t>'</t>
    </r>
  </si>
  <si>
    <r>
      <rPr>
        <sz val="11"/>
        <color rgb="FF000000"/>
        <rFont val="Calibri"/>
      </rPr>
      <t xml:space="preserve">Set the following UI path to </t>
    </r>
    <r>
      <rPr>
        <b/>
        <sz val="11"/>
        <color rgb="FF000000"/>
        <rFont val="Calibri"/>
      </rPr>
      <t>Enabled: &lt;organisation-defined domains&gt;</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Deployment\Set authorized domains for HTTPS authentication in MSIX streaming install</t>
    </r>
    <r>
      <rPr>
        <sz val="11"/>
        <color rgb="FF006096"/>
        <rFont val="Roboto Condensed"/>
      </rPr>
      <t xml:space="preserve">
</t>
    </r>
  </si>
  <si>
    <t>Medium-18.07</t>
  </si>
  <si>
    <r>
      <rPr>
        <sz val="11"/>
        <rFont val="Calibri"/>
      </rPr>
      <t xml:space="preserve">Ensure </t>
    </r>
    <r>
      <rPr>
        <sz val="11"/>
        <color rgb="FF000000"/>
        <rFont val="Calibri"/>
      </rPr>
      <t>'</t>
    </r>
    <r>
      <rPr>
        <b/>
        <sz val="11"/>
        <color rgb="FF000000"/>
        <rFont val="Calibri"/>
      </rPr>
      <t>Allowed package family names for non-admin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</si>
  <si>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Deployment\Allowed package family names for non-admin user install</t>
    </r>
    <r>
      <rPr>
        <sz val="11"/>
        <color rgb="FF006096"/>
        <rFont val="Roboto Condensed"/>
      </rPr>
      <t xml:space="preserve">
</t>
    </r>
  </si>
  <si>
    <t>Legacy and run once lists</t>
  </si>
  <si>
    <t>Medium-19.00</t>
  </si>
  <si>
    <r>
      <rPr>
        <b/>
        <sz val="11"/>
        <color rgb="FF003B5C"/>
        <rFont val="Calibri"/>
      </rPr>
      <t>Section overview: 'Legacy and run once lists'</t>
    </r>
  </si>
  <si>
    <r>
      <rPr>
        <sz val="11"/>
        <color rgb="FF000000"/>
        <rFont val="Calibri"/>
      </rPr>
      <t xml:space="preserve">Configure the individual settings listed in recommendations </t>
    </r>
    <r>
      <rPr>
        <b/>
        <sz val="11"/>
        <color rgb="FF000000"/>
        <rFont val="Calibri"/>
      </rPr>
      <t>Medium-19.01</t>
    </r>
    <r>
      <rPr>
        <sz val="11"/>
        <color rgb="FF000000"/>
        <rFont val="Calibri"/>
      </rPr>
      <t xml:space="preserve"> through </t>
    </r>
    <r>
      <rPr>
        <b/>
        <sz val="11"/>
        <color rgb="FF000000"/>
        <rFont val="Calibri"/>
      </rPr>
      <t>Medium-19.03</t>
    </r>
    <r>
      <rPr>
        <sz val="11"/>
        <color rgb="FF000000"/>
        <rFont val="Calibri"/>
      </rPr>
      <t>.</t>
    </r>
  </si>
  <si>
    <r>
      <rPr>
        <sz val="11"/>
        <color rgb="FF000000"/>
        <rFont val="Calibri"/>
      </rPr>
      <t>Once malicious code has been copied to a workstation, malicious actors with registry access can remotely schedule it to execute (i.e. using the run once list) or to automatically execute each time Microsoft Windows starts (i.e. using the legacy run list). To reduce this risk, legacy and run once lists should be disabled.</t>
    </r>
  </si>
  <si>
    <t>Medium-19.01</t>
  </si>
  <si>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</si>
  <si>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process the legacy run list</t>
    </r>
    <r>
      <rPr>
        <sz val="11"/>
        <color rgb="FF006096"/>
        <rFont val="Roboto Condensed"/>
      </rPr>
      <t xml:space="preserve">
</t>
    </r>
  </si>
  <si>
    <t>Medium-19.02</t>
  </si>
  <si>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</si>
  <si>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process the run once list</t>
    </r>
    <r>
      <rPr>
        <sz val="11"/>
        <color rgb="FF006096"/>
        <rFont val="Roboto Condensed"/>
      </rPr>
      <t xml:space="preserve">
</t>
    </r>
  </si>
  <si>
    <t>Medium-19.03</t>
  </si>
  <si>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</si>
  <si>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Templates\System\Logon\Run these programs at user logon</t>
    </r>
    <r>
      <rPr>
        <sz val="11"/>
        <color rgb="FF006096"/>
        <rFont val="Roboto Condensed"/>
      </rPr>
      <t xml:space="preserve">
</t>
    </r>
  </si>
  <si>
    <t>Microsoft accounts</t>
  </si>
  <si>
    <t>Medium-20.00</t>
  </si>
  <si>
    <r>
      <rPr>
        <b/>
        <sz val="11"/>
        <color rgb="FF003B5C"/>
        <rFont val="Calibri"/>
      </rPr>
      <t>Section overview: 'Microsoft accounts'</t>
    </r>
  </si>
  <si>
    <r>
      <rPr>
        <sz val="11"/>
        <color rgb="FF000000"/>
        <rFont val="Calibri"/>
      </rPr>
      <t xml:space="preserve">Configure the individual settings listed in recommendations </t>
    </r>
    <r>
      <rPr>
        <b/>
        <sz val="11"/>
        <color rgb="FF000000"/>
        <rFont val="Calibri"/>
      </rPr>
      <t>Medium-20.01</t>
    </r>
    <r>
      <rPr>
        <sz val="11"/>
        <color rgb="FF000000"/>
        <rFont val="Calibri"/>
      </rPr>
      <t xml:space="preserve"> through </t>
    </r>
    <r>
      <rPr>
        <b/>
        <sz val="11"/>
        <color rgb="FF000000"/>
        <rFont val="Calibri"/>
      </rPr>
      <t>Medium-20.03</t>
    </r>
    <r>
      <rPr>
        <sz val="11"/>
        <color rgb="FF000000"/>
        <rFont val="Calibri"/>
      </rPr>
      <t>.</t>
    </r>
  </si>
  <si>
    <r>
      <rPr>
        <sz val="11"/>
        <color rgb="FF000000"/>
        <rFont val="Calibri"/>
      </rPr>
      <t>A feature of Microsoft Windows 11 is the ability to link Microsoft accounts (formerly Windows Live IDs) to local or domain accounts. When this occurs, a user's settings and files are stored in the cloud using OneDrive rather than locally or on a domain controller. While this may have the benefit of allowing users to access their settings and files from any workstation it can also pose a risk to an organisation as they lose control over where sensitive information may be accessed from. To reduce this risk, users should not link Microsoft accounts with local or domain accounts.</t>
    </r>
  </si>
  <si>
    <t>Medium-20.01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</si>
  <si>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</si>
  <si>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</si>
  <si>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</si>
  <si>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allows an organization to use their enterprise user accounts instead of using their Microsoft accounts when accessing Windows store apps. This provides the organization with greater control over relevant credentials. Microsoft accounts cannot be centrally managed and as such enterprise credential security policies cannot be applied to them, which could put any information accessed by using Microsoft accounts at risk.</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</si>
  <si>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</si>
  <si>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</si>
  <si>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</si>
  <si>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Medium-20.02</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</si>
  <si>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</si>
  <si>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</si>
  <si>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</si>
  <si>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Organizations that want to effectively implement identity management policies and maintain firm control of what accounts are used on their computers will probably want to block Microsoft accounts. Organizations may also need to block Microsoft accounts in order to meet the requirements of compliance standards that apply to their information systems.</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</si>
  <si>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</si>
  <si>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</si>
  <si>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</si>
  <si>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Medium-20.03</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</si>
  <si>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</si>
  <si>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</si>
  <si>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</si>
  <si>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users from accidentally (or intentionally) uploading confidential or sensitive corporate information to the OneDrive cloud service using the Next Generation Sync Client.</t>
    </r>
    <r>
      <rPr>
        <sz val="11"/>
        <color rgb="FF000000"/>
        <rFont val="Calibri"/>
      </rPr>
      <t xml:space="preserve">
</t>
    </r>
    <r>
      <rPr>
        <sz val="11"/>
        <color rgb="FF000000"/>
        <rFont val="Calibri"/>
      </rPr>
      <t>Note:</t>
    </r>
    <r>
      <rPr>
        <sz val="11"/>
        <color rgb="FF000000"/>
        <rFont val="Calibri"/>
      </rPr>
      <t xml:space="preserve">
</t>
    </r>
    <r>
      <rPr>
        <sz val="11"/>
        <color rgb="FF000000"/>
        <rFont val="Calibri"/>
      </rPr>
      <t>This security concern applies to</t>
    </r>
    <r>
      <rPr>
        <sz val="11"/>
        <color rgb="FF000000"/>
        <rFont val="Calibri"/>
      </rPr>
      <t xml:space="preserve">
</t>
    </r>
    <r>
      <rPr>
        <sz val="11"/>
        <color rgb="FF000000"/>
        <rFont val="Calibri"/>
      </rPr>
      <t>any</t>
    </r>
    <r>
      <rPr>
        <sz val="11"/>
        <color rgb="FF000000"/>
        <rFont val="Calibri"/>
      </rPr>
      <t xml:space="preserve">
</t>
    </r>
    <r>
      <rPr>
        <sz val="11"/>
        <color rgb="FF000000"/>
        <rFont val="Calibri"/>
      </rPr>
      <t>cloud-based file storage application installed on a workstation, not just the one supplied with Windows.</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</si>
  <si>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(this template is not included with the Windows Administrative Templates) </t>
    </r>
    <r>
      <rPr>
        <sz val="11"/>
        <color rgb="FF0000FF"/>
        <rFont val="Calibri"/>
      </rPr>
      <t>(https://docs.microsoft.com/en-us/onedrive/use-group-policy)</t>
    </r>
    <r>
      <rPr>
        <sz val="11"/>
        <color rgb="FF000000"/>
        <rFont val="Calibri"/>
      </rPr>
      <t>.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</si>
  <si>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</si>
  <si>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</si>
  <si>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MSS settings</t>
  </si>
  <si>
    <t>Medium-21.00</t>
  </si>
  <si>
    <r>
      <rPr>
        <b/>
        <sz val="11"/>
        <color rgb="FF003B5C"/>
        <rFont val="Calibri"/>
      </rPr>
      <t>Section overview: 'MSS settings'</t>
    </r>
  </si>
  <si>
    <r>
      <rPr>
        <sz val="11"/>
        <color rgb="FF000000"/>
        <rFont val="Calibri"/>
      </rPr>
      <t xml:space="preserve">Configure the individual settings listed in recommendations </t>
    </r>
    <r>
      <rPr>
        <b/>
        <sz val="11"/>
        <color rgb="FF000000"/>
        <rFont val="Calibri"/>
      </rPr>
      <t>Medium-21.01</t>
    </r>
    <r>
      <rPr>
        <sz val="11"/>
        <color rgb="FF000000"/>
        <rFont val="Calibri"/>
      </rPr>
      <t xml:space="preserve"> through </t>
    </r>
    <r>
      <rPr>
        <b/>
        <sz val="11"/>
        <color rgb="FF000000"/>
        <rFont val="Calibri"/>
      </rPr>
      <t>Medium-21.03</t>
    </r>
    <r>
      <rPr>
        <sz val="11"/>
        <color rgb="FF000000"/>
        <rFont val="Calibri"/>
      </rPr>
      <t>.</t>
    </r>
  </si>
  <si>
    <r>
      <rPr>
        <sz val="11"/>
        <color rgb="FF000000"/>
        <rFont val="Calibri"/>
      </rPr>
      <t>MSS settings are registry values previously identified by Microsoft security experts that can be used for increased security. While many of these registry values are no longer applicable in modern versions of Microsoft Windows, some still provide a security benefit. To reduce this risk, MSS settings that are still relevant to modern versions of Microsoft Windows should be specified using Group Policy settings.</t>
    </r>
    <r>
      <rPr>
        <sz val="11"/>
        <color rgb="FF000000"/>
        <rFont val="Calibri"/>
      </rPr>
      <t xml:space="preserve">
</t>
    </r>
    <r>
      <rPr>
        <sz val="11"/>
        <color rgb="FF000000"/>
        <rFont val="Calibri"/>
      </rPr>
      <t xml:space="preserve">Note, the MSS settings are available as part of the Microsoft Security Compliance Toolkit </t>
    </r>
    <r>
      <rPr>
        <sz val="11"/>
        <color rgb="FF0000FF"/>
        <rFont val="Calibri"/>
      </rPr>
      <t>(https://www.microsoft.com/en-us/download/details.aspx?id=55319)</t>
    </r>
    <r>
      <rPr>
        <sz val="11"/>
        <color rgb="FF000000"/>
        <rFont val="Calibri"/>
      </rPr>
      <t>.</t>
    </r>
  </si>
  <si>
    <t>Medium-21.01</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</si>
  <si>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DisableIPSourceRoutingIPv6: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</si>
  <si>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DisableIPSourceRoutingIPv6: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</si>
  <si>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</si>
  <si>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 threat actor could use source routed packets to obscure their identity and location. Source routing allows a computer that sends a packet to specify the route that the packet takes.</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</si>
  <si>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</si>
  <si>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</si>
  <si>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</si>
  <si>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Medium-21.02</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</si>
  <si>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DisableIPSourceRouting: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</si>
  <si>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DisableIPSourceRouting: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</si>
  <si>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</si>
  <si>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</si>
  <si>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</si>
  <si>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Medium-21.03</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</si>
  <si>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</si>
  <si>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</si>
  <si>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</si>
  <si>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behavior is expected. The problem is that the 10 minute time-out period for the ICMP redirect-plumbed routes temporarily creates a network situation in which traffic will no longer be routed properly for the affected host. Ignoring such ICMP redirects will limit the system's exposure to attacks that will impact its ability to participate on the network.</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</si>
  <si>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</si>
  <si>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</si>
  <si>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</si>
  <si>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NetBIOS over TCP/IP</t>
  </si>
  <si>
    <t>Medium-22.00</t>
  </si>
  <si>
    <r>
      <rPr>
        <b/>
        <sz val="11"/>
        <color rgb="FF003B5C"/>
        <rFont val="Calibri"/>
      </rPr>
      <t>Section overview: 'NetBIOS over TCP/IP'</t>
    </r>
  </si>
  <si>
    <r>
      <rPr>
        <sz val="11"/>
        <color rgb="FF000000"/>
        <rFont val="Calibri"/>
      </rPr>
      <t xml:space="preserve">Disable NetBIOS over TCP/IP on all network interfaces by setting the NetBIOS setting under the IPv4 WINS settings on each network interface to </t>
    </r>
    <r>
      <rPr>
        <b/>
        <sz val="11"/>
        <color rgb="FF000000"/>
        <rFont val="Calibri"/>
      </rPr>
      <t>Disable NetBIOS over TCP/IP</t>
    </r>
    <r>
      <rPr>
        <sz val="11"/>
        <color rgb="FF000000"/>
        <rFont val="Calibri"/>
      </rPr>
      <t>.</t>
    </r>
  </si>
  <si>
    <r>
      <rPr>
        <sz val="11"/>
        <color rgb="FF000000"/>
        <rFont val="Calibri"/>
      </rPr>
      <t>NetBIOS over TCP/IP facilitates a number of intrusion methods. To reduce this risk, NetBIOS over TCP/IP should be disabled for all network interfaces. As NetBIOS over TCP/IP is only used to support legacy Microsoft Windows operating systems, such as those prior to Microsoft Windows 2000, there should not be a business requirement for its use except in very rare circumstances.</t>
    </r>
  </si>
  <si>
    <t>Network authentication</t>
  </si>
  <si>
    <t>Medium-23.00</t>
  </si>
  <si>
    <r>
      <rPr>
        <b/>
        <sz val="11"/>
        <color rgb="FF003B5C"/>
        <rFont val="Calibri"/>
      </rPr>
      <t>Section overview: 'Network authentication'</t>
    </r>
  </si>
  <si>
    <r>
      <rPr>
        <sz val="11"/>
        <color rgb="FF000000"/>
        <rFont val="Calibri"/>
      </rPr>
      <t xml:space="preserve">Configure the individual settings listed in recommendations </t>
    </r>
    <r>
      <rPr>
        <b/>
        <sz val="11"/>
        <color rgb="FF000000"/>
        <rFont val="Calibri"/>
      </rPr>
      <t>Medium-23.01</t>
    </r>
    <r>
      <rPr>
        <sz val="11"/>
        <color rgb="FF000000"/>
        <rFont val="Calibri"/>
      </rPr>
      <t xml:space="preserve"> through </t>
    </r>
    <r>
      <rPr>
        <b/>
        <sz val="11"/>
        <color rgb="FF000000"/>
        <rFont val="Calibri"/>
      </rPr>
      <t>Medium-23.06</t>
    </r>
    <r>
      <rPr>
        <sz val="11"/>
        <color rgb="FF000000"/>
        <rFont val="Calibri"/>
      </rPr>
      <t>.</t>
    </r>
  </si>
  <si>
    <r>
      <rPr>
        <sz val="11"/>
        <color rgb="FF000000"/>
        <rFont val="Calibri"/>
      </rPr>
      <t>Using insecure network authentication methods may allow malicious actors to gain unauthorised access to network traffic and services. To reduce this risk, only secure network authentication methods, ideally Kerberos, should be used for network authentication.</t>
    </r>
  </si>
  <si>
    <t>Medium-23.01</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</si>
  <si>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</si>
  <si>
    <r>
      <rPr>
        <sz val="11"/>
        <color rgb="FF000000"/>
        <rFont val="Calibri"/>
      </rPr>
      <t xml:space="preserve">Set the following UI path to </t>
    </r>
    <r>
      <rPr>
        <b/>
        <sz val="11"/>
        <color rgb="FF000000"/>
        <rFont val="Calibri"/>
      </rPr>
      <t>AES128_HMAC_SHA1, AES256_HMAC_SHA1</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</si>
  <si>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</si>
  <si>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The strength of each encryption algorithm varies from one to the next, choosing stronger algorithms will reduce the risk of compromise however doing so may cause issues when the computer attempts to authenticate with systems that do not support them.</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</si>
  <si>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Vista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</si>
  <si>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HKLM\SOFTWARE\Microsoft\Windows\CurrentVersion\Policies\System\Kerberos\Parameters:SupportedEncryptionTypes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</si>
  <si>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</si>
  <si>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Medium-23.02</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</si>
  <si>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</si>
  <si>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</si>
  <si>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</si>
  <si>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Windows 2000 and Windows XP clients were configured by default to send LM and NTLM authentication responses (Windows 95-based and Windows 98-based clients only send LM). The default settings in OSes predating Windows Vista / Windows Server 2008 (non-R2) allowed all clients to authenticate with servers and use their resources. However, this meant that LM responses - the weakest form of authentication response - were sent over the network, and it was potentially possible for threat actors to sniff that traffic to more easily reproduce the user's password.</t>
    </r>
    <r>
      <rPr>
        <sz val="11"/>
        <color rgb="FF000000"/>
        <rFont val="Calibri"/>
      </rPr>
      <t xml:space="preserve">
</t>
    </r>
    <r>
      <rPr>
        <sz val="11"/>
        <color rgb="FF000000"/>
        <rFont val="Calibri"/>
      </rPr>
      <t>The Windows 95, Windows 98, and Windows NT operating systems cannot use the Kerberos version 5 protocol for authentication. For this reason, in a Windows Server 2003 domain, these computers authenticate by default with both the LM and NTLM protocols for network authentication. A more secure authentication protocol can be forced for Windows 95, Windows 98, and Windows NT by using NTLMv2. For the logon process, NTLMv2 uses a secure channel to protect the authentication process. Even if NTLMv2 is used for older clients and servers, Windows-based clients and servers that are members of the domain will use the Kerberos authentication protocol to authenticate with Windows Server 2003 or newer Domain Controllers. For these reasons, it is strongly preferred to restrict the use of LM &amp; NTLM (non-v2) as much as possible.</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</si>
  <si>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</si>
  <si>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</si>
  <si>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</si>
  <si>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Medium-23.03</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</si>
  <si>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</si>
  <si>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</si>
  <si>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</si>
  <si>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Enable both options for this policy setting to help protect network traffic that uses the NTLM Security Support Provider (NTLM SSP) from being exposed or tampered with by a threat actor who has gained access to the same network. These options help protect against man-in-the-middle attacks.</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</si>
  <si>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</si>
  <si>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</si>
  <si>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</si>
  <si>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Medium-23.04</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</si>
  <si>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</si>
  <si>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</si>
  <si>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</si>
  <si>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Enable all of the options for this policy setting to help protect network traffic that uses the NTLM Security Support Provider (NTLM SSP) from being exposed or tampered with by a threat actor who has gained access to the same network. These options help protect against man-in-the-middle attacks.</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</si>
  <si>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</si>
  <si>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</si>
  <si>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Medium-23.05</t>
  </si>
  <si>
    <r>
      <rPr>
        <sz val="11"/>
        <rFont val="Calibri"/>
      </rPr>
      <t xml:space="preserve">Ensure </t>
    </r>
    <r>
      <rPr>
        <sz val="11"/>
        <color rgb="FF000000"/>
        <rFont val="Calibri"/>
      </rPr>
      <t>'</t>
    </r>
    <r>
      <rPr>
        <b/>
        <sz val="11"/>
        <color rgb="FF000000"/>
        <rFont val="Calibri"/>
      </rPr>
      <t>Log Enhanced Domain-wide NTLM Logs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</si>
  <si>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Templates\System\Netlogon\Log Enhanced Domain-wide NTLM Logs</t>
    </r>
    <r>
      <rPr>
        <sz val="11"/>
        <color rgb="FF006096"/>
        <rFont val="Roboto Condensed"/>
      </rPr>
      <t xml:space="preserve">
</t>
    </r>
  </si>
  <si>
    <t>Medium-23.06</t>
  </si>
  <si>
    <r>
      <rPr>
        <sz val="11"/>
        <rFont val="Calibri"/>
      </rPr>
      <t xml:space="preserve">Ensure </t>
    </r>
    <r>
      <rPr>
        <sz val="11"/>
        <color rgb="FF000000"/>
        <rFont val="Calibri"/>
      </rPr>
      <t>'</t>
    </r>
    <r>
      <rPr>
        <b/>
        <sz val="11"/>
        <color rgb="FF000000"/>
        <rFont val="Calibri"/>
      </rPr>
      <t>NTLM Enhanced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</si>
  <si>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Templates\System\NTLM\NTLM Enhanced Logging</t>
    </r>
    <r>
      <rPr>
        <sz val="11"/>
        <color rgb="FF006096"/>
        <rFont val="Roboto Condensed"/>
      </rPr>
      <t xml:space="preserve">
</t>
    </r>
  </si>
  <si>
    <t>NoLMHash policy</t>
  </si>
  <si>
    <t>Medium-24.00</t>
  </si>
  <si>
    <r>
      <rPr>
        <b/>
        <sz val="11"/>
        <color rgb="FF003B5C"/>
        <rFont val="Calibri"/>
      </rPr>
      <t>Section overview: 'NoLMHash policy'</t>
    </r>
  </si>
  <si>
    <r>
      <rPr>
        <sz val="11"/>
        <color rgb="FF000000"/>
        <rFont val="Calibri"/>
      </rPr>
      <t xml:space="preserve">Configure the setting listed in recommendation </t>
    </r>
    <r>
      <rPr>
        <b/>
        <sz val="11"/>
        <color rgb="FF000000"/>
        <rFont val="Calibri"/>
      </rPr>
      <t>Medium-24.01</t>
    </r>
    <r>
      <rPr>
        <sz val="11"/>
        <color rgb="FF000000"/>
        <rFont val="Calibri"/>
      </rPr>
      <t xml:space="preserve"> to prevent the storage of LAN Manager hashes.</t>
    </r>
  </si>
  <si>
    <r>
      <rPr>
        <sz val="11"/>
        <color rgb="FF000000"/>
        <rFont val="Calibri"/>
      </rPr>
      <t>When Microsoft Windows hashes a password that is less than 15 characters, it stores both a LAN Manager hash (LM hash) and Windows NT hash (NT hash) in the local SAM database for local accounts, or in Active Directory for domain accounts. The LM hash is significantly weaker than the NT hash and can easily be brute forced. To reduce this risk, the NoLMHash Policy should be implemented on all workstations and domain controllers. Once this Group Policy setting is applied, all users should be encouraged to change their passwords, as they will remain vulnerable until they do.</t>
    </r>
  </si>
  <si>
    <t>Medium-24.01</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</si>
  <si>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</si>
  <si>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</si>
  <si>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</si>
  <si>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SAM file can be targeted by attackers who seek access to username and password hashes. Such attacks use special tools to crack passwords, which can then be used to impersonate users and gain access to resources on your network. These types of attacks will not be prevented if you enable this policy setting, but it will be much more difficult for these types of attacks to succeed.</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</si>
  <si>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</si>
  <si>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</si>
  <si>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</si>
  <si>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Operating system functionality</t>
  </si>
  <si>
    <t>Medium-25.00</t>
  </si>
  <si>
    <r>
      <rPr>
        <b/>
        <sz val="11"/>
        <color rgb="FF003B5C"/>
        <rFont val="Calibri"/>
      </rPr>
      <t>Section overview: 'Operating system functionality'</t>
    </r>
  </si>
  <si>
    <r>
      <rPr>
        <sz val="11"/>
        <color rgb="FF000000"/>
        <rFont val="Calibri"/>
      </rPr>
      <t xml:space="preserve">Configure the individual settings listed in recommendations </t>
    </r>
    <r>
      <rPr>
        <b/>
        <sz val="11"/>
        <color rgb="FF000000"/>
        <rFont val="Calibri"/>
      </rPr>
      <t>Medium-25.01</t>
    </r>
    <r>
      <rPr>
        <sz val="11"/>
        <color rgb="FF000000"/>
        <rFont val="Calibri"/>
      </rPr>
      <t xml:space="preserve"> and </t>
    </r>
    <r>
      <rPr>
        <b/>
        <sz val="11"/>
        <color rgb="FF000000"/>
        <rFont val="Calibri"/>
      </rPr>
      <t>Medium-25.02</t>
    </r>
    <r>
      <rPr>
        <sz val="11"/>
        <color rgb="FF000000"/>
        <rFont val="Calibri"/>
      </rPr>
      <t>.</t>
    </r>
  </si>
  <si>
    <r>
      <rPr>
        <sz val="11"/>
        <color rgb="FF000000"/>
        <rFont val="Calibri"/>
      </rPr>
      <t>Leaving unneeded functionality in Microsoft Windows enabled can provide greater opportunities for potentially vulnerable or misconfigured functionality to be exploited by malicious actors. To reduce this risk, unneeded functionality in Microsoft Windows should be disabled or removed.</t>
    </r>
  </si>
  <si>
    <t>Medium-25.01</t>
  </si>
  <si>
    <r>
      <rPr>
        <sz val="11"/>
        <rFont val="Calibri"/>
      </rPr>
      <t xml:space="preserve">Ensure </t>
    </r>
    <r>
      <rPr>
        <sz val="11"/>
        <color rgb="FF000000"/>
        <rFont val="Calibri"/>
      </rPr>
      <t>'</t>
    </r>
    <r>
      <rPr>
        <b/>
        <sz val="11"/>
        <color rgb="FF000000"/>
        <rFont val="Calibri"/>
      </rPr>
      <t>Disable Widgets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</si>
  <si>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Components\Widgets\Disable Widgets On Lock Screen</t>
    </r>
    <r>
      <rPr>
        <sz val="11"/>
        <color rgb="FF006096"/>
        <rFont val="Roboto Condensed"/>
      </rPr>
      <t xml:space="preserve">
</t>
    </r>
  </si>
  <si>
    <t>Medium-25.02</t>
  </si>
  <si>
    <r>
      <rPr>
        <sz val="11"/>
        <rFont val="Calibri"/>
      </rPr>
      <t xml:space="preserve">Ensure </t>
    </r>
    <r>
      <rPr>
        <sz val="11"/>
        <color rgb="FF000000"/>
        <rFont val="Calibri"/>
      </rPr>
      <t>'</t>
    </r>
    <r>
      <rPr>
        <b/>
        <sz val="11"/>
        <color rgb="FF000000"/>
        <rFont val="Calibri"/>
      </rPr>
      <t>Disable Widgets Board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</si>
  <si>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Components\Widgets\Disable Widgets Board</t>
    </r>
    <r>
      <rPr>
        <sz val="11"/>
        <color rgb="FF006096"/>
        <rFont val="Roboto Condensed"/>
      </rPr>
      <t xml:space="preserve">
</t>
    </r>
  </si>
  <si>
    <t>Password and logon authentication policy</t>
  </si>
  <si>
    <t>Medium-26.00</t>
  </si>
  <si>
    <r>
      <rPr>
        <b/>
        <sz val="11"/>
        <color rgb="FF003B5C"/>
        <rFont val="Calibri"/>
      </rPr>
      <t>Section overview: 'Password and logon authentication policy'</t>
    </r>
  </si>
  <si>
    <r>
      <rPr>
        <sz val="11"/>
        <color rgb="FF000000"/>
        <rFont val="Calibri"/>
      </rPr>
      <t xml:space="preserve">Configure the individual settings listed in recommendations </t>
    </r>
    <r>
      <rPr>
        <b/>
        <sz val="11"/>
        <color rgb="FF000000"/>
        <rFont val="Calibri"/>
      </rPr>
      <t>Medium-26.01</t>
    </r>
    <r>
      <rPr>
        <sz val="11"/>
        <color rgb="FF000000"/>
        <rFont val="Calibri"/>
      </rPr>
      <t xml:space="preserve"> through </t>
    </r>
    <r>
      <rPr>
        <b/>
        <sz val="11"/>
        <color rgb="FF000000"/>
        <rFont val="Calibri"/>
      </rPr>
      <t>Medium-26.08</t>
    </r>
    <r>
      <rPr>
        <sz val="11"/>
        <color rgb="FF000000"/>
        <rFont val="Calibri"/>
      </rPr>
      <t>.</t>
    </r>
  </si>
  <si>
    <r>
      <rPr>
        <sz val="11"/>
        <color rgb="FF000000"/>
        <rFont val="Calibri"/>
      </rPr>
      <t>The use of weak passwords, such as eight character passwords with no complexity, can allow them to be brute forced within minutes using applications freely available on the web. To reduce this risk, a secure password policy should be implemented. Note, Group Policy settings for passwords used as part of multi-factor authentication may not need to be as stringent (e.g. they can be a length of 6 characters without complexity).</t>
    </r>
  </si>
  <si>
    <t>Medium-26.01</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</si>
  <si>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</si>
  <si>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</si>
  <si>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</si>
  <si>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Picture passwords bypass the requirement for a typed complex password. In a shared work environment, a simple shoulder surf where someone observed the on-screen gestures would allow that person to gain access to the system without the need to know the complex password. Vertical monitor screens with an image are much more visible at a distance than horizontal key strokes, increasing the likelihood of a successful observation of the mouse gestures.</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</si>
  <si>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</si>
  <si>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</si>
  <si>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</si>
  <si>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Medium-26.02</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</si>
  <si>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</si>
  <si>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</si>
  <si>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b/>
        <sz val="11"/>
        <color rgb="FF000000"/>
        <rFont val="Calibri"/>
      </rPr>
      <t>Note #2:</t>
    </r>
    <r>
      <rPr>
        <sz val="11"/>
        <color rgb="FF000000"/>
        <rFont val="Calibri"/>
      </rPr>
      <t xml:space="preserve"> If this setting is </t>
    </r>
    <r>
      <rPr>
        <b/>
        <sz val="11"/>
        <color rgb="FF000000"/>
        <rFont val="Calibri"/>
      </rPr>
      <t>Disabled</t>
    </r>
    <r>
      <rPr>
        <sz val="11"/>
        <color rgb="FF000000"/>
        <rFont val="Calibri"/>
      </rPr>
      <t>, Windows Hello will not allow Windows Hello Face or Fingerprint to be configured. An exception to this recommendation might be needed if these features are used in the environment.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</si>
  <si>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PIN is created from a much smaller selection of characters than a password, so in most cases a PIN will be much less robust than a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</si>
  <si>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</si>
  <si>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</si>
  <si>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Medium-26.03</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</si>
  <si>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</si>
  <si>
    <r>
      <rPr>
        <sz val="11"/>
        <color rgb="FF000000"/>
        <rFont val="Calibri"/>
      </rPr>
      <t xml:space="preserve">Set the following UI path to </t>
    </r>
    <r>
      <rPr>
        <b/>
        <sz val="11"/>
        <color rgb="FF000000"/>
        <rFont val="Calibri"/>
      </rPr>
      <t>0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</si>
  <si>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</si>
  <si>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The longer a password exists the higher the likelihood that it will be compromised by a brute force attack, a threat actor gaining general knowledge about the user, or by the user sharing the password. Configuring the Maximum password age setting to 0 so that users are never required to change their passwords is a major security risk because that allows a compromised password to be used by the threat actor for as long as the valid user has authorized access.</t>
    </r>
    <r>
      <rPr>
        <sz val="11"/>
        <color rgb="FF000000"/>
        <rFont val="Calibri"/>
      </rPr>
      <t xml:space="preserve">
</t>
    </r>
    <r>
      <rPr>
        <sz val="11"/>
        <color rgb="FF000000"/>
        <rFont val="Calibri"/>
      </rPr>
      <t>Because threat actors can crack passwords, the more frequently the password is changed, the less opportunity a threat actor has to use a cracked password. However, the lower this value is set, the higher the potential for an increase in calls to help desk support due to users having to change their password or forgetting which password is current.</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</si>
  <si>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</si>
  <si>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</si>
  <si>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Medium-26.04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</si>
  <si>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</si>
  <si>
    <r>
      <rPr>
        <sz val="11"/>
        <color rgb="FF000000"/>
        <rFont val="Calibri"/>
      </rPr>
      <t xml:space="preserve">Set the following UI path to </t>
    </r>
    <r>
      <rPr>
        <b/>
        <sz val="11"/>
        <color rgb="FF000000"/>
        <rFont val="Calibri"/>
      </rPr>
      <t>15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</si>
  <si>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</si>
  <si>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Types of password attacks include dictionary attacks (which attempt to use common words and phrases) and brute force attacks (which try every possible combination of characters). Also, threat actors sometimes try to obtain the account database so they can use tools to discover the accounts and passwords.</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</si>
  <si>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</si>
  <si>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</si>
  <si>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Medium-26.05</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</si>
  <si>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</si>
  <si>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</si>
  <si>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</si>
  <si>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This setting will enable the enforcement of longer and generally stronger passwords or passphrases where MFA is not in use.</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</si>
  <si>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</si>
  <si>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</si>
  <si>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</si>
  <si>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Medium-26.06</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</si>
  <si>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</si>
  <si>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</si>
  <si>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</si>
  <si>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Passwords that contain only alphanumeric characters are extremely easy to discover with several publicly available tools.</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</si>
  <si>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</si>
  <si>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workstations.</t>
    </r>
  </si>
  <si>
    <t>Medium-26.07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</si>
  <si>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</si>
  <si>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</si>
  <si>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</si>
  <si>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Enabling this policy setting allows the operating system to store passwords in a weaker format that is much more susceptible to compromise and weakens your system security.</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</si>
  <si>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</si>
  <si>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t>Medium-26.08</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</si>
  <si>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</si>
  <si>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</si>
  <si>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</si>
  <si>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Blank passwords are a serious threat to computer security and should be forbidden through both organizational policy and suitable technical measures. In fact, the default settings for Active Directory domains require complex passwords of at least seven characters. However, if users with the ability to create new accounts bypass your domain-based password policies, they could create accounts with blank passwords. For example, a user could build a stand-alone computer, create one or more accounts with blank passwords, and then join the computer to the domain. The local accounts with blank passwords would still function. Anyone who knows the name of one of these unprotected accounts could then use it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</si>
  <si>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</si>
  <si>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t>Power management</t>
  </si>
  <si>
    <t>Medium-27.00</t>
  </si>
  <si>
    <r>
      <rPr>
        <b/>
        <sz val="11"/>
        <color rgb="FF003B5C"/>
        <rFont val="Calibri"/>
      </rPr>
      <t>Section overview: 'Power management'</t>
    </r>
  </si>
  <si>
    <r>
      <rPr>
        <sz val="11"/>
        <color rgb="FF000000"/>
        <rFont val="Calibri"/>
      </rPr>
      <t xml:space="preserve">Configure the individual settings listed in recommendations </t>
    </r>
    <r>
      <rPr>
        <b/>
        <sz val="11"/>
        <color rgb="FF000000"/>
        <rFont val="Calibri"/>
      </rPr>
      <t>Medium-27.01</t>
    </r>
    <r>
      <rPr>
        <sz val="11"/>
        <color rgb="FF000000"/>
        <rFont val="Calibri"/>
      </rPr>
      <t xml:space="preserve"> through </t>
    </r>
    <r>
      <rPr>
        <b/>
        <sz val="11"/>
        <color rgb="FF000000"/>
        <rFont val="Calibri"/>
      </rPr>
      <t>Medium-27.14</t>
    </r>
    <r>
      <rPr>
        <sz val="11"/>
        <color rgb="FF000000"/>
        <rFont val="Calibri"/>
      </rPr>
      <t>.</t>
    </r>
  </si>
  <si>
    <r>
      <rPr>
        <sz val="11"/>
        <color rgb="FF000000"/>
        <rFont val="Calibri"/>
      </rPr>
      <t>One method of reducing power usage by workstations is to enter a sleep, hibernation or hybrid sleep state after a pre-defined period of inactivity. When a workstation enters a sleep state it maintains the contents of memory while powering down the rest of the workstation; with hibernation or hybrid sleep, it writes the contents of memory to the hard drive in a hibernation file. When this occurs, sensitive information such as encryption keys could either be retained in memory or written to the hard drive. Malicious actors with physical access to the workstation and either the memory or hard drive can recover the sensitive information using forensic techniques. To reduce this risk, sleep, hibernation and hybrid sleep states should be disabled.</t>
    </r>
  </si>
  <si>
    <t>Medium-27.01</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</si>
  <si>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</si>
  <si>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</si>
  <si>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</si>
  <si>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System sleep states (S1-S3) keep power to the RAM which may contain secrets, such as the BitLocker volume encryption key. A threat actor finding a computer in sleep states (S1-S3) could directly attack the memory of the computer and gain access to the secrets through techniques such as RAM reminisce and direct memory access (DMA).</t>
    </r>
  </si>
  <si>
    <r>
      <rPr>
        <sz val="11"/>
        <color rgb="FF000000"/>
        <rFont val="Calibri"/>
      </rPr>
      <t>Users will not be able to use Sleep (S3) while on battery,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</si>
  <si>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HKLM\SOFTWARE\Policies\Microsoft\Power\PowerSettings\abfc2519-3608-4c2a-94ea-171b0ed546ab:DCSettingIndex</t>
    </r>
    <r>
      <rPr>
        <sz val="11"/>
        <color rgb="FF006096"/>
        <rFont val="Roboto Condensed"/>
      </rPr>
      <t xml:space="preserve">
</t>
    </r>
  </si>
  <si>
    <r>
      <rPr>
        <sz val="11"/>
        <color rgb="FF000000"/>
        <rFont val="Calibri"/>
      </rPr>
      <t>Enabled. (Windows is allowed to use standby states when putting the computer in a sleep state.)</t>
    </r>
  </si>
  <si>
    <t>Medium-27.02</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</si>
  <si>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</si>
  <si>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</si>
  <si>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Users will not be able to use Sleep (S3) while plugged in,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</si>
  <si>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HKLM\SOFTWARE\Policies\Microsoft\Power\PowerSettings\abfc2519-3608-4c2a-94ea-171b0ed546ab:ACSettingIndex</t>
    </r>
    <r>
      <rPr>
        <sz val="11"/>
        <color rgb="FF006096"/>
        <rFont val="Roboto Condensed"/>
      </rPr>
      <t xml:space="preserve">
</t>
    </r>
  </si>
  <si>
    <t>Medium-27.03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</si>
  <si>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</si>
  <si>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</si>
  <si>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</si>
  <si>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ensures that anyone who wakes an unattended computer from sleep state will have to provide logon credentials before they can access the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</si>
  <si>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</si>
  <si>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</si>
  <si>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Medium-27.04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</si>
  <si>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</si>
  <si>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</si>
  <si>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</si>
  <si>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</si>
  <si>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Medium-27.05</t>
  </si>
  <si>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</si>
  <si>
    <r>
      <rPr>
        <sz val="11"/>
        <color rgb="FF000000"/>
        <rFont val="Calibri"/>
      </rPr>
      <t xml:space="preserve">Set the following UI path to </t>
    </r>
    <r>
      <rPr>
        <b/>
        <sz val="11"/>
        <color rgb="FF000000"/>
        <rFont val="Calibri"/>
      </rPr>
      <t>Enabled: System Hibernate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hibernate timeout (on battery)</t>
    </r>
    <r>
      <rPr>
        <sz val="11"/>
        <color rgb="FF006096"/>
        <rFont val="Roboto Condensed"/>
      </rPr>
      <t xml:space="preserve">
</t>
    </r>
  </si>
  <si>
    <t>Medium-27.06</t>
  </si>
  <si>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Hibernate Timeout (seconds): 0</t>
    </r>
    <r>
      <rPr>
        <sz val="11"/>
        <color rgb="FF000000"/>
        <rFont val="Calibri"/>
      </rPr>
      <t>'</t>
    </r>
  </si>
  <si>
    <r>
      <rPr>
        <sz val="11"/>
        <color rgb="FF000000"/>
        <rFont val="Calibri"/>
      </rPr>
      <t xml:space="preserve">Set the following UI path to </t>
    </r>
    <r>
      <rPr>
        <b/>
        <sz val="11"/>
        <color rgb="FF000000"/>
        <rFont val="Calibri"/>
      </rPr>
      <t>Enabled: System Hibernate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hibernate timeout (plugged in)</t>
    </r>
    <r>
      <rPr>
        <sz val="11"/>
        <color rgb="FF006096"/>
        <rFont val="Roboto Condensed"/>
      </rPr>
      <t xml:space="preserve">
</t>
    </r>
  </si>
  <si>
    <t>Medium-27.07</t>
  </si>
  <si>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</si>
  <si>
    <r>
      <rPr>
        <sz val="11"/>
        <color rgb="FF000000"/>
        <rFont val="Calibri"/>
      </rPr>
      <t xml:space="preserve">Set the following UI path to </t>
    </r>
    <r>
      <rPr>
        <b/>
        <sz val="11"/>
        <color rgb="FF000000"/>
        <rFont val="Calibri"/>
      </rPr>
      <t>Enabled: System Sleep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sleep timeout (on battery)</t>
    </r>
    <r>
      <rPr>
        <sz val="11"/>
        <color rgb="FF006096"/>
        <rFont val="Roboto Condensed"/>
      </rPr>
      <t xml:space="preserve">
</t>
    </r>
  </si>
  <si>
    <t>Medium-27.08</t>
  </si>
  <si>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System Sleep Timeout (seconds): 0</t>
    </r>
    <r>
      <rPr>
        <sz val="11"/>
        <color rgb="FF000000"/>
        <rFont val="Calibri"/>
      </rPr>
      <t>'</t>
    </r>
  </si>
  <si>
    <r>
      <rPr>
        <sz val="11"/>
        <color rgb="FF000000"/>
        <rFont val="Calibri"/>
      </rPr>
      <t xml:space="preserve">Set the following UI path to </t>
    </r>
    <r>
      <rPr>
        <b/>
        <sz val="11"/>
        <color rgb="FF000000"/>
        <rFont val="Calibri"/>
      </rPr>
      <t>Enabled: System Sleep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sleep timeout (plugged in)</t>
    </r>
    <r>
      <rPr>
        <sz val="11"/>
        <color rgb="FF006096"/>
        <rFont val="Roboto Condensed"/>
      </rPr>
      <t xml:space="preserve">
</t>
    </r>
  </si>
  <si>
    <t>Medium-27.09</t>
  </si>
  <si>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</si>
  <si>
    <r>
      <rPr>
        <sz val="11"/>
        <color rgb="FF000000"/>
        <rFont val="Calibri"/>
      </rPr>
      <t xml:space="preserve">Set the following UI path to </t>
    </r>
    <r>
      <rPr>
        <b/>
        <sz val="11"/>
        <color rgb="FF000000"/>
        <rFont val="Calibri"/>
      </rPr>
      <t>Enabled: Unattended Sleep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unattended sleep timeout (on battery)</t>
    </r>
    <r>
      <rPr>
        <sz val="11"/>
        <color rgb="FF006096"/>
        <rFont val="Roboto Condensed"/>
      </rPr>
      <t xml:space="preserve">
</t>
    </r>
  </si>
  <si>
    <t>Medium-27.10</t>
  </si>
  <si>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Unattended Sleep Timeout (seconds): 0</t>
    </r>
    <r>
      <rPr>
        <sz val="11"/>
        <color rgb="FF000000"/>
        <rFont val="Calibri"/>
      </rPr>
      <t>'</t>
    </r>
  </si>
  <si>
    <r>
      <rPr>
        <sz val="11"/>
        <color rgb="FF000000"/>
        <rFont val="Calibri"/>
      </rPr>
      <t xml:space="preserve">Set the following UI path to </t>
    </r>
    <r>
      <rPr>
        <b/>
        <sz val="11"/>
        <color rgb="FF000000"/>
        <rFont val="Calibri"/>
      </rPr>
      <t>Enabled: Unattended Sleep Timeout (seconds):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unattended sleep timeout (plugged in)</t>
    </r>
    <r>
      <rPr>
        <sz val="11"/>
        <color rgb="FF006096"/>
        <rFont val="Roboto Condensed"/>
      </rPr>
      <t xml:space="preserve">
</t>
    </r>
  </si>
  <si>
    <t>Medium-27.11</t>
  </si>
  <si>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</si>
  <si>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Settings\Turn off hybrid sleep (on battery)</t>
    </r>
    <r>
      <rPr>
        <sz val="11"/>
        <color rgb="FF006096"/>
        <rFont val="Roboto Condensed"/>
      </rPr>
      <t xml:space="preserve">
</t>
    </r>
  </si>
  <si>
    <t>Medium-27.12</t>
  </si>
  <si>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</si>
  <si>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Settings\Turn off hybrid sleep (plugged in)</t>
    </r>
    <r>
      <rPr>
        <sz val="11"/>
        <color rgb="FF006096"/>
        <rFont val="Roboto Condensed"/>
      </rPr>
      <t xml:space="preserve">
</t>
    </r>
  </si>
  <si>
    <t>Medium-27.13</t>
  </si>
  <si>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</si>
  <si>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Explorer\Show hibernate in the power options menu</t>
    </r>
    <r>
      <rPr>
        <sz val="11"/>
        <color rgb="FF006096"/>
        <rFont val="Roboto Condensed"/>
      </rPr>
      <t xml:space="preserve">
</t>
    </r>
  </si>
  <si>
    <t>Medium-27.14</t>
  </si>
  <si>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</si>
  <si>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Explorer\Show sleep in the power options menu</t>
    </r>
    <r>
      <rPr>
        <sz val="11"/>
        <color rgb="FF006096"/>
        <rFont val="Roboto Condensed"/>
      </rPr>
      <t xml:space="preserve">
</t>
    </r>
  </si>
  <si>
    <t>PowerShell</t>
  </si>
  <si>
    <t>Medium-28.00</t>
  </si>
  <si>
    <r>
      <rPr>
        <b/>
        <sz val="11"/>
        <color rgb="FF003B5C"/>
        <rFont val="Calibri"/>
      </rPr>
      <t>Section overview: 'PowerShell'</t>
    </r>
  </si>
  <si>
    <r>
      <rPr>
        <sz val="11"/>
        <color rgb="FF000000"/>
        <rFont val="Calibri"/>
      </rPr>
      <t xml:space="preserve">Configure the individual settings listed in recommendations </t>
    </r>
    <r>
      <rPr>
        <b/>
        <sz val="11"/>
        <color rgb="FF000000"/>
        <rFont val="Calibri"/>
      </rPr>
      <t>Medium-28.01</t>
    </r>
    <r>
      <rPr>
        <sz val="11"/>
        <color rgb="FF000000"/>
        <rFont val="Calibri"/>
      </rPr>
      <t xml:space="preserve"> through </t>
    </r>
    <r>
      <rPr>
        <b/>
        <sz val="11"/>
        <color rgb="FF000000"/>
        <rFont val="Calibri"/>
      </rPr>
      <t>Medium-28.04</t>
    </r>
    <r>
      <rPr>
        <sz val="11"/>
        <color rgb="FF000000"/>
        <rFont val="Calibri"/>
      </rPr>
      <t>.</t>
    </r>
  </si>
  <si>
    <r>
      <rPr>
        <sz val="11"/>
        <color rgb="FF000000"/>
        <rFont val="Calibri"/>
      </rPr>
      <t>Allowing any PowerShell script to execute exposes a workstation to the risk that a malicious script may be unwittingly executed by a user. To reduce this risk, users should not have the ability to execute PowerShell scripts. However, if using PowerShell scripts is an essential business requirement, only signed scripts should be allowed to execute.</t>
    </r>
    <r>
      <rPr>
        <sz val="11"/>
        <color rgb="FF000000"/>
        <rFont val="Calibri"/>
      </rPr>
      <t xml:space="preserve">
</t>
    </r>
    <r>
      <rPr>
        <sz val="11"/>
        <color rgb="FF000000"/>
        <rFont val="Calibri"/>
      </rPr>
      <t xml:space="preserve">For more information see the Securing PowerShell in the enterprise publication </t>
    </r>
    <r>
      <rPr>
        <sz val="11"/>
        <color rgb="FF0000FF"/>
        <rFont val="Calibri"/>
      </rPr>
      <t>(https://www.cyber.gov.au/resources-business-and-government/maintaining-devices-and-systems/system-hardening-and-administration/system-hardening/securing-powershell-in-the-enterprise)</t>
    </r>
    <r>
      <rPr>
        <sz val="11"/>
        <color rgb="FF000000"/>
        <rFont val="Calibri"/>
      </rPr>
      <t>.</t>
    </r>
  </si>
  <si>
    <t>Medium-28.01</t>
  </si>
  <si>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Module Names: *</t>
    </r>
    <r>
      <rPr>
        <sz val="11"/>
        <color rgb="FF000000"/>
        <rFont val="Calibri"/>
      </rPr>
      <t>'</t>
    </r>
  </si>
  <si>
    <r>
      <rPr>
        <sz val="11"/>
        <color rgb="FF000000"/>
        <rFont val="Calibri"/>
      </rPr>
      <t xml:space="preserve">Set the following UI path to </t>
    </r>
    <r>
      <rPr>
        <b/>
        <sz val="11"/>
        <color rgb="FF000000"/>
        <rFont val="Calibri"/>
      </rPr>
      <t>Enabled: Module Names: *</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Module Logging</t>
    </r>
    <r>
      <rPr>
        <sz val="11"/>
        <color rgb="FF006096"/>
        <rFont val="Roboto Condensed"/>
      </rPr>
      <t xml:space="preserve">
</t>
    </r>
  </si>
  <si>
    <t>Medium-28.02</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</si>
  <si>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</si>
  <si>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</si>
  <si>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</si>
  <si>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Logs of PowerShell script input can be very valuable when performing forensic investigations of PowerShell attack incidents to determine what occurred.</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</si>
  <si>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</si>
  <si>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</si>
  <si>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</si>
  <si>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Medium-28.03</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</si>
  <si>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 Transcript output directory: &lt;organisation defined&gt;</t>
    </r>
    <r>
      <rPr>
        <sz val="11"/>
        <color rgb="FF000000"/>
        <rFont val="Calibri"/>
      </rPr>
      <t>'</t>
    </r>
  </si>
  <si>
    <r>
      <rPr>
        <sz val="11"/>
        <color rgb="FF000000"/>
        <rFont val="Calibri"/>
      </rPr>
      <t xml:space="preserve">Set the following UI path to </t>
    </r>
    <r>
      <rPr>
        <b/>
        <sz val="11"/>
        <color rgb="FF000000"/>
        <rFont val="Calibri"/>
      </rPr>
      <t>Enabled: Transcript output directory: &lt;organisation defined&gt;</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</si>
  <si>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</si>
  <si>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PowerShell transcript input can be very valuable when performing forensic investigations of PowerShell attack incidents to determine what occurred.</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</si>
  <si>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</si>
  <si>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</si>
  <si>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</si>
  <si>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Medium-28.04</t>
  </si>
  <si>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</si>
  <si>
    <r>
      <rPr>
        <sz val="11"/>
        <color rgb="FF000000"/>
        <rFont val="Calibri"/>
      </rPr>
      <t xml:space="preserve">Set the following UI path to </t>
    </r>
    <r>
      <rPr>
        <b/>
        <sz val="11"/>
        <color rgb="FF000000"/>
        <rFont val="Calibri"/>
      </rPr>
      <t>Enabled: Allow only signed scripts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Script Execution</t>
    </r>
    <r>
      <rPr>
        <sz val="11"/>
        <color rgb="FF006096"/>
        <rFont val="Roboto Condensed"/>
      </rPr>
      <t xml:space="preserve">
</t>
    </r>
  </si>
  <si>
    <t>Printers</t>
  </si>
  <si>
    <t>Medium-29.00</t>
  </si>
  <si>
    <r>
      <rPr>
        <b/>
        <sz val="11"/>
        <color rgb="FF003B5C"/>
        <rFont val="Calibri"/>
      </rPr>
      <t>Section overview: 'Printers'</t>
    </r>
  </si>
  <si>
    <r>
      <rPr>
        <sz val="11"/>
        <color rgb="FF000000"/>
        <rFont val="Calibri"/>
      </rPr>
      <t xml:space="preserve">Configure the individual settings listed in recommendations </t>
    </r>
    <r>
      <rPr>
        <b/>
        <sz val="11"/>
        <color rgb="FF000000"/>
        <rFont val="Calibri"/>
      </rPr>
      <t>Medium-29.01</t>
    </r>
    <r>
      <rPr>
        <sz val="11"/>
        <color rgb="FF000000"/>
        <rFont val="Calibri"/>
      </rPr>
      <t xml:space="preserve"> through </t>
    </r>
    <r>
      <rPr>
        <b/>
        <sz val="11"/>
        <color rgb="FF000000"/>
        <rFont val="Calibri"/>
      </rPr>
      <t>Medium-29.10</t>
    </r>
    <r>
      <rPr>
        <sz val="11"/>
        <color rgb="FF000000"/>
        <rFont val="Calibri"/>
      </rPr>
      <t>.</t>
    </r>
  </si>
  <si>
    <r>
      <rPr>
        <sz val="11"/>
        <color rgb="FF000000"/>
        <rFont val="Calibri"/>
      </rPr>
      <t>Malicious actors may attempt to install malicious printer drivers in order to introduce vulnerabilities to systems. Alternatively, malicious actors may look to exploit weaknesses in the Print Spooler. To reduce this risk, all printer driver installations should be strictly controlled and the Print Spooler hardened.</t>
    </r>
  </si>
  <si>
    <t>Medium-29.01</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</si>
  <si>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</si>
  <si>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</si>
  <si>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</si>
  <si>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security bypass vulnerability (</t>
    </r>
    <r>
      <rPr>
        <sz val="11"/>
        <color rgb="FF000000"/>
        <rFont val="Calibri"/>
      </rPr>
      <t xml:space="preserve">
</t>
    </r>
    <r>
      <rPr>
        <sz val="11"/>
        <color rgb="FF000000"/>
        <rFont val="Calibri"/>
      </rPr>
      <t>CVE-2021-1678 | Windows Print Spooler Spoofing Vulnerability</t>
    </r>
    <r>
      <rPr>
        <sz val="11"/>
        <color rgb="FF000000"/>
        <rFont val="Calibri"/>
      </rPr>
      <t xml:space="preserve">
</t>
    </r>
    <r>
      <rPr>
        <sz val="11"/>
        <color rgb="FF000000"/>
        <rFont val="Calibri"/>
      </rPr>
      <t>) exists in the way the Printer RPC binding handles authentication for the remote Winspool interface. Enabling the RPC packet level privacy setting for incoming connections enforces the server-side to increase the authentication level to minimize this vulnerability.</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</si>
  <si>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</si>
  <si>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</si>
  <si>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</si>
  <si>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Medium-29.02</t>
  </si>
  <si>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</si>
  <si>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Computer Configuration\Policies\Administrative Templates\Printers\Require IPPS for IPP printers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</si>
  <si>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whether communication with printers using the Microsoft Internet Printing Protocol (IPP) Class Driver uses IPPS. IPPS uses TLS for secure communication.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</si>
  <si>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prevent interception or tampering with printer data, IPPS encrypts all communication between the client and the printer.</t>
    </r>
  </si>
  <si>
    <r>
      <rPr>
        <sz val="11"/>
        <color rgb="FF000000"/>
        <rFont val="Calibri"/>
      </rPr>
      <t>IPP printers which use self-signed or locally issued certificates will be affected and may not function properly. Any attempts to install non-compliant IPP printers will fail and generate an event in the Application log.</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</si>
  <si>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NT\Printers\IPP:RequireIpps</t>
    </r>
    <r>
      <rPr>
        <sz val="11"/>
        <color rgb="FF006096"/>
        <rFont val="Roboto Condensed"/>
      </rPr>
      <t xml:space="preserve">
</t>
    </r>
  </si>
  <si>
    <r>
      <rPr>
        <sz val="11"/>
        <color rgb="FF000000"/>
        <rFont val="Calibri"/>
      </rPr>
      <t>Disabled. (Allow the installation of IPP printers which do not support IPPS.)</t>
    </r>
  </si>
  <si>
    <t>Medium-29.03</t>
  </si>
  <si>
    <r>
      <rPr>
        <sz val="11"/>
        <rFont val="Calibri"/>
      </rPr>
      <t xml:space="preserve">Ensure </t>
    </r>
    <r>
      <rPr>
        <sz val="11"/>
        <color rgb="FF000000"/>
        <rFont val="Calibri"/>
      </rPr>
      <t>'</t>
    </r>
    <r>
      <rPr>
        <b/>
        <sz val="11"/>
        <color rgb="FF000000"/>
        <rFont val="Calibri"/>
      </rPr>
      <t>Set TLS/SSL security policy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</si>
  <si>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common 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</si>
  <si>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the TLS/SSL security policy (WINHTTP_OPTION_SECURITY_FLAGS) for printers using the Microsoft Internet Printing Protocol (IPP) Class Driver.</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</si>
  <si>
    <r>
      <rPr>
        <sz val="11"/>
        <color rgb="FF000000"/>
        <rFont val="Calibri"/>
      </rPr>
      <t>Certificate validation helps prevent spoofed or unauthorized printers, reduces the risk of credential theft, and protects sensitive print jobs from being redirected.</t>
    </r>
  </si>
  <si>
    <r>
      <rPr>
        <sz val="11"/>
        <color rgb="FF000000"/>
        <rFont val="Calibri"/>
      </rPr>
      <t>The system enforces certificate validation and blocks printing whenever certificate errors are detected.</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</si>
  <si>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NT\Printers\IPP:SecurityFlagsBlockCertCNInvalid</t>
    </r>
    <r>
      <rPr>
        <sz val="11"/>
        <color rgb="FF006096"/>
        <rFont val="Roboto Condensed"/>
      </rPr>
      <t xml:space="preserve">
</t>
    </r>
  </si>
  <si>
    <r>
      <rPr>
        <sz val="11"/>
        <color rgb="FF000000"/>
        <rFont val="Calibri"/>
      </rPr>
      <t>Disabled. (Allow invalid certificate common name (unchecked).)</t>
    </r>
  </si>
  <si>
    <t>Medium-29.04</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</si>
  <si>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Options: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</si>
  <si>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Options: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</si>
  <si>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</si>
  <si>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This setting prevents non-administrators from redirecting files within the print spooler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</si>
  <si>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</si>
  <si>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</si>
  <si>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Medium-29.05</t>
  </si>
  <si>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Default</t>
    </r>
    <r>
      <rPr>
        <sz val="11"/>
        <color rgb="FF000000"/>
        <rFont val="Calibri"/>
      </rPr>
      <t>'</t>
    </r>
  </si>
  <si>
    <r>
      <rPr>
        <sz val="11"/>
        <color rgb="FF000000"/>
        <rFont val="Calibri"/>
      </rPr>
      <t xml:space="preserve">Set the following UI path to </t>
    </r>
    <r>
      <rPr>
        <b/>
        <sz val="11"/>
        <color rgb="FF000000"/>
        <rFont val="Calibri"/>
      </rPr>
      <t>Enabled: Protocol: RPC over TCP; Authentication: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</si>
  <si>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</si>
  <si>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sz val="11"/>
        <color rgb="FF000000"/>
        <rFont val="Calibri"/>
      </rPr>
      <t>This setting prevents the use of named pipes for RPC connections to the print spooler and forces the use of TCP which is a more secure communication method.</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</si>
  <si>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</si>
  <si>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</si>
  <si>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</si>
  <si>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Medium-29.06</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</si>
  <si>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Protocol: RPC over TCP; Authentication: Negotiate</t>
    </r>
    <r>
      <rPr>
        <sz val="11"/>
        <color rgb="FF000000"/>
        <rFont val="Calibri"/>
      </rPr>
      <t>'</t>
    </r>
  </si>
  <si>
    <r>
      <rPr>
        <sz val="11"/>
        <color rgb="FF000000"/>
        <rFont val="Calibri"/>
      </rPr>
      <t xml:space="preserve">Set the following UI path to </t>
    </r>
    <r>
      <rPr>
        <b/>
        <sz val="11"/>
        <color rgb="FF000000"/>
        <rFont val="Calibri"/>
      </rPr>
      <t>Enabled: Protocol: RPC over TCP; Authentication: Negotiate</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</si>
  <si>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</si>
  <si>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This setting can prevent the use of named pipes for RPC connections to the print spooler and forces the use of TCP which is a more secure communication method.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</si>
  <si>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</si>
  <si>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</si>
  <si>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Medium-29.07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</si>
  <si>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port: 0</t>
    </r>
    <r>
      <rPr>
        <sz val="11"/>
        <color rgb="FF000000"/>
        <rFont val="Calibri"/>
      </rPr>
      <t>'</t>
    </r>
  </si>
  <si>
    <r>
      <rPr>
        <sz val="11"/>
        <color rgb="FF000000"/>
        <rFont val="Calibri"/>
      </rPr>
      <t xml:space="preserve">Set the following UI path to </t>
    </r>
    <r>
      <rPr>
        <b/>
        <sz val="11"/>
        <color rgb="FF000000"/>
        <rFont val="Calibri"/>
      </rPr>
      <t>Enabled: RPC over TCP port: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</si>
  <si>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</si>
  <si>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Using dynamic ports for printing makes it more difficult for a threat actor to know which port is being used and therefore which port to attack.</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</si>
  <si>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</si>
  <si>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</si>
  <si>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</si>
  <si>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Medium-29.08</t>
  </si>
  <si>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</si>
  <si>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printer driver installation to Administrators</t>
    </r>
    <r>
      <rPr>
        <sz val="11"/>
        <color rgb="FF006096"/>
        <rFont val="Roboto Condensed"/>
      </rPr>
      <t xml:space="preserve">
</t>
    </r>
  </si>
  <si>
    <t>Medium-29.09</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</si>
  <si>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</si>
  <si>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</si>
  <si>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</si>
  <si>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A Windows Print Spooler Remote Code Execution Vulnerability (</t>
    </r>
    <r>
      <rPr>
        <sz val="11"/>
        <color rgb="FF000000"/>
        <rFont val="Calibri"/>
      </rPr>
      <t xml:space="preserve">
</t>
    </r>
    <r>
      <rPr>
        <sz val="11"/>
        <color rgb="FF000000"/>
        <rFont val="Calibri"/>
      </rPr>
      <t>CVE-2021-36958</t>
    </r>
    <r>
      <rPr>
        <sz val="11"/>
        <color rgb="FF000000"/>
        <rFont val="Calibri"/>
      </rPr>
      <t xml:space="preserve">
</t>
    </r>
    <r>
      <rPr>
        <sz val="11"/>
        <color rgb="FF000000"/>
        <rFont val="Calibri"/>
      </rPr>
      <t>) exists when the Windows Print Spooler service improperly performs privileged file operations. A threat actor who successfully exploits this vulnerability could run arbitrary code with SYSTEM privileges and then install programs; view, change, or delete data; or create new accounts with full user rights.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</si>
  <si>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</si>
  <si>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</si>
  <si>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Medium-29.10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</si>
  <si>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</si>
  <si>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</si>
  <si>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</si>
  <si>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might download drivers that include malicious code.</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</si>
  <si>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</si>
  <si>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</si>
  <si>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</si>
  <si>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Registry editing tools</t>
  </si>
  <si>
    <t>Medium-30.00</t>
  </si>
  <si>
    <r>
      <rPr>
        <b/>
        <sz val="11"/>
        <color rgb="FF003B5C"/>
        <rFont val="Calibri"/>
      </rPr>
      <t>Section overview: 'Registry editing tools'</t>
    </r>
  </si>
  <si>
    <r>
      <rPr>
        <sz val="11"/>
        <color rgb="FF000000"/>
        <rFont val="Calibri"/>
      </rPr>
      <t xml:space="preserve">Configure the setting listed in recommendation </t>
    </r>
    <r>
      <rPr>
        <b/>
        <sz val="11"/>
        <color rgb="FF000000"/>
        <rFont val="Calibri"/>
      </rPr>
      <t>Medium-30.01</t>
    </r>
    <r>
      <rPr>
        <sz val="11"/>
        <color rgb="FF000000"/>
        <rFont val="Calibri"/>
      </rPr>
      <t>.</t>
    </r>
  </si>
  <si>
    <r>
      <rPr>
        <sz val="11"/>
        <color rgb="FF000000"/>
        <rFont val="Calibri"/>
      </rPr>
      <t>One method for malicious code to maintain persistence is to use administrative privileges to modify the registry (as standard privileges only allow viewing of the registry). To reduce this risk, users should not have the ability to modify the registry using registry editing tools (i.e. regedit) or to make silent changes to the registry (i.e. using .reg files).</t>
    </r>
  </si>
  <si>
    <t>Medium-30.01</t>
  </si>
  <si>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Disable regedit from running silently: Yes</t>
    </r>
    <r>
      <rPr>
        <sz val="11"/>
        <color rgb="FF000000"/>
        <rFont val="Calibri"/>
      </rPr>
      <t>'</t>
    </r>
  </si>
  <si>
    <r>
      <rPr>
        <sz val="11"/>
        <color rgb="FF000000"/>
        <rFont val="Calibri"/>
      </rPr>
      <t xml:space="preserve">Set the following UI path to </t>
    </r>
    <r>
      <rPr>
        <b/>
        <sz val="11"/>
        <color rgb="FF000000"/>
        <rFont val="Calibri"/>
      </rPr>
      <t>Enabled: Disable regedit from running silently: Yes</t>
    </r>
    <r>
      <rPr>
        <sz val="11"/>
        <color rgb="FF000000"/>
        <rFont val="Calibri"/>
      </rPr>
      <t>:</t>
    </r>
    <r>
      <rPr>
        <sz val="11"/>
        <color rgb="FF000000"/>
        <rFont val="Calibri"/>
      </rPr>
      <t xml:space="preserve">
</t>
    </r>
    <r>
      <rPr>
        <sz val="11"/>
        <color rgb="FF006096"/>
        <rFont val="Roboto Condensed"/>
      </rPr>
      <t>User Configuration\Policies\Administrative Templates\System\Prevent access to registry editing tools</t>
    </r>
    <r>
      <rPr>
        <sz val="11"/>
        <color rgb="FF006096"/>
        <rFont val="Roboto Condensed"/>
      </rPr>
      <t xml:space="preserve">
</t>
    </r>
  </si>
  <si>
    <t>Remote Assistance</t>
  </si>
  <si>
    <t>Medium-31.00</t>
  </si>
  <si>
    <r>
      <rPr>
        <b/>
        <sz val="11"/>
        <color rgb="FF003B5C"/>
        <rFont val="Calibri"/>
      </rPr>
      <t>Section overview: 'Remote Assistance'</t>
    </r>
  </si>
  <si>
    <r>
      <rPr>
        <sz val="11"/>
        <color rgb="FF000000"/>
        <rFont val="Calibri"/>
      </rPr>
      <t xml:space="preserve">Configure the individual settings listed in recommendations </t>
    </r>
    <r>
      <rPr>
        <b/>
        <sz val="11"/>
        <color rgb="FF000000"/>
        <rFont val="Calibri"/>
      </rPr>
      <t>Medium-31.01</t>
    </r>
    <r>
      <rPr>
        <sz val="11"/>
        <color rgb="FF000000"/>
        <rFont val="Calibri"/>
      </rPr>
      <t xml:space="preserve"> and </t>
    </r>
    <r>
      <rPr>
        <b/>
        <sz val="11"/>
        <color rgb="FF000000"/>
        <rFont val="Calibri"/>
      </rPr>
      <t>Medium-31.02</t>
    </r>
    <r>
      <rPr>
        <sz val="11"/>
        <color rgb="FF000000"/>
        <rFont val="Calibri"/>
      </rPr>
      <t>.</t>
    </r>
  </si>
  <si>
    <r>
      <rPr>
        <sz val="11"/>
        <color rgb="FF000000"/>
        <rFont val="Calibri"/>
      </rPr>
      <t>While Remote Assistance can be a useful business tool to allow system administrators to remotely administer workstations, it can also pose a risk. When a user has a problem with their workstation they can generate a Remote Assistance invitation. This invitation authorises anyone that has access to it to remotely control the workstation that issued the invitation. If malicious actors manage to intercept an invitation they will be able to use it to access the user's workstation. To reduce this risk, Remote Assistance should be disabled.</t>
    </r>
  </si>
  <si>
    <t>Medium-31.01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</si>
  <si>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</si>
  <si>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</si>
  <si>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</si>
  <si>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user might be tricked and accept an unsolicited Remote Assistance offer from a threat actor.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</si>
  <si>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</si>
  <si>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</si>
  <si>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Medium-31.02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</si>
  <si>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</si>
  <si>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</si>
  <si>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</si>
  <si>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There is slight risk that a rogue administrator will gain access to another user's desktop session, however, they cannot connect to a user's computer unannounced or control it without permission from the user. When an expert tries to connect, the user can still choose to deny the connection or give the expert view-only privileges. The user must explicitly click the Yes button to allow the expert to remotely control the workstation.</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</si>
  <si>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</si>
  <si>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</si>
  <si>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</si>
  <si>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Desktop Services</t>
  </si>
  <si>
    <t>Medium-32.00</t>
  </si>
  <si>
    <r>
      <rPr>
        <b/>
        <sz val="11"/>
        <color rgb="FF003B5C"/>
        <rFont val="Calibri"/>
      </rPr>
      <t>Section overview: 'Remote Desktop Services'</t>
    </r>
  </si>
  <si>
    <r>
      <rPr>
        <sz val="11"/>
        <color rgb="FF000000"/>
        <rFont val="Calibri"/>
      </rPr>
      <t xml:space="preserve">Configure the individual settings listed in recommendations </t>
    </r>
    <r>
      <rPr>
        <b/>
        <sz val="11"/>
        <color rgb="FF000000"/>
        <rFont val="Calibri"/>
      </rPr>
      <t>Medium-32.01</t>
    </r>
    <r>
      <rPr>
        <sz val="11"/>
        <color rgb="FF000000"/>
        <rFont val="Calibri"/>
      </rPr>
      <t xml:space="preserve"> through </t>
    </r>
    <r>
      <rPr>
        <b/>
        <sz val="11"/>
        <color rgb="FF000000"/>
        <rFont val="Calibri"/>
      </rPr>
      <t>Medium-32.14</t>
    </r>
    <r>
      <rPr>
        <sz val="11"/>
        <color rgb="FF000000"/>
        <rFont val="Calibri"/>
      </rPr>
      <t>.</t>
    </r>
  </si>
  <si>
    <r>
      <rPr>
        <sz val="11"/>
        <color rgb="FF000000"/>
        <rFont val="Calibri"/>
      </rPr>
      <t>While remote desktop access allows for the remote administration of workstations across a network, it also allows malicious actors to access other workstations once they have compromised an initial workstation and user's credentials. This risk can be compounded if malicious actors can compromise domain administrator credentials or common local administrator credentials. To reduce this risk, Remote Desktop Services should be configured in a manner that is as secure as possible and only for users for which it is explicitly required.</t>
    </r>
  </si>
  <si>
    <t>Medium-32.01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</si>
  <si>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</si>
  <si>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</si>
  <si>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</si>
  <si>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This setting is important to mitigate the CredSSP encryption oracle vulnerability, for which information was published by Microsoft on 03/13/2018 in</t>
    </r>
    <r>
      <rPr>
        <sz val="11"/>
        <color rgb="FF000000"/>
        <rFont val="Calibri"/>
      </rPr>
      <t xml:space="preserve">
</t>
    </r>
    <r>
      <rPr>
        <sz val="11"/>
        <color rgb="FF000000"/>
        <rFont val="Calibri"/>
      </rPr>
      <t>CVE-2018-0886 | CredSSP Remote Code Execution Vulnerability</t>
    </r>
    <r>
      <rPr>
        <sz val="11"/>
        <color rgb="FF000000"/>
        <rFont val="Calibri"/>
      </rPr>
      <t xml:space="preserve">
</t>
    </r>
    <r>
      <rPr>
        <sz val="11"/>
        <color rgb="FF000000"/>
        <rFont val="Calibri"/>
      </rPr>
      <t>. All versions of Windows from Windows Vista onwards are affected by this vulnerability, and will be compatible with this recommendation provided that they have been patched at least through May 2018 (or later).</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</si>
  <si>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</si>
  <si>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</si>
  <si>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</si>
  <si>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Medium-32.02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</si>
  <si>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</si>
  <si>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</si>
  <si>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</si>
  <si>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Restricted Admin Mode</t>
    </r>
    <r>
      <rPr>
        <sz val="11"/>
        <color rgb="FF000000"/>
        <rFont val="Calibri"/>
      </rPr>
      <t xml:space="preserve">
</t>
    </r>
    <r>
      <rPr>
        <sz val="11"/>
        <color rgb="FF000000"/>
        <rFont val="Calibri"/>
      </rPr>
      <t>was designed to help protect administrator accounts by ensuring that reusable credentials are not stored in memory on remote devices that could potentially be compromised.</t>
    </r>
    <r>
      <rPr>
        <sz val="11"/>
        <color rgb="FF000000"/>
        <rFont val="Calibri"/>
      </rPr>
      <t xml:space="preserve">
</t>
    </r>
    <r>
      <rPr>
        <sz val="11"/>
        <color rgb="FF000000"/>
        <rFont val="Calibri"/>
      </rPr>
      <t>Windows Defender Remote Credential Guard</t>
    </r>
    <r>
      <rPr>
        <sz val="11"/>
        <color rgb="FF000000"/>
        <rFont val="Calibri"/>
      </rPr>
      <t xml:space="preserve">
</t>
    </r>
    <r>
      <rPr>
        <sz val="11"/>
        <color rgb="FF000000"/>
        <rFont val="Calibri"/>
      </rPr>
      <t>helps you protect your credentials over a Remote Desktop connection by redirecting Kerberos requests back to the device that is requesting the connection.</t>
    </r>
    <r>
      <rPr>
        <sz val="11"/>
        <color rgb="FF000000"/>
        <rFont val="Calibri"/>
      </rPr>
      <t xml:space="preserve">
</t>
    </r>
    <r>
      <rPr>
        <sz val="11"/>
        <color rgb="FF000000"/>
        <rFont val="Calibri"/>
      </rPr>
      <t>Both features should be enabled and supported, as they reduce the chance of credential theft.</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</si>
  <si>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</si>
  <si>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</si>
  <si>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</si>
  <si>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Medium-32.03</t>
  </si>
  <si>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</si>
  <si>
    <r>
      <rPr>
        <sz val="11"/>
        <color rgb="FF000000"/>
        <rFont val="Calibri"/>
      </rPr>
      <t xml:space="preserve">Set the following UI path to </t>
    </r>
    <r>
      <rPr>
        <b/>
        <sz val="11"/>
        <color rgb="FF000000"/>
        <rFont val="Calibri"/>
      </rPr>
      <t>Enabled: Do not connect if authentication fails</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Client\Configure server authentication for client</t>
    </r>
    <r>
      <rPr>
        <sz val="11"/>
        <color rgb="FF006096"/>
        <rFont val="Roboto Condensed"/>
      </rPr>
      <t xml:space="preserve">
</t>
    </r>
  </si>
  <si>
    <t>Medium-32.04</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</si>
  <si>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</si>
  <si>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</si>
  <si>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</si>
  <si>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A threat actor with physical access to the computer may be able to break the protection guarding saved passwords. A threat actor who compromises a user's account and connects to their computer could use saved passwords to gain access to additional hosts.</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</si>
  <si>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</si>
  <si>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</si>
  <si>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</si>
  <si>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Medium-32.05</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</si>
  <si>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</si>
  <si>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Host\Connections\Allow users to connect remotely by using Remote Desktop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users to connect remotely using Terminal Services</t>
    </r>
    <r>
      <rPr>
        <sz val="11"/>
        <color rgb="FF000000"/>
        <rFont val="Calibri"/>
      </rPr>
      <t xml:space="preserve">, but it was renamed to </t>
    </r>
    <r>
      <rPr>
        <i/>
        <sz val="11"/>
        <color rgb="FF000000"/>
        <rFont val="Calibri"/>
      </rPr>
      <t>Allow users to connect remotely using Remote Desktop Services</t>
    </r>
    <r>
      <rPr>
        <sz val="11"/>
        <color rgb="FF000000"/>
        <rFont val="Calibri"/>
      </rPr>
      <t xml:space="preserve"> in the Windows 7 &amp; Server 2008 R2 Administrative Templates. It was finally renamed (again) to </t>
    </r>
    <r>
      <rPr>
        <i/>
        <sz val="11"/>
        <color rgb="FF000000"/>
        <rFont val="Calibri"/>
      </rPr>
      <t>Allow users to connect remotely by using Remote Desktop Services</t>
    </r>
    <r>
      <rPr>
        <sz val="11"/>
        <color rgb="FF000000"/>
        <rFont val="Calibri"/>
      </rPr>
      <t xml:space="preserve"> starting with the Windows 8.0 &amp; Server 2012 (non-R2) Administrative Templates.</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</si>
  <si>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</si>
  <si>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account with the</t>
    </r>
    <r>
      <rPr>
        <sz val="11"/>
        <color rgb="FF000000"/>
        <rFont val="Calibri"/>
      </rPr>
      <t xml:space="preserve">
</t>
    </r>
    <r>
      <rPr>
        <sz val="11"/>
        <color rgb="FF000000"/>
        <rFont val="Calibri"/>
      </rPr>
      <t>Allow log on through Remote Desktop Services</t>
    </r>
    <r>
      <rPr>
        <sz val="11"/>
        <color rgb="FF000000"/>
        <rFont val="Calibri"/>
      </rPr>
      <t xml:space="preserve">
</t>
    </r>
    <r>
      <rPr>
        <sz val="11"/>
        <color rgb="FF000000"/>
        <rFont val="Calibri"/>
      </rPr>
      <t>user right can log on to the remote console of the computer. If you do not restrict access to legitimate users who need to log on to the console of the computer, unauthorized users could download and execute malicious code to elevate their privileges.</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</si>
  <si>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</si>
  <si>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</si>
  <si>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</si>
  <si>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Medium-32.06</t>
  </si>
  <si>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</si>
  <si>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Clipboard redirection</t>
    </r>
    <r>
      <rPr>
        <sz val="11"/>
        <color rgb="FF006096"/>
        <rFont val="Roboto Condensed"/>
      </rPr>
      <t xml:space="preserve">
</t>
    </r>
  </si>
  <si>
    <t>Medium-32.07</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</si>
  <si>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</si>
  <si>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</si>
  <si>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</si>
  <si>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could be forwarded from the user's Remote Desktop Services session to the user's local computer without any direct user interaction. Malicious software already present on a compromised server would have direct and stealthy disk access to the user's local computer during the Remote Desktop session.</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</si>
  <si>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</si>
  <si>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</si>
  <si>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</si>
  <si>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Medium-32.08</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</si>
  <si>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</si>
  <si>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</si>
  <si>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</si>
  <si>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have the option to store both their username and password when they create a new Remote Desktop Connection shortcut. If the server that runs Remote Desktop Services allows users who have used this feature to log on to the server but not enter their password, then it is possible that a threat actor who has gained physical access to the user's computer could connect to a Remote Desktop Server through the Remote Desktop Connection shortcut, even though they may not know the user's password.</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</si>
  <si>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</si>
  <si>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</si>
  <si>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</si>
  <si>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Medium-32.09</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</si>
  <si>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</si>
  <si>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</si>
  <si>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</si>
  <si>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Allowing unsecure RPC communication can exposes the server to man in the middle attacks and data disclosure attacks.</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</si>
  <si>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</si>
  <si>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</si>
  <si>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</si>
  <si>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Medium-32.10</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</si>
  <si>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</si>
  <si>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</si>
  <si>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</si>
  <si>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The native RDP encryption is now considered a weak protocol, so enforcing the use of stronger TLS encryption for all RDP communications between clients and RD Session Host servers is preferred.</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</si>
  <si>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</si>
  <si>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</si>
  <si>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</si>
  <si>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Medium-32.11</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</si>
  <si>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</si>
  <si>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</si>
  <si>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</si>
  <si>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Requiring that user authentication occur earlier in the remote connection process enhances security.</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</si>
  <si>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</si>
  <si>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</si>
  <si>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</si>
  <si>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Medium-32.12</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</si>
  <si>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</si>
  <si>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</si>
  <si>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</si>
  <si>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If Remote Desktop client connections that use low level encryption are allowed, it is more likely that a threat actor will be able to decrypt any captured Remote Desktop Services network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</si>
  <si>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</si>
  <si>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</si>
  <si>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Medium-32.13</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</si>
  <si>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</si>
  <si>
    <r>
      <rPr>
        <sz val="11"/>
        <color rgb="FF000000"/>
        <rFont val="Calibri"/>
      </rPr>
      <t xml:space="preserve">Set the following UI path to </t>
    </r>
    <r>
      <rPr>
        <b/>
        <sz val="11"/>
        <color rgb="FF000000"/>
        <rFont val="Calibri"/>
      </rPr>
      <t>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</si>
  <si>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 is to be treated as a whitelist,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</si>
  <si>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Any account with the</t>
    </r>
    <r>
      <rPr>
        <sz val="11"/>
        <color rgb="FF000000"/>
        <rFont val="Calibri"/>
      </rPr>
      <t xml:space="preserve">
</t>
    </r>
    <r>
      <rPr>
        <sz val="11"/>
        <color rgb="FF000000"/>
        <rFont val="Calibri"/>
      </rPr>
      <t>Allow log on through Remote Desktop Services</t>
    </r>
    <r>
      <rPr>
        <sz val="11"/>
        <color rgb="FF000000"/>
        <rFont val="Calibri"/>
      </rPr>
      <t xml:space="preserve">
</t>
    </r>
    <r>
      <rPr>
        <sz val="11"/>
        <color rgb="FF000000"/>
        <rFont val="Calibri"/>
      </rPr>
      <t>user right can log on to the remote console of the computer. If you do not restrict this user right to legitimate users who need to log on to the console of the computer, unauthorized users could download and run malicious software to elevate their privileges.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</si>
  <si>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</si>
  <si>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</si>
  <si>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Medium-32.14</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</si>
  <si>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</si>
  <si>
    <r>
      <rPr>
        <sz val="11"/>
        <color rgb="FF000000"/>
        <rFont val="Calibri"/>
      </rPr>
      <t xml:space="preserve">Set the following UI path to include </t>
    </r>
    <r>
      <rPr>
        <b/>
        <sz val="11"/>
        <color rgb="FF000000"/>
        <rFont val="Calibri"/>
      </rPr>
      <t>Administrators, NT AUTHORITY\Local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</si>
  <si>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has been installed </t>
    </r>
    <r>
      <rPr>
        <sz val="11"/>
        <color rgb="FF0000FF"/>
        <rFont val="Calibri"/>
      </rPr>
      <t>(http://support.microsoft.com/kb/2871997)</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</si>
  <si>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Any account with the right to log on through Remote Desktop Services could be used to log on to the remote console of the computer. If this user right is not restricted to legitimate users who need to log on to the console of the computer, unauthorized users might download and run malicious software that elevates their privileges.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</si>
  <si>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</si>
  <si>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r>
      <rPr>
        <sz val="11"/>
        <color rgb="FF000000"/>
        <rFont val="Calibri"/>
      </rPr>
      <t>No one.</t>
    </r>
  </si>
  <si>
    <t>Remote Procedure Call</t>
  </si>
  <si>
    <t>Medium-33.00</t>
  </si>
  <si>
    <r>
      <rPr>
        <b/>
        <sz val="11"/>
        <color rgb="FF003B5C"/>
        <rFont val="Calibri"/>
      </rPr>
      <t>Section overview: 'Remote Procedure Call'</t>
    </r>
  </si>
  <si>
    <r>
      <rPr>
        <sz val="11"/>
        <color rgb="FF000000"/>
        <rFont val="Calibri"/>
      </rPr>
      <t xml:space="preserve">Configure the setting listed in recommendation </t>
    </r>
    <r>
      <rPr>
        <b/>
        <sz val="11"/>
        <color rgb="FF000000"/>
        <rFont val="Calibri"/>
      </rPr>
      <t>Medium-33.01</t>
    </r>
    <r>
      <rPr>
        <sz val="11"/>
        <color rgb="FF000000"/>
        <rFont val="Calibri"/>
      </rPr>
      <t>.</t>
    </r>
  </si>
  <si>
    <r>
      <rPr>
        <sz val="11"/>
        <color rgb="FF000000"/>
        <rFont val="Calibri"/>
      </rPr>
      <t>Remote Procedure Call (RPC) is a technique used for facilitating client and server application communications using a common interface. If unauthenticated communications are allowed between client and server applications, it could result in accidental disclosure of sensitive information or the failure to take advantage of RPC security functionality. To reduce this risk, all RPC clients should authenticate to RPC servers.</t>
    </r>
  </si>
  <si>
    <t>Medium-33.01</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</si>
  <si>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</si>
  <si>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</si>
  <si>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</si>
  <si>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Unauthenticated RPC communication can create a security vulnerability.</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</si>
  <si>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</si>
  <si>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</si>
  <si>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Reporting system information</t>
  </si>
  <si>
    <t>Medium-34.00</t>
  </si>
  <si>
    <r>
      <rPr>
        <b/>
        <sz val="11"/>
        <color rgb="FF003B5C"/>
        <rFont val="Calibri"/>
      </rPr>
      <t>Section overview: 'Reporting system information'</t>
    </r>
  </si>
  <si>
    <r>
      <rPr>
        <sz val="11"/>
        <color rgb="FF000000"/>
        <rFont val="Calibri"/>
      </rPr>
      <t xml:space="preserve">Configure the individual settings listed in recommendations </t>
    </r>
    <r>
      <rPr>
        <b/>
        <sz val="11"/>
        <color rgb="FF000000"/>
        <rFont val="Calibri"/>
      </rPr>
      <t>Medium-34.01</t>
    </r>
    <r>
      <rPr>
        <sz val="11"/>
        <color rgb="FF000000"/>
        <rFont val="Calibri"/>
      </rPr>
      <t xml:space="preserve"> through </t>
    </r>
    <r>
      <rPr>
        <b/>
        <sz val="11"/>
        <color rgb="FF000000"/>
        <rFont val="Calibri"/>
      </rPr>
      <t>Medium-34.03</t>
    </r>
    <r>
      <rPr>
        <sz val="11"/>
        <color rgb="FF000000"/>
        <rFont val="Calibri"/>
      </rPr>
      <t>.</t>
    </r>
  </si>
  <si>
    <r>
      <rPr>
        <sz val="11"/>
        <color rgb="FF000000"/>
        <rFont val="Calibri"/>
      </rPr>
      <t>Microsoft Windows contains a number of in-built functions to, often automatically and transparently, report system information to Microsoft. This includes system errors and crash information as well as inventories of applications, files, devices and drivers on the system. If captured by malicious actors, this information could expose potentially sensitive information on workstations and could be used by malicious actors to tailor malicious code to target specific workstations or users. To reduce this risk, all in-built functions that report potentially sensitive system information should be directed to a corporate Windows Error Reporting server.</t>
    </r>
  </si>
  <si>
    <t>Medium-34.01</t>
  </si>
  <si>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</si>
  <si>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Components\Application Compatibility\Turn off Inventory Collector</t>
    </r>
    <r>
      <rPr>
        <sz val="11"/>
        <color rgb="FF006096"/>
        <rFont val="Roboto Condensed"/>
      </rPr>
      <t xml:space="preserve">
</t>
    </r>
  </si>
  <si>
    <t>Medium-34.02</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</si>
  <si>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</si>
  <si>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</si>
  <si>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</si>
  <si>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Certain aspects of Microsoft Anti-Virus must have the setting</t>
    </r>
    <r>
      <rPr>
        <sz val="11"/>
        <color rgb="FF000000"/>
        <rFont val="Calibri"/>
      </rPr>
      <t xml:space="preserve">
</t>
    </r>
    <r>
      <rPr>
        <sz val="11"/>
        <color rgb="FF000000"/>
        <rFont val="Calibri"/>
      </rPr>
      <t>Allow Diagnostic Data</t>
    </r>
    <r>
      <rPr>
        <sz val="11"/>
        <color rgb="FF000000"/>
        <rFont val="Calibri"/>
      </rPr>
      <t xml:space="preserve">
</t>
    </r>
    <r>
      <rPr>
        <sz val="11"/>
        <color rgb="FF000000"/>
        <rFont val="Calibri"/>
      </rPr>
      <t>on and sending data to function properly.</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</si>
  <si>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</si>
  <si>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</si>
  <si>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</si>
  <si>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Medium-34.03</t>
  </si>
  <si>
    <r>
      <rPr>
        <sz val="11"/>
        <rFont val="Calibri"/>
      </rPr>
      <t xml:space="preserve">Ensure </t>
    </r>
    <r>
      <rPr>
        <sz val="11"/>
        <color rgb="FF000000"/>
        <rFont val="Calibri"/>
      </rPr>
      <t>'</t>
    </r>
    <r>
      <rPr>
        <b/>
        <sz val="11"/>
        <color rgb="FF000000"/>
        <rFont val="Calibri"/>
      </rPr>
      <t>Configure Corporate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 Connect using SSL with organisation-defined server name and port</t>
    </r>
    <r>
      <rPr>
        <sz val="11"/>
        <color rgb="FF000000"/>
        <rFont val="Calibri"/>
      </rPr>
      <t>'</t>
    </r>
  </si>
  <si>
    <r>
      <rPr>
        <sz val="11"/>
        <color rgb="FF000000"/>
        <rFont val="Calibri"/>
      </rPr>
      <t xml:space="preserve">Set the following UI path to </t>
    </r>
    <r>
      <rPr>
        <b/>
        <sz val="11"/>
        <color rgb="FF000000"/>
        <rFont val="Calibri"/>
      </rPr>
      <t>Enabled: Connect using SSL with organisation-defined server name and port</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Error Reporting\Advanced Error Reporting Settings\Configure Corporate Windows Error Reporting</t>
    </r>
    <r>
      <rPr>
        <sz val="11"/>
        <color rgb="FF006096"/>
        <rFont val="Roboto Condensed"/>
      </rPr>
      <t xml:space="preserve">
</t>
    </r>
  </si>
  <si>
    <t>Safe Mode</t>
  </si>
  <si>
    <t>Medium-35.00</t>
  </si>
  <si>
    <r>
      <rPr>
        <b/>
        <sz val="11"/>
        <color rgb="FF003B5C"/>
        <rFont val="Calibri"/>
      </rPr>
      <t>Section overview: 'Safe Mode'</t>
    </r>
  </si>
  <si>
    <r>
      <rPr>
        <sz val="11"/>
        <color rgb="FF000000"/>
        <rFont val="Calibri"/>
      </rPr>
      <t xml:space="preserve">Configure the registry entry listed in recommendation </t>
    </r>
    <r>
      <rPr>
        <b/>
        <sz val="11"/>
        <color rgb="FF000000"/>
        <rFont val="Calibri"/>
      </rPr>
      <t>Medium-35.01</t>
    </r>
    <r>
      <rPr>
        <sz val="11"/>
        <color rgb="FF000000"/>
        <rFont val="Calibri"/>
      </rPr>
      <t>.</t>
    </r>
  </si>
  <si>
    <r>
      <rPr>
        <sz val="11"/>
        <color rgb="FF000000"/>
        <rFont val="Calibri"/>
      </rPr>
      <t>Malicious actors with standard user credentials that can boot into Microsoft Windows using Safe Mode, Safe Mode with Networking or Safe Mode with Command Prompt options may be able to bypass system protections and security functionality. To reduce this risk, users with standard credentials should be prevented from using Safe Mode options to log in.</t>
    </r>
  </si>
  <si>
    <t>Medium-35.01</t>
  </si>
  <si>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in HKEY_LOCAL_MACHINE\SOFTWARE\Microsoft\Windows\CurrentVersion\Policies\System</t>
    </r>
  </si>
  <si>
    <r>
      <rPr>
        <sz val="11"/>
        <color rgb="FF000000"/>
        <rFont val="Calibri"/>
      </rPr>
      <t xml:space="preserve">Set the following registry value to </t>
    </r>
    <r>
      <rPr>
        <b/>
        <sz val="11"/>
        <color rgb="FF000000"/>
        <rFont val="Calibri"/>
      </rPr>
      <t>REG_DWORD 0x00000001 (1)</t>
    </r>
    <r>
      <rPr>
        <sz val="11"/>
        <color rgb="FF000000"/>
        <rFont val="Calibri"/>
      </rPr>
      <t>:</t>
    </r>
    <r>
      <rPr>
        <sz val="11"/>
        <color rgb="FF000000"/>
        <rFont val="Calibri"/>
      </rPr>
      <t xml:space="preserve">
</t>
    </r>
    <r>
      <rPr>
        <sz val="11"/>
        <color rgb="FF006096"/>
        <rFont val="Roboto Condensed"/>
      </rPr>
      <t>HKEY_LOCAL_MACHINE\SOFTWARE\Microsoft\Windows\CurrentVersion\Policies\System\SafeModeBlockNonAdmins</t>
    </r>
    <r>
      <rPr>
        <sz val="11"/>
        <color rgb="FF006096"/>
        <rFont val="Roboto Condensed"/>
      </rPr>
      <t xml:space="preserve">
</t>
    </r>
    <r>
      <rPr>
        <sz val="11"/>
        <color rgb="FF000000"/>
        <rFont val="Calibri"/>
      </rPr>
      <t xml:space="preserve">
</t>
    </r>
    <r>
      <rPr>
        <sz val="11"/>
        <color rgb="FF000000"/>
        <rFont val="Calibri"/>
      </rPr>
      <t xml:space="preserve">Value type: </t>
    </r>
    <r>
      <rPr>
        <b/>
        <sz val="11"/>
        <color rgb="FF000000"/>
        <rFont val="Calibri"/>
      </rPr>
      <t>REG_DWORD</t>
    </r>
    <r>
      <rPr>
        <sz val="11"/>
        <color rgb="FF000000"/>
        <rFont val="Calibri"/>
      </rPr>
      <t xml:space="preserve">
</t>
    </r>
    <r>
      <rPr>
        <b/>
        <sz val="11"/>
        <color rgb="FF000000"/>
        <rFont val="Calibri"/>
      </rPr>
      <t>Note:</t>
    </r>
    <r>
      <rPr>
        <sz val="11"/>
        <color rgb="FF000000"/>
        <rFont val="Calibri"/>
      </rPr>
      <t xml:space="preserve"> This registry entry is deployed via Group Policy Preferences rather than a standard Group Policy administrative template setting.</t>
    </r>
  </si>
  <si>
    <t>Secure channel communications</t>
  </si>
  <si>
    <t>Medium-36.00</t>
  </si>
  <si>
    <r>
      <rPr>
        <b/>
        <sz val="11"/>
        <color rgb="FF003B5C"/>
        <rFont val="Calibri"/>
      </rPr>
      <t>Section overview: 'Secure channel communications'</t>
    </r>
  </si>
  <si>
    <r>
      <rPr>
        <sz val="11"/>
        <color rgb="FF000000"/>
        <rFont val="Calibri"/>
      </rPr>
      <t xml:space="preserve">Configure the individual settings listed in recommendations </t>
    </r>
    <r>
      <rPr>
        <b/>
        <sz val="11"/>
        <color rgb="FF000000"/>
        <rFont val="Calibri"/>
      </rPr>
      <t>Medium-36.01</t>
    </r>
    <r>
      <rPr>
        <sz val="11"/>
        <color rgb="FF000000"/>
        <rFont val="Calibri"/>
      </rPr>
      <t xml:space="preserve"> through </t>
    </r>
    <r>
      <rPr>
        <b/>
        <sz val="11"/>
        <color rgb="FF000000"/>
        <rFont val="Calibri"/>
      </rPr>
      <t>Medium-36.04</t>
    </r>
    <r>
      <rPr>
        <sz val="11"/>
        <color rgb="FF000000"/>
        <rFont val="Calibri"/>
      </rPr>
      <t>.</t>
    </r>
  </si>
  <si>
    <r>
      <rPr>
        <sz val="11"/>
        <color rgb="FF000000"/>
        <rFont val="Calibri"/>
      </rPr>
      <t>Periodically, workstations connected to a domain will communicate with the domain controllers. If malicious actors have access to unprotected network communications, they may be able to capture or modify sensitive information communicated between workstations and the domain controllers. To reduce this risk, all secure channel communications should be signed and encrypted with strong session keys.</t>
    </r>
  </si>
  <si>
    <t>Medium-36.01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</si>
  <si>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</si>
  <si>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</si>
  <si>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</si>
  <si>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computer joins a domain, a computer account is created. After it joins the domain, the computer uses the password for that account to create a secure channel with the Domain Controller for its domain every time that it restarts. Requests that are sent on the secure channel are authenticated—and sensitive information such as passwords are encrypted—but the channel is not integrity-checked, and not all information is encrypted.</t>
    </r>
    <r>
      <rPr>
        <sz val="11"/>
        <color rgb="FF000000"/>
        <rFont val="Calibri"/>
      </rPr>
      <t xml:space="preserve">
</t>
    </r>
    <r>
      <rPr>
        <sz val="11"/>
        <color rgb="FF000000"/>
        <rFont val="Calibri"/>
      </rPr>
      <t>Digital encryption and signing of the secure channel is a good idea where it is supported. The secure channel protects domain credentials as they are sent to the Domain Controller.</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</si>
  <si>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</si>
  <si>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</si>
  <si>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</si>
  <si>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Medium-36.02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</si>
  <si>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</si>
  <si>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</si>
  <si>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</si>
  <si>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</si>
  <si>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</si>
  <si>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</si>
  <si>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Medium-36.03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</si>
  <si>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</si>
  <si>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</si>
  <si>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</si>
  <si>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</si>
  <si>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</si>
  <si>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</si>
  <si>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Medium-36.04</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</si>
  <si>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</si>
  <si>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</si>
  <si>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</si>
  <si>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keys that are used to establish secure channel communications between Domain Controllers and member computers are much stronger in Windows 2000 than they were in previous Microsoft operating systems. Whenever possible, these stronger session keys should be used to help protect secure channel communications from attacks that attempt to hijack network sessions and eavesdropping.</t>
    </r>
    <r>
      <rPr>
        <sz val="11"/>
        <color rgb="FF000000"/>
        <rFont val="Calibri"/>
      </rPr>
      <t xml:space="preserve">
</t>
    </r>
    <r>
      <rPr>
        <sz val="11"/>
        <color rgb="FF000000"/>
        <rFont val="Calibri"/>
      </rPr>
      <t>Eavesdropping is a form of hacking in which network data is read or altered in transit. The data can be modified to hide or change the sender, or be redirected.</t>
    </r>
  </si>
  <si>
    <r>
      <rPr>
        <sz val="11"/>
        <color rgb="FF000000"/>
        <rFont val="Calibri"/>
      </rPr>
      <t>None - this is the default behavior. However, computers will not be able to join Windows NT 4.0 domains, and trusts between Active Directory domains and Windows NT-style domains may not work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</si>
  <si>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</si>
  <si>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</si>
  <si>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Security policies</t>
  </si>
  <si>
    <t>Medium-37.00</t>
  </si>
  <si>
    <r>
      <rPr>
        <b/>
        <sz val="11"/>
        <color rgb="FF003B5C"/>
        <rFont val="Calibri"/>
      </rPr>
      <t>Section overview: 'Security policies'</t>
    </r>
  </si>
  <si>
    <r>
      <rPr>
        <sz val="11"/>
        <color rgb="FF000000"/>
        <rFont val="Calibri"/>
      </rPr>
      <t xml:space="preserve">Configure the individual settings listed in recommendations </t>
    </r>
    <r>
      <rPr>
        <b/>
        <sz val="11"/>
        <color rgb="FF000000"/>
        <rFont val="Calibri"/>
      </rPr>
      <t>Medium-37.01</t>
    </r>
    <r>
      <rPr>
        <sz val="11"/>
        <color rgb="FF000000"/>
        <rFont val="Calibri"/>
      </rPr>
      <t xml:space="preserve"> through </t>
    </r>
    <r>
      <rPr>
        <b/>
        <sz val="11"/>
        <color rgb="FF000000"/>
        <rFont val="Calibri"/>
      </rPr>
      <t>Medium-37.13</t>
    </r>
    <r>
      <rPr>
        <sz val="11"/>
        <color rgb="FF000000"/>
        <rFont val="Calibri"/>
      </rPr>
      <t>.</t>
    </r>
  </si>
  <si>
    <r>
      <rPr>
        <sz val="11"/>
        <color rgb="FF000000"/>
        <rFont val="Calibri"/>
      </rPr>
      <t>By failing to comprehensively specify security policies, malicious actors may be able to exploit weaknesses in a workstation's Group Policy settings to gain access to sensitive information. To reduce this risk, security policies should be comprehensively specified.</t>
    </r>
  </si>
  <si>
    <t>Medium-37.01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</si>
  <si>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</si>
  <si>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</si>
  <si>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</si>
  <si>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threat actors can listen on a network for these LLMNR (UDP/5355) or NBT-NS (UDP/137) broadcasts and respond to them, tricking the host into thinking that it knows the location of the requested system.</t>
    </r>
    <r>
      <rPr>
        <sz val="11"/>
        <color rgb="FF000000"/>
        <rFont val="Calibri"/>
      </rPr>
      <t xml:space="preserve">
</t>
    </r>
    <r>
      <rPr>
        <sz val="11"/>
        <color rgb="FF000000"/>
        <rFont val="Calibri"/>
      </rPr>
      <t>Note:</t>
    </r>
    <r>
      <rPr>
        <sz val="11"/>
        <color rgb="FF000000"/>
        <rFont val="Calibri"/>
      </rPr>
      <t xml:space="preserve">
</t>
    </r>
    <r>
      <rPr>
        <sz val="11"/>
        <color rgb="FF000000"/>
        <rFont val="Calibri"/>
      </rPr>
      <t>To completely mitigate local name resolution poisoning, in addition to this setting, the properties of each installed NIC should also be set to</t>
    </r>
    <r>
      <rPr>
        <sz val="11"/>
        <color rgb="FF000000"/>
        <rFont val="Calibri"/>
      </rPr>
      <t xml:space="preserve">
</t>
    </r>
    <r>
      <rPr>
        <sz val="11"/>
        <color rgb="FF000000"/>
        <rFont val="Calibri"/>
      </rPr>
      <t>Disable NetBIOS over TCP/IP</t>
    </r>
    <r>
      <rPr>
        <sz val="11"/>
        <color rgb="FF000000"/>
        <rFont val="Calibri"/>
      </rPr>
      <t xml:space="preserve">
</t>
    </r>
    <r>
      <rPr>
        <sz val="11"/>
        <color rgb="FF000000"/>
        <rFont val="Calibri"/>
      </rPr>
      <t>(on the WINS tab in the NIC properties). Unfortunately, there is no global setting to achieve this that automatically applies to all NICs - it is a per-NIC setting that varies with different NIC hardware installations.</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</si>
  <si>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</si>
  <si>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</si>
  <si>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</si>
  <si>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Medium-37.02</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</si>
  <si>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</si>
  <si>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wlansvc.admx/adml</t>
    </r>
    <r>
      <rPr>
        <sz val="11"/>
        <color rgb="FF000000"/>
        <rFont val="Calibri"/>
      </rPr>
      <t xml:space="preserve"> that is included with the Microsoft Windows 10 Release 1511 Administrative Templates (or newer).</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</si>
  <si>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</si>
  <si>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sz val="11"/>
        <color rgb="FF000000"/>
        <rFont val="Calibri"/>
      </rPr>
      <t>Automatically connecting to an open hotspot or network can introduce the system to a rogue network with malicious intent.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</si>
  <si>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</si>
  <si>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HKLM\SOFTWARE\Microsoft\WcmSvc\wifinetworkmanager\config:AutoConnectAllowedOEM</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</si>
  <si>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</si>
  <si>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Medium-37.03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</si>
  <si>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</si>
  <si>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</si>
  <si>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</si>
  <si>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Having apps silently install in an enterprise managed environment is not good security practice - especially if the apps send data back to a third-party.</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</si>
  <si>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</si>
  <si>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</si>
  <si>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</si>
  <si>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Medium-37.04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</si>
  <si>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</si>
  <si>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</si>
  <si>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</si>
  <si>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Allowing an application to function after its session has become corrupt increases the risk posture to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</si>
  <si>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</si>
  <si>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</si>
  <si>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Medium-37.05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</si>
  <si>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</si>
  <si>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</si>
  <si>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</si>
  <si>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Limiting the opening of files and folders to a limited set reduces the attack surface of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</si>
  <si>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</si>
  <si>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</si>
  <si>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Medium-37.06</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</si>
  <si>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</si>
  <si>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</si>
  <si>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</si>
  <si>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Allowing attachments to be downloaded through the RSS feed can introduce files that could have malicious intent.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</si>
  <si>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</si>
  <si>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</si>
  <si>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</si>
  <si>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Medium-37.07</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</si>
  <si>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</si>
  <si>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</si>
  <si>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</si>
  <si>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Indexing and allowing users to search encrypted files could potentially reveal confidential data stored within the encrypted files.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</si>
  <si>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</si>
  <si>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</si>
  <si>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Medium-37.08</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</si>
  <si>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</si>
  <si>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GameDVR.admx/adml</t>
    </r>
    <r>
      <rPr>
        <sz val="11"/>
        <color rgb="FF000000"/>
        <rFont val="Calibri"/>
      </rPr>
      <t xml:space="preserve"> that is included with the Microsoft Windows 10 RTM (Release 1507) Administrative Templates (or newer).</t>
    </r>
  </si>
  <si>
    <r>
      <rPr>
        <sz val="11"/>
        <color rgb="FF000000"/>
        <rFont val="Calibri"/>
      </rPr>
      <t>This setting enables or disables the Windows Game Recording and Broadcasting features. This feature allows users to record gameplay, take screenshots, and capture audio.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</si>
  <si>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could record and broadcast session info to external sites, which is both a risk of accidentally exposing sensitive company data (on-screen) outside the company as well as a privacy concern.</t>
    </r>
  </si>
  <si>
    <r>
      <rPr>
        <sz val="11"/>
        <color rgb="FF000000"/>
        <rFont val="Calibri"/>
      </rPr>
      <t>Windows Game Recording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</si>
  <si>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HKLM\SOFTWARE\Policies\Microsoft\Windows\GameDVR:AllowGameDVR</t>
    </r>
    <r>
      <rPr>
        <sz val="11"/>
        <color rgb="FF006096"/>
        <rFont val="Roboto Condensed"/>
      </rPr>
      <t xml:space="preserve">
</t>
    </r>
  </si>
  <si>
    <r>
      <rPr>
        <sz val="11"/>
        <color rgb="FF000000"/>
        <rFont val="Calibri"/>
      </rPr>
      <t>Enabled. (Recording and Broadcasting (streaming) is allowed.)</t>
    </r>
  </si>
  <si>
    <t>Medium-37.09</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</si>
  <si>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</si>
  <si>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</si>
  <si>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</si>
  <si>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a system does not change their password, there are security risks because the security channel is used for pass-through authentication. If a threat actor discovers a password, the actor can potentially perform pass-through authentication to the domain controller.</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</si>
  <si>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</si>
  <si>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</si>
  <si>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</si>
  <si>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Medium-37.10</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</si>
  <si>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</si>
  <si>
    <r>
      <rPr>
        <sz val="11"/>
        <color rgb="FF000000"/>
        <rFont val="Calibri"/>
      </rPr>
      <t xml:space="preserve">Set the following UI path to </t>
    </r>
    <r>
      <rPr>
        <b/>
        <sz val="11"/>
        <color rgb="FF000000"/>
        <rFont val="Calibri"/>
      </rPr>
      <t>30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</si>
  <si>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</si>
  <si>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In Active Directory-based domains, each computer has an account and password just like every user. By default, the domain members automatically change their domain password every 30 days. If this interval is increased significantly or set it to</t>
    </r>
    <r>
      <rPr>
        <sz val="11"/>
        <color rgb="FF000000"/>
        <rFont val="Calibri"/>
      </rPr>
      <t xml:space="preserve">
</t>
    </r>
    <r>
      <rPr>
        <sz val="11"/>
        <color rgb="FF000000"/>
        <rFont val="Calibri"/>
      </rPr>
      <t>0</t>
    </r>
    <r>
      <rPr>
        <sz val="11"/>
        <color rgb="FF000000"/>
        <rFont val="Calibri"/>
      </rPr>
      <t xml:space="preserve">
</t>
    </r>
    <r>
      <rPr>
        <sz val="11"/>
        <color rgb="FF000000"/>
        <rFont val="Calibri"/>
      </rPr>
      <t>so that the computers no longer change their passwords, a threat actor will have more time to undertake a brute force attack to guess the password of one or more computer accounts.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</si>
  <si>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</si>
  <si>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</si>
  <si>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Medium-37.11</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</si>
  <si>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</si>
  <si>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</si>
  <si>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</si>
  <si>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Unsigned network traffic is susceptible to man-in-the-middle attacks in which an intruder captures the packets between the client and server, modifies them, and then forwards them to the server. For an LDAP server, this susceptibility means that a threat actor could cause a server to make decisions that are based on false or altered data from the LDAP queries. To lower this risk a network, implement strong physical security measures to protect the network infrastructure. Also, this can make all types of man-in-the-middle attacks extremely difficult if require digital signatures on all network packets by means of IPsec authentication headers is required.</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</si>
  <si>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</si>
  <si>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</si>
  <si>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</si>
  <si>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Medium-37.12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</si>
  <si>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</si>
  <si>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</si>
  <si>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</si>
  <si>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determines the strength of the default DACL for objects. Windows maintains a global list of shared computer resources so that objects can be located and shared among processes. Each type of object is created with a default DACL that specifies who can access the objects and with what permissions.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</si>
  <si>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</si>
  <si>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</si>
  <si>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Medium-37.13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</si>
  <si>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 or Enabled (hybrid and Azure AD)</t>
    </r>
    <r>
      <rPr>
        <sz val="11"/>
        <color rgb="FF000000"/>
        <rFont val="Calibri"/>
      </rPr>
      <t>'</t>
    </r>
  </si>
  <si>
    <r>
      <rPr>
        <sz val="11"/>
        <color rgb="FF000000"/>
        <rFont val="Calibri"/>
      </rPr>
      <t xml:space="preserve">Set the following UI path to </t>
    </r>
    <r>
      <rPr>
        <b/>
        <sz val="11"/>
        <color rgb="FF000000"/>
        <rFont val="Calibri"/>
      </rPr>
      <t>Disabled (on-premises AD) or Enabled (hybrid and Azure AD)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</si>
  <si>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t>Server Message Block sessions</t>
  </si>
  <si>
    <t>Medium-38.00</t>
  </si>
  <si>
    <r>
      <rPr>
        <b/>
        <sz val="11"/>
        <color rgb="FF003B5C"/>
        <rFont val="Calibri"/>
      </rPr>
      <t>Section overview: 'Server Message Block sessions'</t>
    </r>
  </si>
  <si>
    <r>
      <rPr>
        <sz val="11"/>
        <color rgb="FF000000"/>
        <rFont val="Calibri"/>
      </rPr>
      <t xml:space="preserve">Configure the individual settings listed in recommendations </t>
    </r>
    <r>
      <rPr>
        <b/>
        <sz val="11"/>
        <color rgb="FF000000"/>
        <rFont val="Calibri"/>
      </rPr>
      <t>Medium-38.01</t>
    </r>
    <r>
      <rPr>
        <sz val="11"/>
        <color rgb="FF000000"/>
        <rFont val="Calibri"/>
      </rPr>
      <t xml:space="preserve"> through </t>
    </r>
    <r>
      <rPr>
        <b/>
        <sz val="11"/>
        <color rgb="FF000000"/>
        <rFont val="Calibri"/>
      </rPr>
      <t>Medium-38.06</t>
    </r>
    <r>
      <rPr>
        <sz val="11"/>
        <color rgb="FF000000"/>
        <rFont val="Calibri"/>
      </rPr>
      <t>.</t>
    </r>
  </si>
  <si>
    <r>
      <rPr>
        <sz val="11"/>
        <color rgb="FF000000"/>
        <rFont val="Calibri"/>
      </rPr>
      <t>Malicious actors that have access to network communications may attempt to use session hijacking tools to interrupt, terminate or steal a Server Message Block (SMB) session. This could potentially allow malicious actors to modify packets and forward them to a SMB server to perform undesirable actions or to pose as the server or client after a legitimate authentication has taken place. To reduce this risk, all communications between SMB clients and servers should be signed, with any passwords used appropriately encrypted.</t>
    </r>
  </si>
  <si>
    <t>Medium-38.01</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</si>
  <si>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MrxSmb10 driver: Disable driver (recommended)</t>
    </r>
    <r>
      <rPr>
        <sz val="11"/>
        <color rgb="FF000000"/>
        <rFont val="Calibri"/>
      </rPr>
      <t>'</t>
    </r>
  </si>
  <si>
    <r>
      <rPr>
        <sz val="11"/>
        <color rgb="FF000000"/>
        <rFont val="Calibri"/>
      </rPr>
      <t xml:space="preserve">Set the following UI path to </t>
    </r>
    <r>
      <rPr>
        <b/>
        <sz val="11"/>
        <color rgb="FF000000"/>
        <rFont val="Calibri"/>
      </rPr>
      <t>Enabled: Configure MrxSmb10 driver: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</si>
  <si>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</si>
  <si>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Since September 2016, Microsoft has strongly encouraged that SMBv1 be disabled and no longer used on modern networks, as it is a 30 year old design that is much more vulnerable to attacks then much newer designs such as SMBv2 and SMBv3.</t>
    </r>
    <r>
      <rPr>
        <sz val="11"/>
        <color rgb="FF000000"/>
        <rFont val="Calibri"/>
      </rPr>
      <t xml:space="preserve">
</t>
    </r>
    <r>
      <rPr>
        <sz val="11"/>
        <color rgb="FF000000"/>
        <rFont val="Calibri"/>
      </rPr>
      <t>More information on this can be found at the following links:</t>
    </r>
    <r>
      <rPr>
        <sz val="11"/>
        <color rgb="FF000000"/>
        <rFont val="Calibri"/>
      </rPr>
      <t xml:space="preserve">
</t>
    </r>
    <r>
      <rPr>
        <sz val="11"/>
        <color rgb="FF000000"/>
        <rFont val="Calibri"/>
      </rPr>
      <t>Stop using SMB1 | Storage at Microsoft</t>
    </r>
    <r>
      <rPr>
        <sz val="11"/>
        <color rgb="FF000000"/>
        <rFont val="Calibri"/>
      </rPr>
      <t xml:space="preserve">
</t>
    </r>
    <r>
      <rPr>
        <sz val="11"/>
        <color rgb="FF000000"/>
        <rFont val="Calibri"/>
      </rPr>
      <t>Disable SMB v1 in Managed Environments with Group Policy – "Stay Safe" Cyber Security Blog</t>
    </r>
    <r>
      <rPr>
        <sz val="11"/>
        <color rgb="FF000000"/>
        <rFont val="Calibri"/>
      </rPr>
      <t xml:space="preserve">
</t>
    </r>
    <r>
      <rPr>
        <sz val="11"/>
        <color rgb="FF000000"/>
        <rFont val="Calibri"/>
      </rPr>
      <t>Disabling SMBv1 through Group Policy – Microsoft Security Guidance blog</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</si>
  <si>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</si>
  <si>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</si>
  <si>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</si>
  <si>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Medium-38.02</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</si>
  <si>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</si>
  <si>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</si>
  <si>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</si>
  <si>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</si>
  <si>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</si>
  <si>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Medium-38.03</t>
  </si>
  <si>
    <r>
      <rPr>
        <sz val="11"/>
        <rFont val="Calibri"/>
      </rPr>
      <t xml:space="preserve">Ensure </t>
    </r>
    <r>
      <rPr>
        <sz val="11"/>
        <color rgb="FF000000"/>
        <rFont val="Calibri"/>
      </rPr>
      <t>'</t>
    </r>
    <r>
      <rPr>
        <b/>
        <sz val="11"/>
        <color rgb="FF000000"/>
        <rFont val="Calibri"/>
      </rPr>
      <t>Audit SMB client SPN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</si>
  <si>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SMB client SPN support</t>
    </r>
    <r>
      <rPr>
        <sz val="11"/>
        <color rgb="FF006096"/>
        <rFont val="Roboto Condensed"/>
      </rPr>
      <t xml:space="preserve">
</t>
    </r>
  </si>
  <si>
    <t>Medium-38.04</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</si>
  <si>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</si>
  <si>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</si>
  <si>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</si>
  <si>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hijacking uses tools that allow threat actors who have access to the same network as the client or server to interrupt, end, or steal a session in progress. threat actors can potentially intercept and modify unsigned SMB packets and then modify the traffic and forward it so that the server might perform undesirable actions. Alternatively, the threat actors could pose as the server or client after legitimate authentication and gain unauthorized access to data.</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</si>
  <si>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</si>
  <si>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</si>
  <si>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</si>
  <si>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Medium-38.05</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</si>
  <si>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</si>
  <si>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</si>
  <si>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</si>
  <si>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enable this policy setting, the server can transmit passwords in plaintext across the network to other computers that offer SMB services, which is a significant security risk. These other computers may not use any of the SMB security mechanisms that are included with Windows Server 2003.</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</si>
  <si>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</si>
  <si>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</si>
  <si>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</si>
  <si>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Medium-38.06</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</si>
  <si>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</si>
  <si>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</si>
  <si>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</si>
  <si>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hijacking uses tools that allow threat actors who have access to the same network as the client or server to interrupt, end, or steal a session in progress. Threat Actors can potentially intercept and modify unsigned SMB packets and then modify the traffic and forward it so that the server might perform undesirable actions. Alternatively, the threat actor could pose as the server or client after legitimate authentication and gain unauthorized access to data.</t>
    </r>
    <r>
      <rPr>
        <sz val="11"/>
        <color rgb="FF000000"/>
        <rFont val="Calibri"/>
      </rPr>
      <t xml:space="preserve">
</t>
    </r>
    <r>
      <rPr>
        <sz val="11"/>
        <color rgb="FF000000"/>
        <rFont val="Calibri"/>
      </rPr>
      <t>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</si>
  <si>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</si>
  <si>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Session locking</t>
  </si>
  <si>
    <t>Medium-39.00</t>
  </si>
  <si>
    <r>
      <rPr>
        <b/>
        <sz val="11"/>
        <color rgb="FF003B5C"/>
        <rFont val="Calibri"/>
      </rPr>
      <t>Section overview: 'Session locking'</t>
    </r>
  </si>
  <si>
    <r>
      <rPr>
        <sz val="11"/>
        <color rgb="FF000000"/>
        <rFont val="Calibri"/>
      </rPr>
      <t xml:space="preserve">Configure the individual settings listed in recommendations </t>
    </r>
    <r>
      <rPr>
        <b/>
        <sz val="11"/>
        <color rgb="FF000000"/>
        <rFont val="Calibri"/>
      </rPr>
      <t>Medium-39.01</t>
    </r>
    <r>
      <rPr>
        <sz val="11"/>
        <color rgb="FF000000"/>
        <rFont val="Calibri"/>
      </rPr>
      <t xml:space="preserve"> through </t>
    </r>
    <r>
      <rPr>
        <b/>
        <sz val="11"/>
        <color rgb="FF000000"/>
        <rFont val="Calibri"/>
      </rPr>
      <t>Medium-39.11</t>
    </r>
    <r>
      <rPr>
        <sz val="11"/>
        <color rgb="FF000000"/>
        <rFont val="Calibri"/>
      </rPr>
      <t>.</t>
    </r>
  </si>
  <si>
    <r>
      <rPr>
        <sz val="11"/>
        <color rgb="FF000000"/>
        <rFont val="Calibri"/>
      </rPr>
      <t>Malicious actors with physical access to an unattended workstation with an unlocked session may attempt to inappropriately access sensitive information or conduct actions that will not be attributed to them. To reduce this risk, a session lock should be configured to activate after a maximum of 15 minutes of user inactivity. Furthermore, be aware that information or alerts may be displayed on the lock screen. To reduce the risk of unauthorised information disclosure, minimise the amount of information that the lock screen is permitted to display.</t>
    </r>
  </si>
  <si>
    <t>Medium-39.01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</si>
  <si>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</si>
  <si>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</si>
  <si>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</si>
  <si>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the lock screen camera extends the protection afforded by the lock screen to camera features.</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</si>
  <si>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</si>
  <si>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</si>
  <si>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</si>
  <si>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Medium-39.02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</si>
  <si>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</si>
  <si>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</si>
  <si>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</si>
  <si>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the lock screen slide show extends the protection afforded by the lock screen to slide show contents.</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</si>
  <si>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</si>
  <si>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</si>
  <si>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</si>
  <si>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Medium-39.03</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</si>
  <si>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</si>
  <si>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</si>
  <si>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</si>
  <si>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 notifications might display sensitive business or personal data.</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</si>
  <si>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</si>
  <si>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</si>
  <si>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</si>
  <si>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Medium-39.04</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</si>
  <si>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 for all apps: Force Deny</t>
    </r>
    <r>
      <rPr>
        <sz val="11"/>
        <color rgb="FF000000"/>
        <rFont val="Calibri"/>
      </rPr>
      <t>'</t>
    </r>
  </si>
  <si>
    <r>
      <rPr>
        <sz val="11"/>
        <color rgb="FF000000"/>
        <rFont val="Calibri"/>
      </rPr>
      <t xml:space="preserve">Set the following UI path to </t>
    </r>
    <r>
      <rPr>
        <b/>
        <sz val="11"/>
        <color rgb="FF000000"/>
        <rFont val="Calibri"/>
      </rPr>
      <t>Enabled: Default for all apps: Force Deny</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AppPrivacy.admx/adml</t>
    </r>
    <r>
      <rPr>
        <sz val="11"/>
        <color rgb="FF000000"/>
        <rFont val="Calibri"/>
      </rPr>
      <t xml:space="preserve"> that is included with the Microsoft Windows 10 Release 1903 Administrative Templates (or newer).</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</si>
  <si>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</si>
  <si>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Access to any computer resource should not be allowed when the device is locked.</t>
    </r>
  </si>
  <si>
    <r>
      <rPr>
        <sz val="11"/>
        <color rgb="FF000000"/>
        <rFont val="Calibri"/>
      </rPr>
      <t>Users will not be able to activate apps while the computer is 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</si>
  <si>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HKLM\SOFTWARE\Policies\Microsoft\Windows\AppPrivacy:LetAppsActivateWithVoiceAboveLock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</si>
  <si>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</si>
  <si>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Medium-39.05</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</si>
  <si>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</si>
  <si>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</si>
  <si>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</si>
  <si>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Allowing any apps to be accessed while system is locked is not recommended. If this feature is permitted, it should only be accessible once a user authenticates with the proper credentials.</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</si>
  <si>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</si>
  <si>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</si>
  <si>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</si>
  <si>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Medium-39.06</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</si>
  <si>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</si>
  <si>
    <r>
      <rPr>
        <sz val="11"/>
        <color rgb="FF000000"/>
        <rFont val="Calibri"/>
      </rPr>
      <t xml:space="preserve">Set the following UI path to </t>
    </r>
    <r>
      <rPr>
        <b/>
        <sz val="11"/>
        <color rgb="FF000000"/>
        <rFont val="Calibri"/>
      </rPr>
      <t>900 seconds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</si>
  <si>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</si>
  <si>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If a user forgets to lock their computer when they walk away it's possible that a passerby will hijack 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</si>
  <si>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</si>
  <si>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</si>
  <si>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</si>
  <si>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Medium-39.07</t>
  </si>
  <si>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</si>
  <si>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Panel\Personalization\Enable screen saver</t>
    </r>
    <r>
      <rPr>
        <sz val="11"/>
        <color rgb="FF006096"/>
        <rFont val="Roboto Condensed"/>
      </rPr>
      <t xml:space="preserve">
</t>
    </r>
  </si>
  <si>
    <t>Medium-39.08</t>
  </si>
  <si>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</si>
  <si>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Panel\Personalization\Password protect the screen saver</t>
    </r>
    <r>
      <rPr>
        <sz val="11"/>
        <color rgb="FF006096"/>
        <rFont val="Roboto Condensed"/>
      </rPr>
      <t xml:space="preserve">
</t>
    </r>
  </si>
  <si>
    <t>Medium-39.09</t>
  </si>
  <si>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Seconds: 900</t>
    </r>
    <r>
      <rPr>
        <sz val="11"/>
        <color rgb="FF000000"/>
        <rFont val="Calibri"/>
      </rPr>
      <t>'</t>
    </r>
  </si>
  <si>
    <r>
      <rPr>
        <sz val="11"/>
        <color rgb="FF000000"/>
        <rFont val="Calibri"/>
      </rPr>
      <t xml:space="preserve">Set the following UI path to </t>
    </r>
    <r>
      <rPr>
        <b/>
        <sz val="11"/>
        <color rgb="FF000000"/>
        <rFont val="Calibri"/>
      </rPr>
      <t>Enabled: Seconds: 900</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Panel\Personalization\Screen saver timeout</t>
    </r>
    <r>
      <rPr>
        <sz val="11"/>
        <color rgb="FF006096"/>
        <rFont val="Roboto Condensed"/>
      </rPr>
      <t xml:space="preserve">
</t>
    </r>
  </si>
  <si>
    <t>Medium-39.10</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</si>
  <si>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</si>
  <si>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</si>
  <si>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</si>
  <si>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While this feature can be handy for users, applications that provide toast notifications might display sensitive personal or business data while the device is left unattended.</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</si>
  <si>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</si>
  <si>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</si>
  <si>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</si>
  <si>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Medium-39.11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</si>
  <si>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</si>
  <si>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</si>
  <si>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</si>
  <si>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will help ensure your data is not shared with any third party. The Windows Spotlight feature collects data and uses that data to display suggested apps as well as images from the internet.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</si>
  <si>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</si>
  <si>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</si>
  <si>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</si>
  <si>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Software-based firewalls</t>
  </si>
  <si>
    <t>Medium-40.00</t>
  </si>
  <si>
    <r>
      <rPr>
        <b/>
        <sz val="11"/>
        <color rgb="FF003B5C"/>
        <rFont val="Calibri"/>
      </rPr>
      <t>Section overview: 'Software-based firewalls'</t>
    </r>
  </si>
  <si>
    <r>
      <rPr>
        <sz val="11"/>
        <color rgb="FF000000"/>
        <rFont val="Calibri"/>
      </rPr>
      <t>Enable and configure the Windows Defender Firewall with Advanced Security for all network profiles (Domain, Private, Public). Configure rules to allow only required inbound and outbound application and service traffic.</t>
    </r>
  </si>
  <si>
    <r>
      <rPr>
        <sz val="11"/>
        <color rgb="FF000000"/>
        <rFont val="Calibri"/>
      </rPr>
      <t>Network firewalls often fail to prevent the propagation of malicious code on a network as they generally only control which ports or protocols can be used between segments. Many forms of malicious code are designed to take advantage of this by using common protocols such as HTTP, HTTPS, SMTP and DNS. To reduce this risk, software-based firewalls that filter both incoming and outgoing traffic should be appropriately implemented.</t>
    </r>
  </si>
  <si>
    <t>Sound Recorder</t>
  </si>
  <si>
    <t>Medium-41.00</t>
  </si>
  <si>
    <r>
      <rPr>
        <b/>
        <sz val="11"/>
        <color rgb="FF003B5C"/>
        <rFont val="Calibri"/>
      </rPr>
      <t>Section overview: 'Sound Recorder'</t>
    </r>
  </si>
  <si>
    <r>
      <rPr>
        <sz val="11"/>
        <color rgb="FF000000"/>
        <rFont val="Calibri"/>
      </rPr>
      <t xml:space="preserve">Configure the setting listed in recommendation </t>
    </r>
    <r>
      <rPr>
        <b/>
        <sz val="11"/>
        <color rgb="FF000000"/>
        <rFont val="Calibri"/>
      </rPr>
      <t>Medium-41.01</t>
    </r>
    <r>
      <rPr>
        <sz val="11"/>
        <color rgb="FF000000"/>
        <rFont val="Calibri"/>
      </rPr>
      <t>.</t>
    </r>
  </si>
  <si>
    <r>
      <rPr>
        <sz val="11"/>
        <color rgb="FF000000"/>
        <rFont val="Calibri"/>
      </rPr>
      <t>Sound Recorder is a feature of Microsoft Windows that allows audio from a device with a microphone to be recorded and saved as an audio file on the local hard drive. Malicious actors with remote access to a workstation can use this functionality to record sensitive conversations in the vicinity of the workstation. To reduce this risk, Sound Recorder should be disabled.</t>
    </r>
  </si>
  <si>
    <t>Medium-41.01</t>
  </si>
  <si>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</si>
  <si>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Components\Sound Recorder\Do not allow Sound Recorder to run</t>
    </r>
    <r>
      <rPr>
        <sz val="11"/>
        <color rgb="FF006096"/>
        <rFont val="Roboto Condensed"/>
      </rPr>
      <t xml:space="preserve">
</t>
    </r>
  </si>
  <si>
    <t>Standard Operating Environment</t>
  </si>
  <si>
    <t>Medium-42.00</t>
  </si>
  <si>
    <r>
      <rPr>
        <b/>
        <sz val="11"/>
        <color rgb="FF003B5C"/>
        <rFont val="Calibri"/>
      </rPr>
      <t>Section overview: 'Standard Operating Environment'</t>
    </r>
  </si>
  <si>
    <r>
      <rPr>
        <sz val="11"/>
        <color rgb="FF000000"/>
        <rFont val="Calibri"/>
      </rPr>
      <t>Deploy and maintain a Standard Operating Environment (SOE) for all workstations, managed centrally through Active Directory Group Policy or an equivalent cloud-based device management solution.</t>
    </r>
  </si>
  <si>
    <r>
      <rPr>
        <sz val="11"/>
        <color rgb="FF000000"/>
        <rFont val="Calibri"/>
      </rPr>
      <t>When users are left to setup, configure and maintain their own workstations it can very easily lead to an inconsistent and insecure environment where particular workstations are more vulnerable than others. This inconsistent and insecure environment can easily allow malicious actors to gain an initial foothold on a network. To reduce this risk, workstations should connect to a domain using a Standard Operating Environment that is centrally controlled and configured by experienced system administrators and cybersecurity professionals.</t>
    </r>
  </si>
  <si>
    <t>System backup and restore</t>
  </si>
  <si>
    <t>Medium-43.00</t>
  </si>
  <si>
    <r>
      <rPr>
        <b/>
        <sz val="11"/>
        <color rgb="FF003B5C"/>
        <rFont val="Calibri"/>
      </rPr>
      <t>Section overview: 'System backup and restore'</t>
    </r>
  </si>
  <si>
    <r>
      <rPr>
        <sz val="11"/>
        <color rgb="FF000000"/>
        <rFont val="Calibri"/>
      </rPr>
      <t xml:space="preserve">Configure the individual settings listed in recommendations </t>
    </r>
    <r>
      <rPr>
        <b/>
        <sz val="11"/>
        <color rgb="FF000000"/>
        <rFont val="Calibri"/>
      </rPr>
      <t>Medium-43.01</t>
    </r>
    <r>
      <rPr>
        <sz val="11"/>
        <color rgb="FF000000"/>
        <rFont val="Calibri"/>
      </rPr>
      <t xml:space="preserve"> and </t>
    </r>
    <r>
      <rPr>
        <b/>
        <sz val="11"/>
        <color rgb="FF000000"/>
        <rFont val="Calibri"/>
      </rPr>
      <t>Medium-43.02</t>
    </r>
    <r>
      <rPr>
        <sz val="11"/>
        <color rgb="FF000000"/>
        <rFont val="Calibri"/>
      </rPr>
      <t>.</t>
    </r>
  </si>
  <si>
    <r>
      <rPr>
        <sz val="11"/>
        <color rgb="FF000000"/>
        <rFont val="Calibri"/>
      </rPr>
      <t>Malicious actors that compromise a user account with backup privileges can use such privilege to backup the contents of a workstation. This content can then be transferred to a non-domain connected workstation where malicious actors have administrative access. From here, malicious actors can restore the contents and take ownership, thereby circumventing all original access controls. Malicious actors with restore privileges could also exploit them to reinstate previously removed malicious files or replace legitimate files with malicious versions.</t>
    </r>
  </si>
  <si>
    <t>Medium-43.01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</si>
  <si>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</si>
  <si>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</si>
  <si>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</si>
  <si>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Users who are able to back up data from a computer could take the backup media to a non-domain computer on which they have administrative privileges and restore the data. They could take ownership of the files and view any unencrypted data that is contained within the backup set.</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</si>
  <si>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</si>
  <si>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Administrators, Backup Operators.</t>
    </r>
  </si>
  <si>
    <t>Medium-43.02</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</si>
  <si>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</si>
  <si>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</si>
  <si>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</si>
  <si>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threat actor with the Restore files and directories user right could restore sensitive data to a computer and overwrite data that is more recent, which could lead to loss of important data, data corruption, or a denial-of-service (DoS).</t>
    </r>
    <r>
      <rPr>
        <sz val="11"/>
        <color rgb="FF000000"/>
        <rFont val="Calibri"/>
      </rPr>
      <t xml:space="preserve">
</t>
    </r>
    <r>
      <rPr>
        <sz val="11"/>
        <color rgb="FF000000"/>
        <rFont val="Calibri"/>
      </rPr>
      <t>Threat actors could overwrite executable files that are used by legitimate administrators or system services with versions that include malicious software to grant themselves elevated privileges, compromise data, or install backdoors for continued access to the computer.</t>
    </r>
    <r>
      <rPr>
        <sz val="11"/>
        <color rgb="FF000000"/>
        <rFont val="Calibri"/>
      </rPr>
      <t xml:space="preserve">
</t>
    </r>
    <r>
      <rPr>
        <sz val="11"/>
        <color rgb="FF000000"/>
        <rFont val="Calibri"/>
      </rPr>
      <t>Note:</t>
    </r>
    <r>
      <rPr>
        <sz val="11"/>
        <color rgb="FF000000"/>
        <rFont val="Calibri"/>
      </rPr>
      <t xml:space="preserve">
</t>
    </r>
    <r>
      <rPr>
        <sz val="11"/>
        <color rgb="FF000000"/>
        <rFont val="Calibri"/>
      </rPr>
      <t>Even if the following countermeasure is configured, a threat actor could still restore data to a computer in a domain that is controlled by the actor. Therefore, it is critical that organizations carefully protect the media that is used to back up data.</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</si>
  <si>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</si>
  <si>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System cryptography</t>
  </si>
  <si>
    <t>Medium-44.00</t>
  </si>
  <si>
    <r>
      <rPr>
        <b/>
        <sz val="11"/>
        <color rgb="FF003B5C"/>
        <rFont val="Calibri"/>
      </rPr>
      <t>Section overview: 'System cryptography'</t>
    </r>
  </si>
  <si>
    <r>
      <rPr>
        <sz val="11"/>
        <color rgb="FF000000"/>
        <rFont val="Calibri"/>
      </rPr>
      <t xml:space="preserve">Configure the individual settings listed in recommendations </t>
    </r>
    <r>
      <rPr>
        <b/>
        <sz val="11"/>
        <color rgb="FF000000"/>
        <rFont val="Calibri"/>
      </rPr>
      <t>Medium-44.01</t>
    </r>
    <r>
      <rPr>
        <sz val="11"/>
        <color rgb="FF000000"/>
        <rFont val="Calibri"/>
      </rPr>
      <t xml:space="preserve"> and </t>
    </r>
    <r>
      <rPr>
        <b/>
        <sz val="11"/>
        <color rgb="FF000000"/>
        <rFont val="Calibri"/>
      </rPr>
      <t>Medium-44.02</t>
    </r>
    <r>
      <rPr>
        <sz val="11"/>
        <color rgb="FF000000"/>
        <rFont val="Calibri"/>
      </rPr>
      <t>.</t>
    </r>
  </si>
  <si>
    <r>
      <rPr>
        <sz val="11"/>
        <color rgb="FF000000"/>
        <rFont val="Calibri"/>
      </rPr>
      <t>By default, when cryptographic keys are stored in Microsoft Windows, users can access them without first entering a password to unlock the certificate store. Malicious actors that compromise a workstation, or gain physical access to an unlocked workstation, can use the user keys to access sensitive information or resources that are cryptographically protected. To reduce this risk, strong encryption algorithms and strong key protection should be used on workstations.</t>
    </r>
  </si>
  <si>
    <t>Medium-44.01</t>
  </si>
  <si>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</si>
  <si>
    <r>
      <rPr>
        <sz val="11"/>
        <color rgb="FF000000"/>
        <rFont val="Calibri"/>
      </rPr>
      <t xml:space="preserve">Set the following UI path to </t>
    </r>
    <r>
      <rPr>
        <b/>
        <sz val="11"/>
        <color rgb="FF000000"/>
        <rFont val="Calibri"/>
      </rPr>
      <t>User must enter a password each time they use a key</t>
    </r>
    <r>
      <rPr>
        <sz val="11"/>
        <color rgb="FF000000"/>
        <rFont val="Calibri"/>
      </rPr>
      <t xml:space="preserve"> or </t>
    </r>
    <r>
      <rPr>
        <b/>
        <sz val="11"/>
        <color rgb="FF000000"/>
        <rFont val="Calibri"/>
      </rPr>
      <t>User must enter a password each time they use a key</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Force strong key protection for user keys stored on the computer</t>
    </r>
    <r>
      <rPr>
        <sz val="11"/>
        <color rgb="FF006096"/>
        <rFont val="Roboto Condensed"/>
      </rPr>
      <t xml:space="preserve">
</t>
    </r>
  </si>
  <si>
    <r>
      <rPr>
        <sz val="11"/>
        <color rgb="FF000000"/>
        <rFont val="Calibri"/>
      </rPr>
      <t>This policy setting determines whether users' private keys (such as their S-MIME keys) require a password to be used.</t>
    </r>
    <r>
      <rPr>
        <sz val="11"/>
        <color rgb="FF000000"/>
        <rFont val="Calibri"/>
      </rPr>
      <t xml:space="preserve">
</t>
    </r>
    <r>
      <rPr>
        <sz val="11"/>
        <color rgb="FF000000"/>
        <rFont val="Calibri"/>
      </rPr>
      <t xml:space="preserve">The recommended state for this setting is: </t>
    </r>
    <r>
      <rPr>
        <b/>
        <sz val="11"/>
        <color rgb="FF000000"/>
        <rFont val="Calibri"/>
      </rPr>
      <t>User is prompted when the key is first used</t>
    </r>
    <r>
      <rPr>
        <sz val="11"/>
        <color rgb="FF000000"/>
        <rFont val="Calibri"/>
      </rPr>
      <t xml:space="preserve">. Configuring this setting to </t>
    </r>
    <r>
      <rPr>
        <b/>
        <sz val="11"/>
        <color rgb="FF000000"/>
        <rFont val="Calibri"/>
      </rPr>
      <t>User must enter a password each time they use a key</t>
    </r>
    <r>
      <rPr>
        <sz val="11"/>
        <color rgb="FF000000"/>
        <rFont val="Calibri"/>
      </rPr>
      <t xml:space="preserve"> also conforms to the benchmark.</t>
    </r>
  </si>
  <si>
    <r>
      <rPr>
        <sz val="11"/>
        <color rgb="FF000000"/>
        <rFont val="Calibri"/>
      </rPr>
      <t>If a user's account is compromised or their computer is inadvertently left unsecured the malicious user can use the keys stored for the user to access protected resources. You can configure this policy setting so that users must provide a password that is distinct from their domain password every time they use a key. This configuration makes it more difficult for a threat actor to access locally stored user keys, even if the threat actor takes control of the user's computer and determines their logon password.</t>
    </r>
  </si>
  <si>
    <r>
      <rPr>
        <sz val="11"/>
        <color rgb="FF000000"/>
        <rFont val="Calibri"/>
      </rPr>
      <t xml:space="preserve">Users will have to enter their password the first time they access a key that is stored on their computer. For example, if users use an S-MIME certificate to digitally sign their e-mail they will be forced to enter the password for that certificate the first time that they send a signed e-mail message. For even stronger security, the value </t>
    </r>
    <r>
      <rPr>
        <b/>
        <sz val="11"/>
        <color rgb="FF000000"/>
        <rFont val="Calibri"/>
      </rPr>
      <t>User must enter a password each time they use a key</t>
    </r>
    <r>
      <rPr>
        <sz val="11"/>
        <color rgb="FF000000"/>
        <rFont val="Calibri"/>
      </rPr>
      <t xml:space="preserve"> can be set, but the overhead that is involved using this configuration may be too high for some organizations.</t>
    </r>
    <r>
      <rPr>
        <sz val="11"/>
        <color rgb="FF000000"/>
        <rFont val="Calibri"/>
      </rPr>
      <t xml:space="preserve">
</t>
    </r>
    <r>
      <rPr>
        <sz val="11"/>
        <color rgb="FF000000"/>
        <rFont val="Calibri"/>
      </rPr>
      <t xml:space="preserve">Microsoft does not recommend enforcing this setting on servers due to the significant impact on manageability. For example, you may not be able to configure Remote Desktop Services to use SSL certificates. More information is available in the Windows PKI TechNet Blog here: What is a strong key protection in Windows? </t>
    </r>
    <r>
      <rPr>
        <sz val="11"/>
        <color rgb="FF0000FF"/>
        <rFont val="Calibri"/>
      </rPr>
      <t>(https://blogs.technet.microsoft.com/pki/2009/06/16/what-is-a-strong-key-protection-in-windows/)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</si>
  <si>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HKLM\SOFTWARE\Policies\Microsoft\Cryptography:ForceKeyProtection</t>
    </r>
    <r>
      <rPr>
        <sz val="11"/>
        <color rgb="FF006096"/>
        <rFont val="Roboto Condensed"/>
      </rPr>
      <t xml:space="preserve">
</t>
    </r>
  </si>
  <si>
    <r>
      <rPr>
        <sz val="11"/>
        <color rgb="FF000000"/>
        <rFont val="Calibri"/>
      </rPr>
      <t>User input is not required when new keys are stored and used.</t>
    </r>
  </si>
  <si>
    <t>Medium-44.02</t>
  </si>
  <si>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</si>
  <si>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Use FIPS compliant algorithms for encryption, hashing, and signing</t>
    </r>
    <r>
      <rPr>
        <sz val="11"/>
        <color rgb="FF006096"/>
        <rFont val="Roboto Condensed"/>
      </rPr>
      <t xml:space="preserve">
</t>
    </r>
  </si>
  <si>
    <t>UEFI passwords</t>
  </si>
  <si>
    <t>Medium-45.00</t>
  </si>
  <si>
    <r>
      <rPr>
        <b/>
        <sz val="11"/>
        <color rgb="FF003B5C"/>
        <rFont val="Calibri"/>
      </rPr>
      <t>Section overview: 'UEFI passwords'</t>
    </r>
  </si>
  <si>
    <r>
      <rPr>
        <sz val="11"/>
        <color rgb="FF000000"/>
        <rFont val="Calibri"/>
      </rPr>
      <t>Set a strong UEFI supervisor (administrator) password on all workstations. This is a firmware-level control that must be configured directly in the UEFI firmware settings and cannot be enforced through Group Policy.</t>
    </r>
  </si>
  <si>
    <r>
      <rPr>
        <sz val="11"/>
        <color rgb="FF000000"/>
        <rFont val="Calibri"/>
      </rPr>
      <t>Malicious actors with access to a workstation's UEFI can modify the hardware configuration of the workstation to introduce attack vectors or weaken security functionality within the workstation's operating system. This can include disabling security functionality in the CPU, modifying allowed boot devices and enabling insecure communications interfaces such as FireWire and Thunderbolt. To reduce this risk, strong UEFI passwords should be used for all workstations to prevent unauthorised access.</t>
    </r>
  </si>
  <si>
    <t>User rights policies</t>
  </si>
  <si>
    <t>Medium-46.00</t>
  </si>
  <si>
    <r>
      <rPr>
        <b/>
        <sz val="11"/>
        <color rgb="FF003B5C"/>
        <rFont val="Calibri"/>
      </rPr>
      <t>Section overview: 'User rights policies'</t>
    </r>
  </si>
  <si>
    <r>
      <rPr>
        <sz val="11"/>
        <color rgb="FF000000"/>
        <rFont val="Calibri"/>
      </rPr>
      <t xml:space="preserve">Configure the individual settings listed in recommendations </t>
    </r>
    <r>
      <rPr>
        <b/>
        <sz val="11"/>
        <color rgb="FF000000"/>
        <rFont val="Calibri"/>
      </rPr>
      <t>Medium-46.01</t>
    </r>
    <r>
      <rPr>
        <sz val="11"/>
        <color rgb="FF000000"/>
        <rFont val="Calibri"/>
      </rPr>
      <t xml:space="preserve"> through </t>
    </r>
    <r>
      <rPr>
        <b/>
        <sz val="11"/>
        <color rgb="FF000000"/>
        <rFont val="Calibri"/>
      </rPr>
      <t>Medium-46.22</t>
    </r>
    <r>
      <rPr>
        <sz val="11"/>
        <color rgb="FF000000"/>
        <rFont val="Calibri"/>
      </rPr>
      <t>.</t>
    </r>
  </si>
  <si>
    <r>
      <rPr>
        <sz val="11"/>
        <color rgb="FF000000"/>
        <rFont val="Calibri"/>
      </rPr>
      <t>By failing to comprehensively specify user rights policies, malicious actors may be able to exploit weaknesses in a workstation's Group Policy settings to gain access to sensitive information. To reduce this risk, user rights policies should be comprehensively specified.</t>
    </r>
  </si>
  <si>
    <t>Medium-46.01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</si>
  <si>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</si>
  <si>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</si>
  <si>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</si>
  <si>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If an account is given this right the user of the account may create an application that calls into Credential Manager and is returned the credentials for another user.</t>
    </r>
  </si>
  <si>
    <t>Medium-46.02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</si>
  <si>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</si>
  <si>
    <r>
      <rPr>
        <sz val="11"/>
        <color rgb="FF000000"/>
        <rFont val="Calibri"/>
      </rPr>
      <t xml:space="preserve">Set the following UI path to </t>
    </r>
    <r>
      <rPr>
        <b/>
        <sz val="11"/>
        <color rgb="FF000000"/>
        <rFont val="Calibri"/>
      </rPr>
      <t>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</si>
  <si>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this computer from the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</si>
  <si>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Users who can connect from their computer to the network can access resources on target computers for which they have permission. For example, the</t>
    </r>
    <r>
      <rPr>
        <sz val="11"/>
        <color rgb="FF000000"/>
        <rFont val="Calibri"/>
      </rPr>
      <t xml:space="preserve">
</t>
    </r>
    <r>
      <rPr>
        <sz val="11"/>
        <color rgb="FF000000"/>
        <rFont val="Calibri"/>
      </rPr>
      <t>Access this computer from the network</t>
    </r>
    <r>
      <rPr>
        <sz val="11"/>
        <color rgb="FF000000"/>
        <rFont val="Calibri"/>
      </rPr>
      <t xml:space="preserve">
</t>
    </r>
    <r>
      <rPr>
        <sz val="11"/>
        <color rgb="FF000000"/>
        <rFont val="Calibri"/>
      </rPr>
      <t>user right is required for users to connect to shared printers and folders. If this user right is assigned to the</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group, then anyone will be able to read the files in those shared folders. However, this situation is unlikely for new installations of Windows Server 2003 with Service Pack 1 (SP1), because the default share and NTFS permissions in Windows Server 2003 do not include the</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group. This vulnerability may have a higher level of risk for computers that you upgrade from Windows NT 4.0 or Windows 2000, because the default permissions for these operating systems are not as restrictive as the default permissions in Windows Server 2003.</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</si>
  <si>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</si>
  <si>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</si>
  <si>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Medium-46.03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</si>
  <si>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</si>
  <si>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</si>
  <si>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</si>
  <si>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t>
    </r>
    <r>
      <rPr>
        <sz val="11"/>
        <color rgb="FF000000"/>
        <rFont val="Calibri"/>
      </rPr>
      <t xml:space="preserve">
</t>
    </r>
    <r>
      <rPr>
        <sz val="11"/>
        <color rgb="FF000000"/>
        <rFont val="Calibri"/>
      </rPr>
      <t>Act as part of the operating system</t>
    </r>
    <r>
      <rPr>
        <sz val="11"/>
        <color rgb="FF000000"/>
        <rFont val="Calibri"/>
      </rPr>
      <t xml:space="preserve">
</t>
    </r>
    <r>
      <rPr>
        <sz val="11"/>
        <color rgb="FF000000"/>
        <rFont val="Calibri"/>
      </rPr>
      <t>user right is extremely powerful. Anyone with this user right can take complete control of the computer and erase evidence of their activities.</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</si>
  <si>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</si>
  <si>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Medium-46.04</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</si>
  <si>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</si>
  <si>
    <r>
      <rPr>
        <sz val="11"/>
        <color rgb="FF000000"/>
        <rFont val="Calibri"/>
      </rPr>
      <t xml:space="preserve">Set the following UI path to </t>
    </r>
    <r>
      <rPr>
        <b/>
        <sz val="11"/>
        <color rgb="FF000000"/>
        <rFont val="Calibri"/>
      </rPr>
      <t>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</si>
  <si>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</si>
  <si>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Any account with the</t>
    </r>
    <r>
      <rPr>
        <sz val="11"/>
        <color rgb="FF000000"/>
        <rFont val="Calibri"/>
      </rPr>
      <t xml:space="preserve">
</t>
    </r>
    <r>
      <rPr>
        <sz val="11"/>
        <color rgb="FF000000"/>
        <rFont val="Calibri"/>
      </rPr>
      <t>Allow log on locally</t>
    </r>
    <r>
      <rPr>
        <sz val="11"/>
        <color rgb="FF000000"/>
        <rFont val="Calibri"/>
      </rPr>
      <t xml:space="preserve">
</t>
    </r>
    <r>
      <rPr>
        <sz val="11"/>
        <color rgb="FF000000"/>
        <rFont val="Calibri"/>
      </rPr>
      <t>user right can log on at the console of the computer. If you do not restrict this user right to legitimate users who need to be able to log on to the console of the computer, unauthorized users could download and run malicious software to elevate their privileges.</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</si>
  <si>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</si>
  <si>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Guest, Users.</t>
    </r>
  </si>
  <si>
    <t>Medium-46.05</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</si>
  <si>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</si>
  <si>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</si>
  <si>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</si>
  <si>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Users who can change the page file size could make it extremely small or move the file to a highly fragmented storage volume, which could cause reduced computer performance.</t>
    </r>
  </si>
  <si>
    <t>Medium-46.06</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</si>
  <si>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</si>
  <si>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</si>
  <si>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</si>
  <si>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user account that is given this user right has complete control over the system and can lead to the system being compromised. It is highly recommended that you do not assign any user accounts this right.</t>
    </r>
    <r>
      <rPr>
        <sz val="11"/>
        <color rgb="FF000000"/>
        <rFont val="Calibri"/>
      </rPr>
      <t xml:space="preserve">
</t>
    </r>
    <r>
      <rPr>
        <sz val="11"/>
        <color rgb="FF000000"/>
        <rFont val="Calibri"/>
      </rPr>
      <t>The operating system examines a user's access token to determine the level of the user's privileges. Access tokens are built when users log on to the local computer or connect to a remote computer over a network. When you revoke a privilege, the change is immediately recorded, but the change is not reflected in the user's access token until the next time the user logs on or connects. Users with the ability to create or modify tokens can change the level of access for any currently logged on account. They could escalate their own privileges or create a DoS condition.</t>
    </r>
  </si>
  <si>
    <t>Medium-46.07</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</si>
  <si>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</si>
  <si>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</si>
  <si>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</si>
  <si>
    <r>
      <rPr>
        <sz val="11"/>
        <color rgb="FF000000"/>
        <rFont val="Calibri"/>
      </rPr>
      <t>Users who can create global objects could affect Windows services and processes that run under other user or system accounts. This capability could lead to a variety of problems, such as application failure, data corruption and elevation of privilege.</t>
    </r>
  </si>
  <si>
    <r>
      <rPr>
        <sz val="11"/>
        <color rgb="FF000000"/>
        <rFont val="Calibri"/>
      </rPr>
      <t>Administrators, LOCAL SERVICE, NETWORK SERVICE, SERVICE.</t>
    </r>
  </si>
  <si>
    <t>Medium-46.08</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</si>
  <si>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</si>
  <si>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</si>
  <si>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</si>
  <si>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Users who have the</t>
    </r>
    <r>
      <rPr>
        <sz val="11"/>
        <color rgb="FF000000"/>
        <rFont val="Calibri"/>
      </rPr>
      <t xml:space="preserve">
</t>
    </r>
    <r>
      <rPr>
        <sz val="11"/>
        <color rgb="FF000000"/>
        <rFont val="Calibri"/>
      </rPr>
      <t>Create permanent shared objects</t>
    </r>
    <r>
      <rPr>
        <sz val="11"/>
        <color rgb="FF000000"/>
        <rFont val="Calibri"/>
      </rPr>
      <t xml:space="preserve">
</t>
    </r>
    <r>
      <rPr>
        <sz val="11"/>
        <color rgb="FF000000"/>
        <rFont val="Calibri"/>
      </rPr>
      <t>user right could create new shared objects and expose sensitive data to the network.</t>
    </r>
  </si>
  <si>
    <t>Medium-46.09</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</si>
  <si>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</si>
  <si>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</si>
  <si>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</si>
  <si>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t>
    </r>
    <r>
      <rPr>
        <sz val="11"/>
        <color rgb="FF000000"/>
        <rFont val="Calibri"/>
      </rPr>
      <t xml:space="preserve">
</t>
    </r>
    <r>
      <rPr>
        <sz val="11"/>
        <color rgb="FF000000"/>
        <rFont val="Calibri"/>
      </rPr>
      <t>Debug programs</t>
    </r>
    <r>
      <rPr>
        <sz val="11"/>
        <color rgb="FF000000"/>
        <rFont val="Calibri"/>
      </rPr>
      <t xml:space="preserve">
</t>
    </r>
    <r>
      <rPr>
        <sz val="11"/>
        <color rgb="FF000000"/>
        <rFont val="Calibri"/>
      </rPr>
      <t>user right can be exploited to capture sensitive computer information from system memory, or to access and modify kernel or application structures. Some attack tools exploit this user right to extract hashed passwords and other private security information, or to insert rootkit code. By default, the</t>
    </r>
    <r>
      <rPr>
        <sz val="11"/>
        <color rgb="FF000000"/>
        <rFont val="Calibri"/>
      </rPr>
      <t xml:space="preserve">
</t>
    </r>
    <r>
      <rPr>
        <sz val="11"/>
        <color rgb="FF000000"/>
        <rFont val="Calibri"/>
      </rPr>
      <t>Debug programs</t>
    </r>
    <r>
      <rPr>
        <sz val="11"/>
        <color rgb="FF000000"/>
        <rFont val="Calibri"/>
      </rPr>
      <t xml:space="preserve">
</t>
    </r>
    <r>
      <rPr>
        <sz val="11"/>
        <color rgb="FF000000"/>
        <rFont val="Calibri"/>
      </rPr>
      <t>user right is assigned only to administrators, which helps to mitigate the risk from this vulnerability.</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</si>
  <si>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</si>
  <si>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Medium-46.10</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</si>
  <si>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</si>
  <si>
    <r>
      <rPr>
        <sz val="11"/>
        <color rgb="FF000000"/>
        <rFont val="Calibri"/>
      </rPr>
      <t xml:space="preserve">Set the following UI path to include </t>
    </r>
    <r>
      <rPr>
        <b/>
        <sz val="11"/>
        <color rgb="FF000000"/>
        <rFont val="Calibri"/>
      </rPr>
      <t>Administrators, NT AUTHORITY\Local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</si>
  <si>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has been installed </t>
    </r>
    <r>
      <rPr>
        <sz val="11"/>
        <color rgb="FF0000FF"/>
        <rFont val="Calibri"/>
      </rPr>
      <t>(http://support.microsoft.com/kb/2871997)</t>
    </r>
    <r>
      <rPr>
        <sz val="11"/>
        <color rgb="FF000000"/>
        <rFont val="Calibri"/>
      </rPr>
      <t>.</t>
    </r>
  </si>
  <si>
    <r>
      <rPr>
        <sz val="11"/>
        <color rgb="FF000000"/>
        <rFont val="Calibri"/>
      </rPr>
      <t>Users who can log on to the computer over the network can enumerate lists of account names, group names, and shared resources. Users with permission to access shared folders and files can connect over the network and possibly view or modify data.</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</si>
  <si>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</si>
  <si>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</si>
  <si>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Medium-46.11</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</si>
  <si>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</si>
  <si>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</si>
  <si>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</si>
  <si>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Accounts that have the</t>
    </r>
    <r>
      <rPr>
        <sz val="11"/>
        <color rgb="FF000000"/>
        <rFont val="Calibri"/>
      </rPr>
      <t xml:space="preserve">
</t>
    </r>
    <r>
      <rPr>
        <sz val="11"/>
        <color rgb="FF000000"/>
        <rFont val="Calibri"/>
      </rPr>
      <t>Log on as a batch job</t>
    </r>
    <r>
      <rPr>
        <sz val="11"/>
        <color rgb="FF000000"/>
        <rFont val="Calibri"/>
      </rPr>
      <t xml:space="preserve">
</t>
    </r>
    <r>
      <rPr>
        <sz val="11"/>
        <color rgb="FF000000"/>
        <rFont val="Calibri"/>
      </rPr>
      <t>user right could be used to schedule jobs that could consume excessive computer resources and cause a DoS condition.</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</si>
  <si>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</si>
  <si>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Medium-46.12</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</si>
  <si>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</si>
  <si>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</si>
  <si>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</si>
  <si>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Any account with the ability to log on locally could be used to log on at the console of the computer. If this user right is not restricted to legitimate users who need to log on to the console of the computer, unauthorized users might download and run malicious software that elevates their privileges.</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</si>
  <si>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</si>
  <si>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Medium-46.13</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</si>
  <si>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</si>
  <si>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</si>
  <si>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</si>
  <si>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Accounts that can log on as a service could be used to configure and start new unauthorized services, such as a keylogger or other malicious software. The benefit of the specified countermeasure is somewhat reduced by the fact that only users with administrative privileges can install and configure services, and a threat actor who has already attained that level of access could configure the service to run with the</t>
    </r>
    <r>
      <rPr>
        <sz val="11"/>
        <color rgb="FF000000"/>
        <rFont val="Calibri"/>
      </rPr>
      <t xml:space="preserve">
</t>
    </r>
    <r>
      <rPr>
        <sz val="11"/>
        <color rgb="FF000000"/>
        <rFont val="Calibri"/>
      </rPr>
      <t>System</t>
    </r>
    <r>
      <rPr>
        <sz val="11"/>
        <color rgb="FF000000"/>
        <rFont val="Calibri"/>
      </rPr>
      <t xml:space="preserve">
</t>
    </r>
    <r>
      <rPr>
        <sz val="11"/>
        <color rgb="FF000000"/>
        <rFont val="Calibri"/>
      </rPr>
      <t>account.</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</si>
  <si>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</si>
  <si>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Medium-46.14</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</si>
  <si>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</si>
  <si>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</si>
  <si>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</si>
  <si>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Misuse of this user right could allow unauthorized users to impersonate other users on the network. A threat actor could exploit this privilege to gain access to network resources and make it difficult to determine what has happened after a security incident.</t>
    </r>
  </si>
  <si>
    <t>Medium-46.15</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</si>
  <si>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</si>
  <si>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</si>
  <si>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</si>
  <si>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Any user who can shut down a computer could cause a DoS condition to occur. Therefore, this user right should be tightly restricted.</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</si>
  <si>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</si>
  <si>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t>Medium-46.16</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</si>
  <si>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</si>
  <si>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</si>
  <si>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</si>
  <si>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threat actor with the Impersonate a client after authentication user right could create a service, trick a client to make them connect to the service, and then impersonate that client to elevate the threat actor's level of access to that of the client.</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</si>
  <si>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</si>
  <si>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t>Medium-46.17</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</si>
  <si>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</si>
  <si>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</si>
  <si>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</si>
  <si>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Device drivers run as highly privileged code. A user or threat actor who has the Load and unload device drivers user right could unintentionally install malicious code that masquerades as a device driver. Administrators should exercise greater care and install only drivers with verified digital signatures.</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</si>
  <si>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</si>
  <si>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t>Medium-46.18</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</si>
  <si>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</si>
  <si>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</si>
  <si>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</si>
  <si>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Users with the</t>
    </r>
    <r>
      <rPr>
        <sz val="11"/>
        <color rgb="FF000000"/>
        <rFont val="Calibri"/>
      </rPr>
      <t xml:space="preserve">
</t>
    </r>
    <r>
      <rPr>
        <sz val="11"/>
        <color rgb="FF000000"/>
        <rFont val="Calibri"/>
      </rPr>
      <t>Lock pages in memory</t>
    </r>
    <r>
      <rPr>
        <sz val="11"/>
        <color rgb="FF000000"/>
        <rFont val="Calibri"/>
      </rPr>
      <t xml:space="preserve">
</t>
    </r>
    <r>
      <rPr>
        <sz val="11"/>
        <color rgb="FF000000"/>
        <rFont val="Calibri"/>
      </rPr>
      <t>user right could assign physical memory to several processes, which could leave little or no RAM for other processes and result in a DoS condition.</t>
    </r>
  </si>
  <si>
    <t>Medium-46.19</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</si>
  <si>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</si>
  <si>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</si>
  <si>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</si>
  <si>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Anyone who is assigned the</t>
    </r>
    <r>
      <rPr>
        <sz val="11"/>
        <color rgb="FF000000"/>
        <rFont val="Calibri"/>
      </rPr>
      <t xml:space="preserve">
</t>
    </r>
    <r>
      <rPr>
        <sz val="11"/>
        <color rgb="FF000000"/>
        <rFont val="Calibri"/>
      </rPr>
      <t>Modify firmware environment values</t>
    </r>
    <r>
      <rPr>
        <sz val="11"/>
        <color rgb="FF000000"/>
        <rFont val="Calibri"/>
      </rPr>
      <t xml:space="preserve">
</t>
    </r>
    <r>
      <rPr>
        <sz val="11"/>
        <color rgb="FF000000"/>
        <rFont val="Calibri"/>
      </rPr>
      <t>user right could configure the settings of a hardware component to cause it to fail, which could lead to data corruption or a DoS condition.</t>
    </r>
  </si>
  <si>
    <t>Medium-46.20</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</si>
  <si>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</si>
  <si>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</si>
  <si>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</si>
  <si>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r>
      <rPr>
        <sz val="11"/>
        <color rgb="FF000000"/>
        <rFont val="Calibri"/>
      </rPr>
      <t>A user who is assigned the</t>
    </r>
    <r>
      <rPr>
        <sz val="11"/>
        <color rgb="FF000000"/>
        <rFont val="Calibri"/>
      </rPr>
      <t xml:space="preserve">
</t>
    </r>
    <r>
      <rPr>
        <sz val="11"/>
        <color rgb="FF000000"/>
        <rFont val="Calibri"/>
      </rPr>
      <t>Perform volume maintenance tasks</t>
    </r>
    <r>
      <rPr>
        <sz val="11"/>
        <color rgb="FF000000"/>
        <rFont val="Calibri"/>
      </rPr>
      <t xml:space="preserve">
</t>
    </r>
    <r>
      <rPr>
        <sz val="11"/>
        <color rgb="FF000000"/>
        <rFont val="Calibri"/>
      </rPr>
      <t>user right could delete a volume, which could result in the loss of data or a DoS condition.</t>
    </r>
  </si>
  <si>
    <t>Medium-46.21</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</si>
  <si>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</si>
  <si>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</si>
  <si>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</si>
  <si>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The</t>
    </r>
    <r>
      <rPr>
        <sz val="11"/>
        <color rgb="FF000000"/>
        <rFont val="Calibri"/>
      </rPr>
      <t xml:space="preserve">
</t>
    </r>
    <r>
      <rPr>
        <sz val="11"/>
        <color rgb="FF000000"/>
        <rFont val="Calibri"/>
      </rPr>
      <t>Profile single process</t>
    </r>
    <r>
      <rPr>
        <sz val="11"/>
        <color rgb="FF000000"/>
        <rFont val="Calibri"/>
      </rPr>
      <t xml:space="preserve">
</t>
    </r>
    <r>
      <rPr>
        <sz val="11"/>
        <color rgb="FF000000"/>
        <rFont val="Calibri"/>
      </rPr>
      <t>user right presents a moderate vulnerability. A threat actor with this user right could monitor a computer's performance to help identify critical processes that they might wish to attack directly. The threat actor may also be able to determine what processes run on the computer so that they can identify countermeasures that they may need to avoid, such as antivirus software, an intrusion-detection system, or which other users are logged on to a computer.</t>
    </r>
  </si>
  <si>
    <t>Medium-46.22</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</si>
  <si>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</si>
  <si>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</si>
  <si>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</si>
  <si>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Any users with the</t>
    </r>
    <r>
      <rPr>
        <sz val="11"/>
        <color rgb="FF000000"/>
        <rFont val="Calibri"/>
      </rPr>
      <t xml:space="preserve">
</t>
    </r>
    <r>
      <rPr>
        <sz val="11"/>
        <color rgb="FF000000"/>
        <rFont val="Calibri"/>
      </rPr>
      <t>Take ownership of files or other objects</t>
    </r>
    <r>
      <rPr>
        <sz val="11"/>
        <color rgb="FF000000"/>
        <rFont val="Calibri"/>
      </rPr>
      <t xml:space="preserve">
</t>
    </r>
    <r>
      <rPr>
        <sz val="11"/>
        <color rgb="FF000000"/>
        <rFont val="Calibri"/>
      </rPr>
      <t>user right can take control of any object, regardless of the permissions on that object, and then make any changes they wish to that object. Such changes could result in exposure of data, corruption of data, or a DoS condition.</t>
    </r>
  </si>
  <si>
    <t>Virtualised web access</t>
  </si>
  <si>
    <t>Medium-47.00</t>
  </si>
  <si>
    <r>
      <rPr>
        <b/>
        <sz val="11"/>
        <color rgb="FF003B5C"/>
        <rFont val="Calibri"/>
      </rPr>
      <t>Section overview: 'Virtualised web access'</t>
    </r>
  </si>
  <si>
    <r>
      <rPr>
        <sz val="11"/>
        <color rgb="FF000000"/>
        <rFont val="Calibri"/>
      </rPr>
      <t>Configure Windows Defender Application Guard for Microsoft Edge to run browsing sessions in an isolated Hyper-V container. Refer to Microsoft documentation for deployment prerequisites and Group Policy configuration steps.</t>
    </r>
  </si>
  <si>
    <r>
      <rPr>
        <sz val="11"/>
        <color rgb="FF000000"/>
        <rFont val="Calibri"/>
      </rPr>
      <t xml:space="preserve">Malicious actors can often deliver malicious code directly to workstations via external web access. Once a workstation has been exploited, malicious actors can use these same communication paths for bi-directional communications to control their malicious code. To reduce this risk, web access on workstations should occur through a non-persistent virtual environment (e.g. using Windows Defender Application Guard for Microsoft Edge) </t>
    </r>
    <r>
      <rPr>
        <sz val="11"/>
        <color rgb="FF0000FF"/>
        <rFont val="Calibri"/>
      </rPr>
      <t>(https://docs.microsoft.com/en-us/windows/security/threat-protection/microsoft-defender-application-guard/md-app-guard-overview)</t>
    </r>
    <r>
      <rPr>
        <sz val="11"/>
        <color rgb="FF000000"/>
        <rFont val="Calibri"/>
      </rPr>
      <t>. When using a virtual environment, workstations will receive additional protection against intrusion attempts targeted at exploiting vulnerabilities in web browsers, as any successful attacks will be contained within the virtualised environment.</t>
    </r>
  </si>
  <si>
    <t>Web Proxy Auto Discovery protocol</t>
  </si>
  <si>
    <t>Medium-48.00</t>
  </si>
  <si>
    <r>
      <rPr>
        <b/>
        <sz val="11"/>
        <color rgb="FF003B5C"/>
        <rFont val="Calibri"/>
      </rPr>
      <t>Section overview: 'Web Proxy Auto Discovery protocol'</t>
    </r>
  </si>
  <si>
    <r>
      <rPr>
        <sz val="11"/>
        <color rgb="FF000000"/>
        <rFont val="Calibri"/>
      </rPr>
      <t xml:space="preserve">Disable the WPAD protocol by adding the entry </t>
    </r>
    <r>
      <rPr>
        <b/>
        <sz val="11"/>
        <color rgb="FF000000"/>
        <rFont val="Calibri"/>
      </rPr>
      <t>255.255.255.255 wpad</t>
    </r>
    <r>
      <rPr>
        <sz val="11"/>
        <color rgb="FF000000"/>
        <rFont val="Calibri"/>
      </rPr>
      <t xml:space="preserve"> to the hosts file at </t>
    </r>
    <r>
      <rPr>
        <b/>
        <sz val="11"/>
        <color rgb="FF000000"/>
        <rFont val="Calibri"/>
      </rPr>
      <t>%SystemDrive%\Windows\System32\Drivers\etc\hosts</t>
    </r>
    <r>
      <rPr>
        <sz val="11"/>
        <color rgb="FF000000"/>
        <rFont val="Calibri"/>
      </rPr>
      <t xml:space="preserve"> on each workstation. This can be deployed using Group Policy Preferences (Files) or a logon script.</t>
    </r>
  </si>
  <si>
    <r>
      <rPr>
        <sz val="11"/>
        <color rgb="FF000000"/>
        <rFont val="Calibri"/>
      </rPr>
      <t xml:space="preserve">The Web Proxy Auto Discovery (WPAD) protocol assists with the automatic detection of proxy settings for web browsers. Unfortunately, WPAD has suffered from a number of severe vulnerabilities. Organisations that do not rely on the use of the WPAD protocol should disable it. This can be achieved by modifying each workstation's host file at </t>
    </r>
    <r>
      <rPr>
        <b/>
        <sz val="11"/>
        <color rgb="FF000000"/>
        <rFont val="Calibri"/>
      </rPr>
      <t>%SystemDrive%\Windows\System32\Drivers\etc\hosts</t>
    </r>
    <r>
      <rPr>
        <sz val="11"/>
        <color rgb="FF000000"/>
        <rFont val="Calibri"/>
      </rPr>
      <t xml:space="preserve"> to create the following entry: </t>
    </r>
    <r>
      <rPr>
        <b/>
        <sz val="11"/>
        <color rgb="FF000000"/>
        <rFont val="Calibri"/>
      </rPr>
      <t>255.255.255.255 wpad</t>
    </r>
    <r>
      <rPr>
        <sz val="11"/>
        <color rgb="FF000000"/>
        <rFont val="Calibri"/>
      </rPr>
      <t>.</t>
    </r>
  </si>
  <si>
    <t>Windows Copilot</t>
  </si>
  <si>
    <t>Medium-49.00</t>
  </si>
  <si>
    <r>
      <rPr>
        <b/>
        <sz val="11"/>
        <color rgb="FF003B5C"/>
        <rFont val="Calibri"/>
      </rPr>
      <t>Section overview: 'Windows Copilot'</t>
    </r>
  </si>
  <si>
    <r>
      <rPr>
        <sz val="11"/>
        <color rgb="FF000000"/>
        <rFont val="Calibri"/>
      </rPr>
      <t xml:space="preserve">Disable Windows Copilot using a PowerShell script or AppLocker policy as described in Microsoft documentation </t>
    </r>
    <r>
      <rPr>
        <sz val="11"/>
        <color rgb="FF0000FF"/>
        <rFont val="Calibri"/>
      </rPr>
      <t>(https://learn.microsoft.com/en-us/copilot/copilot-in-windows-troubleshoot)</t>
    </r>
    <r>
      <rPr>
        <sz val="11"/>
        <color rgb="FF000000"/>
        <rFont val="Calibri"/>
      </rPr>
      <t>.</t>
    </r>
  </si>
  <si>
    <r>
      <rPr>
        <sz val="11"/>
        <color rgb="FF000000"/>
        <rFont val="Calibri"/>
      </rPr>
      <t xml:space="preserve">As part of the in-built artificially intelligence functionality of Microsoft Windows 11, users can use Windows Copilot (with either Bing Chat or Bing Chat Enterprise as the chat platform provider) </t>
    </r>
    <r>
      <rPr>
        <sz val="11"/>
        <color rgb="FF0000FF"/>
        <rFont val="Calibri"/>
      </rPr>
      <t>(https://support.microsoft.com/en-us/topic/welcome-to-copilot-in-windows-675708af-8c16-4675-afeb-85a5a476ccb0)</t>
    </r>
    <r>
      <rPr>
        <sz val="11"/>
        <color rgb="FF000000"/>
        <rFont val="Calibri"/>
      </rPr>
      <t>. Notably, however, this functionality, if used, could result in the accidental disclosure of sensitive information when sensitive terms or topics are searched for on the web. To reduce this risk, the ability to use Windows Copilot should be disabled until such time that organisations have made a risk-based decision on its use. Even then, only Windows Copilot configured with Bing Chat Enterprise as the chat platform provider should be considered for business and corporate environments.</t>
    </r>
  </si>
  <si>
    <t>Windows Remote Management</t>
  </si>
  <si>
    <t>Medium-50.00</t>
  </si>
  <si>
    <r>
      <rPr>
        <b/>
        <sz val="11"/>
        <color rgb="FF003B5C"/>
        <rFont val="Calibri"/>
      </rPr>
      <t>Section overview: 'Windows Remote Management'</t>
    </r>
  </si>
  <si>
    <r>
      <rPr>
        <sz val="11"/>
        <color rgb="FF000000"/>
        <rFont val="Calibri"/>
      </rPr>
      <t xml:space="preserve">Configure the individual settings listed in recommendations </t>
    </r>
    <r>
      <rPr>
        <b/>
        <sz val="11"/>
        <color rgb="FF000000"/>
        <rFont val="Calibri"/>
      </rPr>
      <t>Medium-50.01</t>
    </r>
    <r>
      <rPr>
        <sz val="11"/>
        <color rgb="FF000000"/>
        <rFont val="Calibri"/>
      </rPr>
      <t xml:space="preserve"> through </t>
    </r>
    <r>
      <rPr>
        <b/>
        <sz val="11"/>
        <color rgb="FF000000"/>
        <rFont val="Calibri"/>
      </rPr>
      <t>Medium-50.06</t>
    </r>
    <r>
      <rPr>
        <sz val="11"/>
        <color rgb="FF000000"/>
        <rFont val="Calibri"/>
      </rPr>
      <t>.</t>
    </r>
  </si>
  <si>
    <r>
      <rPr>
        <sz val="11"/>
        <color rgb="FF000000"/>
        <rFont val="Calibri"/>
      </rPr>
      <t xml:space="preserve">Windows Remote Management (WinRM) is the Microsoft implementation of the </t>
    </r>
    <r>
      <rPr>
        <sz val="11"/>
        <color rgb="FF0000FF"/>
        <rFont val="Calibri"/>
      </rPr>
      <t>(https://docs.microsoft.com/en-us/windows/win32/winrm/portal)</t>
    </r>
    <r>
      <rPr>
        <sz val="11"/>
        <color rgb="FF0000FF"/>
        <rFont val="Calibri"/>
      </rPr>
      <t>(https://docs.microsoft.com/en-us/windows/win32/winrm/ws-management-protocol)</t>
    </r>
    <r>
      <rPr>
        <sz val="11"/>
        <color rgb="FF000000"/>
        <rFont val="Calibri"/>
      </rPr>
      <t>WS-Management Protocol, which was developed as a public standard for remotely exchanging management data between devices that implement the protocol. If appropriate authentication and encryption is not implemented for this protocol, traffic may be subject to interception by malicious actors. To reduce this risk, Windows Remote Management should be securely configured.</t>
    </r>
  </si>
  <si>
    <t>Medium-50.01</t>
  </si>
  <si>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</si>
  <si>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</si>
  <si>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</si>
  <si>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Basic authentication is less robust than other authentication methods available in WinRM because credentials including passwords are transmitted in plain text. A threat actor who is able to capture packets on the network where WinRM is running may be able to determine the credentials used for accessing remote hosts via WinRM.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</si>
  <si>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</si>
  <si>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</si>
  <si>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Medium-50.02</t>
  </si>
  <si>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</si>
  <si>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</si>
  <si>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</si>
  <si>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Encrypting WinRM network traffic reduces the risk of a threat actor viewing or modifying WinRM messages as they transit the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</si>
  <si>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</si>
  <si>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</si>
  <si>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Medium-50.03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</si>
  <si>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</si>
  <si>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</si>
  <si>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</si>
  <si>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Digest authentication is less robust than other authentication methods available in WinRM. A threat actor who is able to capture packets on the network where WinRM is running may be able to determine the credentials used for accessing remote hosts via WinRM.</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</si>
  <si>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</si>
  <si>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</si>
  <si>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</si>
  <si>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Medium-50.04</t>
  </si>
  <si>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</si>
  <si>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Medium-50.05</t>
  </si>
  <si>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</si>
  <si>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Medium-50.06</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</si>
  <si>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</si>
  <si>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</si>
  <si>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</si>
  <si>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Although the ability to store RunAs credentials is a convenient feature it increases the risk of account compromise slightly. For example, if you forget to lock your desktop before leaving it unattended for a few minutes another person could access not only the desktop of your computer but also any hosts you manage via WinRM with cached RunAs credentials.</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</si>
  <si>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</si>
  <si>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</si>
  <si>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</si>
  <si>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 access</t>
  </si>
  <si>
    <t>Medium-51.00</t>
  </si>
  <si>
    <r>
      <rPr>
        <b/>
        <sz val="11"/>
        <color rgb="FF003B5C"/>
        <rFont val="Calibri"/>
      </rPr>
      <t>Section overview: 'Windows Remote Shell access'</t>
    </r>
  </si>
  <si>
    <r>
      <rPr>
        <sz val="11"/>
        <color rgb="FF000000"/>
        <rFont val="Calibri"/>
      </rPr>
      <t xml:space="preserve">Configure the setting listed in recommendation </t>
    </r>
    <r>
      <rPr>
        <b/>
        <sz val="11"/>
        <color rgb="FF000000"/>
        <rFont val="Calibri"/>
      </rPr>
      <t>Medium-51.01</t>
    </r>
    <r>
      <rPr>
        <sz val="11"/>
        <color rgb="FF000000"/>
        <rFont val="Calibri"/>
      </rPr>
      <t>.</t>
    </r>
  </si>
  <si>
    <r>
      <rPr>
        <sz val="11"/>
        <color rgb="FF000000"/>
        <rFont val="Calibri"/>
      </rPr>
      <t>When Windows Remote Shell is enabled it can allow malicious actors to remotely execute scripts and commands on workstations. To reduce this risk, Windows Remote Shell should be disabled.</t>
    </r>
  </si>
  <si>
    <t>Medium-51.01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</si>
  <si>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</si>
  <si>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</si>
  <si>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</si>
  <si>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Any feature is a potential avenue of attack, those that enable inbound network connections are particularly risky. Only enable the use of the Windows Remote Shell on trusted networks and when feasible employ additional controls such as IPsec.</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</si>
  <si>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</si>
  <si>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</si>
  <si>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</si>
  <si>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Windows Search</t>
  </si>
  <si>
    <t>Medium-52.00</t>
  </si>
  <si>
    <r>
      <rPr>
        <b/>
        <sz val="11"/>
        <color rgb="FF003B5C"/>
        <rFont val="Calibri"/>
      </rPr>
      <t>Section overview: 'Windows Search'</t>
    </r>
  </si>
  <si>
    <r>
      <rPr>
        <sz val="11"/>
        <color rgb="FF000000"/>
        <rFont val="Calibri"/>
      </rPr>
      <t xml:space="preserve">Configure the setting listed in recommendation </t>
    </r>
    <r>
      <rPr>
        <b/>
        <sz val="11"/>
        <color rgb="FF000000"/>
        <rFont val="Calibri"/>
      </rPr>
      <t>Medium-52.01</t>
    </r>
    <r>
      <rPr>
        <sz val="11"/>
        <color rgb="FF000000"/>
        <rFont val="Calibri"/>
      </rPr>
      <t>.</t>
    </r>
  </si>
  <si>
    <r>
      <rPr>
        <sz val="11"/>
        <color rgb="FF000000"/>
        <rFont val="Calibri"/>
      </rPr>
      <t>As part of the in-built search functionality of Microsoft Windows, users can search for web results in addition to local workstation results. This functionality if used could result in the accidental disclosure of sensitive information if sensitive terms are searched for automatically on the web. To reduce this risk, the ability to automatically search the web should be disabled.</t>
    </r>
  </si>
  <si>
    <t>Medium-52.01</t>
  </si>
  <si>
    <r>
      <rPr>
        <sz val="11"/>
        <rFont val="Calibri"/>
      </rPr>
      <t xml:space="preserve">Ensure </t>
    </r>
    <r>
      <rPr>
        <sz val="11"/>
        <color rgb="FF000000"/>
        <rFont val="Calibri"/>
      </rPr>
      <t>'</t>
    </r>
    <r>
      <rPr>
        <b/>
        <sz val="11"/>
        <color rgb="FF000000"/>
        <rFont val="Calibri"/>
      </rPr>
      <t>Don't search the web or display web results in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</si>
  <si>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Components\Search\Don't search the web or display web results in Search</t>
    </r>
    <r>
      <rPr>
        <sz val="11"/>
        <color rgb="FF006096"/>
        <rFont val="Roboto Condensed"/>
      </rPr>
      <t xml:space="preserve">
</t>
    </r>
  </si>
  <si>
    <t>Displaying file extensions</t>
  </si>
  <si>
    <t>Low-01.00</t>
  </si>
  <si>
    <r>
      <rPr>
        <b/>
        <sz val="11"/>
        <color rgb="FF003B5C"/>
        <rFont val="Calibri"/>
      </rPr>
      <t>Section overview: 'Displaying file extensions'</t>
    </r>
  </si>
  <si>
    <t>Low</t>
  </si>
  <si>
    <r>
      <rPr>
        <sz val="11"/>
        <color rgb="FF000000"/>
        <rFont val="Calibri"/>
      </rPr>
      <t xml:space="preserve">Configure the registry entry listed in recommendation </t>
    </r>
    <r>
      <rPr>
        <b/>
        <sz val="11"/>
        <color rgb="FF000000"/>
        <rFont val="Calibri"/>
      </rPr>
      <t>Low-01.01</t>
    </r>
    <r>
      <rPr>
        <sz val="11"/>
        <color rgb="FF000000"/>
        <rFont val="Calibri"/>
      </rPr>
      <t>.</t>
    </r>
  </si>
  <si>
    <r>
      <rPr>
        <sz val="11"/>
        <color rgb="FF000000"/>
        <rFont val="Calibri"/>
      </rPr>
      <t xml:space="preserve">When extensions for known file types are hidden, malicious actors can more easily use social engineering techniques to convince users to execute malicious email attachments. For example, a file named </t>
    </r>
    <r>
      <rPr>
        <i/>
        <sz val="11"/>
        <color rgb="FF000000"/>
        <rFont val="Calibri"/>
      </rPr>
      <t>vulnerability_assessment.pdf.exe</t>
    </r>
    <r>
      <rPr>
        <sz val="11"/>
        <color rgb="FF000000"/>
        <rFont val="Calibri"/>
      </rPr>
      <t xml:space="preserve"> could appear as </t>
    </r>
    <r>
      <rPr>
        <i/>
        <sz val="11"/>
        <color rgb="FF000000"/>
        <rFont val="Calibri"/>
      </rPr>
      <t>vulnerability_assessment.pdf</t>
    </r>
    <r>
      <rPr>
        <sz val="11"/>
        <color rgb="FF000000"/>
        <rFont val="Calibri"/>
      </rPr>
      <t xml:space="preserve"> to a user. To reduce this risk, hiding extensions for known file types should be disabled.</t>
    </r>
  </si>
  <si>
    <t>Low-01.01</t>
  </si>
  <si>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in HKEY_CURRENT_USER\Software\Microsoft\Windows\CurrentVersion\Explorer\Advanced</t>
    </r>
  </si>
  <si>
    <r>
      <rPr>
        <sz val="11"/>
        <color rgb="FF000000"/>
        <rFont val="Calibri"/>
      </rPr>
      <t xml:space="preserve">Set the following registry value to </t>
    </r>
    <r>
      <rPr>
        <b/>
        <sz val="11"/>
        <color rgb="FF000000"/>
        <rFont val="Calibri"/>
      </rPr>
      <t>REG_DWORD 0x00000000 (0)</t>
    </r>
    <r>
      <rPr>
        <sz val="11"/>
        <color rgb="FF000000"/>
        <rFont val="Calibri"/>
      </rPr>
      <t>:</t>
    </r>
    <r>
      <rPr>
        <sz val="11"/>
        <color rgb="FF000000"/>
        <rFont val="Calibri"/>
      </rPr>
      <t xml:space="preserve">
</t>
    </r>
    <r>
      <rPr>
        <sz val="11"/>
        <color rgb="FF006096"/>
        <rFont val="Roboto Condensed"/>
      </rPr>
      <t>HKEY_CURRENT_USER\Software\Microsoft\Windows\CurrentVersion\Explorer\Advanced\HideFileExt</t>
    </r>
    <r>
      <rPr>
        <sz val="11"/>
        <color rgb="FF006096"/>
        <rFont val="Roboto Condensed"/>
      </rPr>
      <t xml:space="preserve">
</t>
    </r>
    <r>
      <rPr>
        <sz val="11"/>
        <color rgb="FF000000"/>
        <rFont val="Calibri"/>
      </rPr>
      <t xml:space="preserve">
</t>
    </r>
    <r>
      <rPr>
        <sz val="11"/>
        <color rgb="FF000000"/>
        <rFont val="Calibri"/>
      </rPr>
      <t xml:space="preserve">Value type: </t>
    </r>
    <r>
      <rPr>
        <b/>
        <sz val="11"/>
        <color rgb="FF000000"/>
        <rFont val="Calibri"/>
      </rPr>
      <t>REG_DWORD</t>
    </r>
    <r>
      <rPr>
        <sz val="11"/>
        <color rgb="FF000000"/>
        <rFont val="Calibri"/>
      </rPr>
      <t xml:space="preserve">
</t>
    </r>
    <r>
      <rPr>
        <b/>
        <sz val="11"/>
        <color rgb="FF000000"/>
        <rFont val="Calibri"/>
      </rPr>
      <t>Note:</t>
    </r>
    <r>
      <rPr>
        <sz val="11"/>
        <color rgb="FF000000"/>
        <rFont val="Calibri"/>
      </rPr>
      <t xml:space="preserve"> This registry entry is deployed via Group Policy Preferences rather than a standard Group Policy administrative template setting.</t>
    </r>
  </si>
  <si>
    <t>File and folder security properties</t>
  </si>
  <si>
    <t>Low-02.00</t>
  </si>
  <si>
    <r>
      <rPr>
        <b/>
        <sz val="11"/>
        <color rgb="FF003B5C"/>
        <rFont val="Calibri"/>
      </rPr>
      <t>Section overview: 'File and folder security properties'</t>
    </r>
  </si>
  <si>
    <r>
      <rPr>
        <sz val="11"/>
        <color rgb="FF000000"/>
        <rFont val="Calibri"/>
      </rPr>
      <t xml:space="preserve">Configure the setting listed in recommendation </t>
    </r>
    <r>
      <rPr>
        <b/>
        <sz val="11"/>
        <color rgb="FF000000"/>
        <rFont val="Calibri"/>
      </rPr>
      <t>Low-02.01</t>
    </r>
    <r>
      <rPr>
        <sz val="11"/>
        <color rgb="FF000000"/>
        <rFont val="Calibri"/>
      </rPr>
      <t>.</t>
    </r>
  </si>
  <si>
    <r>
      <rPr>
        <sz val="11"/>
        <color rgb="FF000000"/>
        <rFont val="Calibri"/>
      </rPr>
      <t>By default, all users have the ability to view security properties of files and folders. This includes the security properties associated with files and folders as well as users and groups that they relate to. Malicious actors could use this information to target specific accounts that have access to sensitive information. To reduce this risk, users should not have the ability to view security properties of files and folders.</t>
    </r>
  </si>
  <si>
    <t>Low-02.01</t>
  </si>
  <si>
    <r>
      <rPr>
        <sz val="11"/>
        <rFont val="Calibri"/>
      </rPr>
      <t xml:space="preserve">Ensure </t>
    </r>
    <r>
      <rPr>
        <sz val="11"/>
        <color rgb="FF000000"/>
        <rFont val="Calibri"/>
      </rPr>
      <t>'</t>
    </r>
    <r>
      <rPr>
        <b/>
        <sz val="11"/>
        <color rgb="FF000000"/>
        <rFont val="Calibri"/>
      </rPr>
      <t>Remove Security tab</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</si>
  <si>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Components\File Explorer\Remove Security tab</t>
    </r>
    <r>
      <rPr>
        <sz val="11"/>
        <color rgb="FF006096"/>
        <rFont val="Roboto Condensed"/>
      </rPr>
      <t xml:space="preserve">
</t>
    </r>
  </si>
  <si>
    <t>Location awareness</t>
  </si>
  <si>
    <t>Low-03.00</t>
  </si>
  <si>
    <r>
      <rPr>
        <b/>
        <sz val="11"/>
        <color rgb="FF003B5C"/>
        <rFont val="Calibri"/>
      </rPr>
      <t>Section overview: 'Location awareness'</t>
    </r>
  </si>
  <si>
    <r>
      <rPr>
        <sz val="11"/>
        <color rgb="FF000000"/>
        <rFont val="Calibri"/>
      </rPr>
      <t xml:space="preserve">Configure the individual settings listed in recommendations </t>
    </r>
    <r>
      <rPr>
        <b/>
        <sz val="11"/>
        <color rgb="FF000000"/>
        <rFont val="Calibri"/>
      </rPr>
      <t>Low-03.01</t>
    </r>
    <r>
      <rPr>
        <sz val="11"/>
        <color rgb="FF000000"/>
        <rFont val="Calibri"/>
      </rPr>
      <t xml:space="preserve"> through </t>
    </r>
    <r>
      <rPr>
        <b/>
        <sz val="11"/>
        <color rgb="FF000000"/>
        <rFont val="Calibri"/>
      </rPr>
      <t>Low-03.03</t>
    </r>
    <r>
      <rPr>
        <sz val="11"/>
        <color rgb="FF000000"/>
        <rFont val="Calibri"/>
      </rPr>
      <t>.</t>
    </r>
  </si>
  <si>
    <r>
      <rPr>
        <sz val="11"/>
        <color rgb="FF000000"/>
        <rFont val="Calibri"/>
      </rPr>
      <t>When users interact with the internet their workstations often automatically provide geo-location details to websites or online services to assist them in tailoring content specific to the user's geographical region. This information can be captured by malicious actors to determine the location of a specific user. To reduce this risk, location services in the operating system and applications should be disabled.</t>
    </r>
  </si>
  <si>
    <t>Low-03.01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</si>
  <si>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</si>
  <si>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</si>
  <si>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</si>
  <si>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affects the location feature (e.g. GPS or other location tracking). From a security perspective, it’s not a good idea to reveal your location to software in most cases, but there are legitimate uses, such as mapping software. However, they should not be used in high security environments.</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</si>
  <si>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</si>
  <si>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</si>
  <si>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</si>
  <si>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Low-03.02</t>
  </si>
  <si>
    <r>
      <rPr>
        <sz val="11"/>
        <rFont val="Calibri"/>
      </rPr>
      <t xml:space="preserve">Ensure </t>
    </r>
    <r>
      <rPr>
        <sz val="11"/>
        <color rgb="FF000000"/>
        <rFont val="Calibri"/>
      </rPr>
      <t>'</t>
    </r>
    <r>
      <rPr>
        <b/>
        <sz val="11"/>
        <color rgb="FF000000"/>
        <rFont val="Calibri"/>
      </rPr>
      <t>Turn off location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</si>
  <si>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 scripting</t>
    </r>
    <r>
      <rPr>
        <sz val="11"/>
        <color rgb="FF006096"/>
        <rFont val="Roboto Condensed"/>
      </rPr>
      <t xml:space="preserve">
</t>
    </r>
  </si>
  <si>
    <t>Low-03.03</t>
  </si>
  <si>
    <r>
      <rPr>
        <sz val="11"/>
        <rFont val="Calibri"/>
      </rPr>
      <t xml:space="preserve">Ensure </t>
    </r>
    <r>
      <rPr>
        <sz val="11"/>
        <color rgb="FF000000"/>
        <rFont val="Calibri"/>
      </rPr>
      <t>'</t>
    </r>
    <r>
      <rPr>
        <b/>
        <sz val="11"/>
        <color rgb="FF000000"/>
        <rFont val="Calibri"/>
      </rPr>
      <t>Turn off Windows Location Provider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</si>
  <si>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Sensors\Windows Location Provider\Turn off Windows Location Provider</t>
    </r>
    <r>
      <rPr>
        <sz val="11"/>
        <color rgb="FF006096"/>
        <rFont val="Roboto Condensed"/>
      </rPr>
      <t xml:space="preserve">
</t>
    </r>
  </si>
  <si>
    <t>Microsoft Store</t>
  </si>
  <si>
    <t>Low-04.00</t>
  </si>
  <si>
    <r>
      <rPr>
        <b/>
        <sz val="11"/>
        <color rgb="FF003B5C"/>
        <rFont val="Calibri"/>
      </rPr>
      <t>Section overview: 'Microsoft Store'</t>
    </r>
  </si>
  <si>
    <r>
      <rPr>
        <sz val="11"/>
        <color rgb="FF000000"/>
        <rFont val="Calibri"/>
      </rPr>
      <t xml:space="preserve">Configure the individual settings listed in recommendations </t>
    </r>
    <r>
      <rPr>
        <b/>
        <sz val="11"/>
        <color rgb="FF000000"/>
        <rFont val="Calibri"/>
      </rPr>
      <t>Low-04.01</t>
    </r>
    <r>
      <rPr>
        <sz val="11"/>
        <color rgb="FF000000"/>
        <rFont val="Calibri"/>
      </rPr>
      <t xml:space="preserve"> through </t>
    </r>
    <r>
      <rPr>
        <b/>
        <sz val="11"/>
        <color rgb="FF000000"/>
        <rFont val="Calibri"/>
      </rPr>
      <t>Low-04.03</t>
    </r>
    <r>
      <rPr>
        <sz val="11"/>
        <color rgb="FF000000"/>
        <rFont val="Calibri"/>
      </rPr>
      <t>.</t>
    </r>
  </si>
  <si>
    <r>
      <rPr>
        <sz val="11"/>
        <color rgb="FF000000"/>
        <rFont val="Calibri"/>
      </rPr>
      <t>Whilst applications in the Microsoft Store are vetted by Microsoft, there is still a risk that users given access to the Microsoft Store could download and install potentially malicious applications or applications that cause conflicts with other endorsed applications on their workstation. To reduce this risk, access to the Microsoft Store should be disabled.</t>
    </r>
  </si>
  <si>
    <t>Low-04.01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</si>
  <si>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</si>
  <si>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access to the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</si>
  <si>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</si>
  <si>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Store service is a retail outlet built into Windows, primarily for consumer use. In an enterprise managed environment the IT department should be managing the installation of all applications to reduce the risk of the installation of vulnerable software.</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</si>
  <si>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</si>
  <si>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</si>
  <si>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</si>
  <si>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Low-04.02</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</si>
  <si>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</si>
  <si>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Store application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8.0 &amp; Server 2012 (non-R2)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</si>
  <si>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and MSKB 3135657 </t>
    </r>
    <r>
      <rPr>
        <sz val="11"/>
        <color rgb="FF0000FF"/>
        <rFont val="Calibri"/>
      </rPr>
      <t>(https://technet.microsoft.com/en-us/itpro/windows/manage/group-policies-for-enterprise-and-education-editions)</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</si>
  <si>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Only applications approved by an IT department should be installed. Allowing users to install third-party applications can lead to missed patches and potential zero day vulnerabilities.</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</si>
  <si>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</si>
  <si>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</si>
  <si>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</si>
  <si>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Low-04.03</t>
  </si>
  <si>
    <r>
      <rPr>
        <sz val="11"/>
        <rFont val="Calibri"/>
      </rPr>
      <t xml:space="preserve">Ensure </t>
    </r>
    <r>
      <rPr>
        <sz val="11"/>
        <color rgb="FF000000"/>
        <rFont val="Calibri"/>
      </rPr>
      <t>'</t>
    </r>
    <r>
      <rPr>
        <b/>
        <sz val="11"/>
        <color rgb="FF000000"/>
        <rFont val="Calibri"/>
      </rPr>
      <t>Remove Default Microsoft Store packages from the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</si>
  <si>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Deployment\Remove Default Microsoft Store packages from the system</t>
    </r>
    <r>
      <rPr>
        <sz val="11"/>
        <color rgb="FF006096"/>
        <rFont val="Roboto Condensed"/>
      </rPr>
      <t xml:space="preserve">
</t>
    </r>
  </si>
  <si>
    <t>Resultant Set of Policy reporting</t>
  </si>
  <si>
    <t>Low-05.00</t>
  </si>
  <si>
    <r>
      <rPr>
        <b/>
        <sz val="11"/>
        <color rgb="FF003B5C"/>
        <rFont val="Calibri"/>
      </rPr>
      <t>Section overview: 'Resultant Set of Policy reporting'</t>
    </r>
  </si>
  <si>
    <r>
      <rPr>
        <sz val="11"/>
        <color rgb="FF000000"/>
        <rFont val="Calibri"/>
      </rPr>
      <t xml:space="preserve">Configure the setting listed in recommendation </t>
    </r>
    <r>
      <rPr>
        <b/>
        <sz val="11"/>
        <color rgb="FF000000"/>
        <rFont val="Calibri"/>
      </rPr>
      <t>Low-05.01</t>
    </r>
    <r>
      <rPr>
        <sz val="11"/>
        <color rgb="FF000000"/>
        <rFont val="Calibri"/>
      </rPr>
      <t xml:space="preserve"> to disable users' ability to generate RSOP reports.</t>
    </r>
  </si>
  <si>
    <r>
      <rPr>
        <sz val="11"/>
        <color rgb="FF000000"/>
        <rFont val="Calibri"/>
      </rPr>
      <t>By default, all users have the ability to generate Resultant Set of Policy (RSOP) reports which allows them to view the Group Policy settings being applied to their workstation and user account. This information could be used by malicious actors to determine misconfigurations or weaknesses in Group Policy settings being applied to the workstation or the user account. To reduce this risk, users should not have the ability to generate RSOP reports.</t>
    </r>
  </si>
  <si>
    <t>Low-05.01</t>
  </si>
  <si>
    <r>
      <rPr>
        <sz val="11"/>
        <rFont val="Calibri"/>
      </rPr>
      <t xml:space="preserve">Ensure </t>
    </r>
    <r>
      <rPr>
        <sz val="11"/>
        <color rgb="FF000000"/>
        <rFont val="Calibri"/>
      </rPr>
      <t>'</t>
    </r>
    <r>
      <rPr>
        <b/>
        <sz val="11"/>
        <color rgb="FF000000"/>
        <rFont val="Calibri"/>
      </rPr>
      <t>Determine if interactive users can generate Resultant Set of Policy 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</si>
  <si>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Templates\System\Group Policy\Determine if interactive users can generate Resultant Set of Policy data</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</si>
  <si>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</si>
  <si>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</si>
  <si>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</si>
  <si>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</si>
  <si>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</si>
  <si>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</si>
  <si>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</si>
  <si>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</si>
  <si>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</si>
  <si>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</si>
  <si>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</si>
  <si>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</si>
  <si>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</si>
  <si>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</si>
  <si>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</si>
  <si>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</si>
  <si>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</si>
  <si>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</si>
  <si>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</si>
  <si>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</si>
  <si>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</si>
  <si>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</si>
  <si>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</si>
  <si>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</si>
  <si>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</si>
  <si>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</si>
  <si>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</si>
  <si>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</si>
  <si>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</si>
  <si>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Hardening Microsoft Windows 11 workstations</t>
  </si>
  <si>
    <t>Developed By:</t>
  </si>
  <si>
    <t>Australian Signals Directorate (ASD)</t>
  </si>
  <si>
    <t>Release Information:</t>
  </si>
  <si>
    <r>
      <rPr>
        <b/>
        <sz val="11"/>
        <color rgb="FF000000"/>
        <rFont val="Calibri"/>
      </rPr>
      <t>Version:</t>
    </r>
    <r>
      <rPr>
        <sz val="11"/>
        <color rgb="FF000000"/>
        <rFont val="Calibri"/>
      </rPr>
      <t xml:space="preserve"> 25H2     </t>
    </r>
    <r>
      <rPr>
        <b/>
        <sz val="11"/>
        <color rgb="FF000000"/>
        <rFont val="Calibri"/>
      </rPr>
      <t>Date:</t>
    </r>
    <r>
      <rPr>
        <sz val="11"/>
        <color rgb="FF000000"/>
        <rFont val="Calibri"/>
      </rPr>
      <t xml:space="preserve"> 23 January 2026     </t>
    </r>
    <r>
      <rPr>
        <b/>
        <sz val="11"/>
        <color rgb="FF000000"/>
        <rFont val="Calibri"/>
      </rPr>
      <t>Recommendation Count:</t>
    </r>
    <r>
      <rPr>
        <sz val="11"/>
        <color rgb="FF000000"/>
        <rFont val="Calibri"/>
      </rPr>
      <t xml:space="preserve"> 418</t>
    </r>
  </si>
  <si>
    <t>Reference Url:</t>
  </si>
  <si>
    <t>https://www.cyber.gov.au/resources-business-and-government/maintaining-devices-and-systems/system-hardening-and-administration/system-hardening/hardening-microsoft-windows-11-workstations</t>
  </si>
  <si>
    <t>Guide Overview:</t>
  </si>
  <si>
    <r>
      <rPr>
        <sz val="11"/>
        <color rgb="FF000000"/>
        <rFont val="Calibri"/>
      </rPr>
      <t>Workstations are often targeted by malicious actors using malicious websites, emails or removable media in an attempt to extract sensitive information. Hardening workstations is an important part of reducing this risk.</t>
    </r>
    <r>
      <rPr>
        <sz val="11"/>
        <color rgb="FF000000"/>
        <rFont val="Calibri"/>
      </rPr>
      <t xml:space="preserve">
</t>
    </r>
    <r>
      <rPr>
        <sz val="11"/>
        <color rgb="FF000000"/>
        <rFont val="Calibri"/>
      </rPr>
      <t>This publication provides recommendations on hardening workstations using Enterprise and Education editions of Microsoft Windows 11. Before implementing recommendations in this publication, thorough testing should be undertaken to ensure the potential for unintended negative impacts on business processes is reduced as much as possible.</t>
    </r>
    <r>
      <rPr>
        <sz val="11"/>
        <color rgb="FF000000"/>
        <rFont val="Calibri"/>
      </rPr>
      <t xml:space="preserve">
</t>
    </r>
    <r>
      <rPr>
        <sz val="11"/>
        <color rgb="FF000000"/>
        <rFont val="Calibri"/>
      </rPr>
      <t>While this publication refers to workstations, most recommendations are equally applicable to servers (with the exception of Domain Controllers) using Microsoft Windows Server.</t>
    </r>
    <r>
      <rPr>
        <sz val="11"/>
        <color rgb="FF000000"/>
        <rFont val="Calibri"/>
      </rPr>
      <t xml:space="preserve">
</t>
    </r>
    <r>
      <rPr>
        <sz val="11"/>
        <color rgb="FF000000"/>
        <rFont val="Calibri"/>
      </rPr>
      <t xml:space="preserve">Security features discussed in this publication, along with the names and locations of Group Policy settings, are taken from Microsoft Windows 11 version </t>
    </r>
    <r>
      <rPr>
        <sz val="11"/>
        <color rgb="FFFF0000"/>
        <rFont val="Calibri"/>
      </rPr>
      <t>25H2</t>
    </r>
    <r>
      <rPr>
        <sz val="11"/>
        <color rgb="FF000000"/>
        <rFont val="Calibri"/>
      </rPr>
      <t>, some differences will exist for earlier versions.</t>
    </r>
    <r>
      <rPr>
        <sz val="11"/>
        <color rgb="FF000000"/>
        <rFont val="Calibri"/>
      </rPr>
      <t xml:space="preserve">
</t>
    </r>
    <r>
      <rPr>
        <sz val="11"/>
        <color rgb="FF000000"/>
        <rFont val="Calibri"/>
      </rPr>
      <t>For cloud-based device managers, such as Microsoft Endpoint Manager, equivalents can be found for many of the Group Policy settings. Alternatively, there is often a function to import Group Policy settings into cloud-based device managers.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</si>
  <si>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</si>
  <si>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</si>
  <si>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</si>
  <si>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</si>
  <si>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</si>
  <si>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</si>
  <si>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</si>
  <si>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</si>
  <si>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</si>
  <si>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</si>
  <si>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</si>
  <si>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</si>
  <si>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</si>
  <si>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</si>
  <si>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</si>
  <si>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</si>
  <si>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</si>
  <si>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</si>
  <si>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</si>
  <si>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</si>
  <si>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</si>
  <si>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</si>
  <si>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</si>
  <si>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</si>
  <si>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</si>
  <si>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</si>
  <si>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</si>
  <si>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</si>
  <si>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</si>
  <si>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</si>
  <si>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</si>
  <si>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</si>
  <si>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</si>
  <si>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</si>
  <si>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</si>
  <si>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</si>
  <si>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</si>
  <si>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</si>
  <si>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</si>
  <si>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ASD Hardening Microsoft Windows 11 workstations 25H2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</si>
  <si>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</si>
  <si>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</si>
  <si>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</si>
  <si>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</si>
  <si>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</si>
  <si>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</si>
  <si>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</si>
  <si>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</si>
  <si>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</si>
  <si>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</si>
  <si>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</si>
  <si>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</si>
  <si>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</si>
  <si>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</si>
  <si>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</si>
  <si>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</si>
  <si>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</si>
  <si>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Priority</t>
  </si>
  <si>
    <t>Status by Context</t>
  </si>
  <si>
    <t>Status by Assessment</t>
  </si>
  <si>
    <t>Status by Phase</t>
  </si>
  <si>
    <t>Phase1</t>
  </si>
  <si>
    <t>Phase2</t>
  </si>
  <si>
    <t>Phase3</t>
  </si>
  <si>
    <t>Phase4</t>
  </si>
  <si>
    <t>Phase5</t>
  </si>
  <si>
    <t>Status by MoSCoW</t>
  </si>
  <si>
    <t>Must</t>
  </si>
  <si>
    <t>Should</t>
  </si>
  <si>
    <t>Could</t>
  </si>
  <si>
    <t>Won't</t>
  </si>
  <si>
    <t>Status by Operational Impact</t>
  </si>
  <si>
    <t>Ops Impact</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</si>
  <si>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</si>
  <si>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</si>
  <si>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</si>
  <si>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</si>
  <si>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</si>
  <si>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</si>
  <si>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</si>
  <si>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</si>
  <si>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</si>
  <si>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</si>
  <si>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</si>
  <si>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</si>
  <si>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(C99)</t>
  </si>
  <si>
    <t>% Must</t>
  </si>
  <si>
    <t>Should Count (C100)</t>
  </si>
  <si>
    <t>% Should</t>
  </si>
  <si>
    <t>Could Count (C101)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</si>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</sst>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wrapText="1"/>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365-4CC9-B488-6CCFBFC5397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365-4CC9-B488-6CCFBFC5397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418</c:v>
                </c:pt>
              </c:numCache>
            </c:numRef>
          </c:val>
          <c:extLst>
            <c:ext xmlns:c16="http://schemas.microsoft.com/office/drawing/2014/chart" uri="{C3380CC4-5D6E-409C-BE32-E72D297353CC}">
              <c16:uniqueId val="{00000002-A365-4CC9-B488-6CCFBFC5397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Priority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High</c:v>
                </c:pt>
                <c:pt idx="1">
                  <c:v>Low</c:v>
                </c:pt>
                <c:pt idx="2">
                  <c:v>Medium</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0821-44BF-81D0-9C8C6975858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High</c:v>
                </c:pt>
                <c:pt idx="1">
                  <c:v>Low</c:v>
                </c:pt>
                <c:pt idx="2">
                  <c:v>Medium</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0821-44BF-81D0-9C8C6975858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High</c:v>
                </c:pt>
                <c:pt idx="1">
                  <c:v>Low</c:v>
                </c:pt>
                <c:pt idx="2">
                  <c:v>Medium</c:v>
                </c:pt>
              </c:strCache>
            </c:strRef>
          </c:cat>
          <c:val>
            <c:numRef>
              <c:f>Dashboard!$E$29:$E$31</c:f>
              <c:numCache>
                <c:formatCode>General</c:formatCode>
                <c:ptCount val="3"/>
                <c:pt idx="0">
                  <c:v>86</c:v>
                </c:pt>
                <c:pt idx="1">
                  <c:v>14</c:v>
                </c:pt>
                <c:pt idx="2">
                  <c:v>318</c:v>
                </c:pt>
              </c:numCache>
            </c:numRef>
          </c:val>
          <c:extLst>
            <c:ext xmlns:c16="http://schemas.microsoft.com/office/drawing/2014/chart" uri="{C3380CC4-5D6E-409C-BE32-E72D297353CC}">
              <c16:uniqueId val="{00000002-0821-44BF-81D0-9C8C697585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Context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Dashboard!$B$46:$B$47</c:f>
              <c:strCache>
                <c:ptCount val="2"/>
                <c:pt idx="0">
                  <c:v>Computer</c:v>
                </c:pt>
                <c:pt idx="1">
                  <c:v>User</c:v>
                </c:pt>
              </c:strCache>
            </c:strRef>
          </c:cat>
          <c:val>
            <c:numRef>
              <c:f>Dashboard!$C$46:$C$47</c:f>
              <c:numCache>
                <c:formatCode>General</c:formatCode>
                <c:ptCount val="2"/>
                <c:pt idx="0">
                  <c:v>0</c:v>
                </c:pt>
                <c:pt idx="1">
                  <c:v>0</c:v>
                </c:pt>
              </c:numCache>
            </c:numRef>
          </c:val>
          <c:extLst>
            <c:ext xmlns:c16="http://schemas.microsoft.com/office/drawing/2014/chart" uri="{C3380CC4-5D6E-409C-BE32-E72D297353CC}">
              <c16:uniqueId val="{00000000-02CE-492F-BD7D-1358C231DD1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Dashboard!$B$46:$B$47</c:f>
              <c:strCache>
                <c:ptCount val="2"/>
                <c:pt idx="0">
                  <c:v>Computer</c:v>
                </c:pt>
                <c:pt idx="1">
                  <c:v>User</c:v>
                </c:pt>
              </c:strCache>
            </c:strRef>
          </c:cat>
          <c:val>
            <c:numRef>
              <c:f>Dashboard!$D$46:$D$47</c:f>
              <c:numCache>
                <c:formatCode>General</c:formatCode>
                <c:ptCount val="2"/>
                <c:pt idx="0">
                  <c:v>0</c:v>
                </c:pt>
                <c:pt idx="1">
                  <c:v>0</c:v>
                </c:pt>
              </c:numCache>
            </c:numRef>
          </c:val>
          <c:extLst>
            <c:ext xmlns:c16="http://schemas.microsoft.com/office/drawing/2014/chart" uri="{C3380CC4-5D6E-409C-BE32-E72D297353CC}">
              <c16:uniqueId val="{00000001-02CE-492F-BD7D-1358C231DD1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Dashboard!$B$46:$B$47</c:f>
              <c:strCache>
                <c:ptCount val="2"/>
                <c:pt idx="0">
                  <c:v>Computer</c:v>
                </c:pt>
                <c:pt idx="1">
                  <c:v>User</c:v>
                </c:pt>
              </c:strCache>
            </c:strRef>
          </c:cat>
          <c:val>
            <c:numRef>
              <c:f>Dashboard!$E$46:$E$47</c:f>
              <c:numCache>
                <c:formatCode>General</c:formatCode>
                <c:ptCount val="2"/>
                <c:pt idx="0">
                  <c:v>408</c:v>
                </c:pt>
                <c:pt idx="1">
                  <c:v>10</c:v>
                </c:pt>
              </c:numCache>
            </c:numRef>
          </c:val>
          <c:extLst>
            <c:ext xmlns:c16="http://schemas.microsoft.com/office/drawing/2014/chart" uri="{C3380CC4-5D6E-409C-BE32-E72D297353CC}">
              <c16:uniqueId val="{00000002-02CE-492F-BD7D-1358C231DD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Dashboard!$B$61:$B$62</c:f>
              <c:strCache>
                <c:ptCount val="2"/>
                <c:pt idx="0">
                  <c:v>Automated</c:v>
                </c:pt>
                <c:pt idx="1">
                  <c:v>Manual</c:v>
                </c:pt>
              </c:strCache>
            </c:strRef>
          </c:cat>
          <c:val>
            <c:numRef>
              <c:f>Dashboard!$C$61:$C$62</c:f>
              <c:numCache>
                <c:formatCode>General</c:formatCode>
                <c:ptCount val="2"/>
                <c:pt idx="0">
                  <c:v>0</c:v>
                </c:pt>
                <c:pt idx="1">
                  <c:v>0</c:v>
                </c:pt>
              </c:numCache>
            </c:numRef>
          </c:val>
          <c:extLst>
            <c:ext xmlns:c16="http://schemas.microsoft.com/office/drawing/2014/chart" uri="{C3380CC4-5D6E-409C-BE32-E72D297353CC}">
              <c16:uniqueId val="{00000000-DAAF-4812-A3AD-E1BF1AD0A25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Dashboard!$B$61:$B$62</c:f>
              <c:strCache>
                <c:ptCount val="2"/>
                <c:pt idx="0">
                  <c:v>Automated</c:v>
                </c:pt>
                <c:pt idx="1">
                  <c:v>Manual</c:v>
                </c:pt>
              </c:strCache>
            </c:strRef>
          </c:cat>
          <c:val>
            <c:numRef>
              <c:f>Dashboard!$D$61:$D$62</c:f>
              <c:numCache>
                <c:formatCode>General</c:formatCode>
                <c:ptCount val="2"/>
                <c:pt idx="0">
                  <c:v>0</c:v>
                </c:pt>
                <c:pt idx="1">
                  <c:v>0</c:v>
                </c:pt>
              </c:numCache>
            </c:numRef>
          </c:val>
          <c:extLst>
            <c:ext xmlns:c16="http://schemas.microsoft.com/office/drawing/2014/chart" uri="{C3380CC4-5D6E-409C-BE32-E72D297353CC}">
              <c16:uniqueId val="{00000001-DAAF-4812-A3AD-E1BF1AD0A25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Dashboard!$B$61:$B$62</c:f>
              <c:strCache>
                <c:ptCount val="2"/>
                <c:pt idx="0">
                  <c:v>Automated</c:v>
                </c:pt>
                <c:pt idx="1">
                  <c:v>Manual</c:v>
                </c:pt>
              </c:strCache>
            </c:strRef>
          </c:cat>
          <c:val>
            <c:numRef>
              <c:f>Dashboard!$E$61:$E$62</c:f>
              <c:numCache>
                <c:formatCode>General</c:formatCode>
                <c:ptCount val="2"/>
                <c:pt idx="0">
                  <c:v>334</c:v>
                </c:pt>
                <c:pt idx="1">
                  <c:v>84</c:v>
                </c:pt>
              </c:numCache>
            </c:numRef>
          </c:val>
          <c:extLst>
            <c:ext xmlns:c16="http://schemas.microsoft.com/office/drawing/2014/chart" uri="{C3380CC4-5D6E-409C-BE32-E72D297353CC}">
              <c16:uniqueId val="{00000002-DAAF-4812-A3AD-E1BF1AD0A2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Dashboard!$B$76:$B$81</c:f>
              <c:strCache>
                <c:ptCount val="6"/>
                <c:pt idx="0">
                  <c:v>Phase1</c:v>
                </c:pt>
                <c:pt idx="1">
                  <c:v>Phase2</c:v>
                </c:pt>
                <c:pt idx="2">
                  <c:v>Phase3</c:v>
                </c:pt>
                <c:pt idx="3">
                  <c:v>Phase4</c:v>
                </c:pt>
                <c:pt idx="4">
                  <c:v>Phase5</c:v>
                </c:pt>
                <c:pt idx="5">
                  <c:v>Pending</c:v>
                </c:pt>
              </c:strCache>
            </c:strRef>
          </c:cat>
          <c:val>
            <c:numRef>
              <c:f>Dashboard!$C$76:$C$81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2AE-4B5C-9A77-FE8B9EE8826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Dashboard!$B$76:$B$81</c:f>
              <c:strCache>
                <c:ptCount val="6"/>
                <c:pt idx="0">
                  <c:v>Phase1</c:v>
                </c:pt>
                <c:pt idx="1">
                  <c:v>Phase2</c:v>
                </c:pt>
                <c:pt idx="2">
                  <c:v>Phase3</c:v>
                </c:pt>
                <c:pt idx="3">
                  <c:v>Phase4</c:v>
                </c:pt>
                <c:pt idx="4">
                  <c:v>Phase5</c:v>
                </c:pt>
                <c:pt idx="5">
                  <c:v>Pending</c:v>
                </c:pt>
              </c:strCache>
            </c:strRef>
          </c:cat>
          <c:val>
            <c:numRef>
              <c:f>Dashboard!$D$76:$D$81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2AE-4B5C-9A77-FE8B9EE8826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Dashboard!$B$76:$B$81</c:f>
              <c:strCache>
                <c:ptCount val="6"/>
                <c:pt idx="0">
                  <c:v>Phase1</c:v>
                </c:pt>
                <c:pt idx="1">
                  <c:v>Phase2</c:v>
                </c:pt>
                <c:pt idx="2">
                  <c:v>Phase3</c:v>
                </c:pt>
                <c:pt idx="3">
                  <c:v>Phase4</c:v>
                </c:pt>
                <c:pt idx="4">
                  <c:v>Phase5</c:v>
                </c:pt>
                <c:pt idx="5">
                  <c:v>Pending</c:v>
                </c:pt>
              </c:strCache>
            </c:strRef>
          </c:cat>
          <c:val>
            <c:numRef>
              <c:f>Dashboard!$E$76:$E$81</c:f>
              <c:numCache>
                <c:formatCode>General</c:formatCode>
                <c:ptCount val="6"/>
                <c:pt idx="0">
                  <c:v>0</c:v>
                </c:pt>
                <c:pt idx="1">
                  <c:v>0</c:v>
                </c:pt>
                <c:pt idx="2">
                  <c:v>0</c:v>
                </c:pt>
                <c:pt idx="3">
                  <c:v>0</c:v>
                </c:pt>
                <c:pt idx="4">
                  <c:v>0</c:v>
                </c:pt>
                <c:pt idx="5">
                  <c:v>418</c:v>
                </c:pt>
              </c:numCache>
            </c:numRef>
          </c:val>
          <c:extLst>
            <c:ext xmlns:c16="http://schemas.microsoft.com/office/drawing/2014/chart" uri="{C3380CC4-5D6E-409C-BE32-E72D297353CC}">
              <c16:uniqueId val="{00000002-32AE-4B5C-9A77-FE8B9EE8826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Dashboard!$B$99:$B$103</c:f>
              <c:strCache>
                <c:ptCount val="5"/>
                <c:pt idx="0">
                  <c:v>Must</c:v>
                </c:pt>
                <c:pt idx="1">
                  <c:v>Should</c:v>
                </c:pt>
                <c:pt idx="2">
                  <c:v>Could</c:v>
                </c:pt>
                <c:pt idx="3">
                  <c:v>Won't</c:v>
                </c:pt>
                <c:pt idx="4">
                  <c:v>Unassigned</c:v>
                </c:pt>
              </c:strCache>
            </c:strRef>
          </c:cat>
          <c:val>
            <c:numRef>
              <c:f>Dashboard!$C$99:$C$103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0D0-438E-8AE3-5BDC54F11F0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Dashboard!$B$99:$B$103</c:f>
              <c:strCache>
                <c:ptCount val="5"/>
                <c:pt idx="0">
                  <c:v>Must</c:v>
                </c:pt>
                <c:pt idx="1">
                  <c:v>Should</c:v>
                </c:pt>
                <c:pt idx="2">
                  <c:v>Could</c:v>
                </c:pt>
                <c:pt idx="3">
                  <c:v>Won't</c:v>
                </c:pt>
                <c:pt idx="4">
                  <c:v>Unassigned</c:v>
                </c:pt>
              </c:strCache>
            </c:strRef>
          </c:cat>
          <c:val>
            <c:numRef>
              <c:f>Dashboard!$D$99:$D$103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0D0-438E-8AE3-5BDC54F11F0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Dashboard!$B$99:$B$103</c:f>
              <c:strCache>
                <c:ptCount val="5"/>
                <c:pt idx="0">
                  <c:v>Must</c:v>
                </c:pt>
                <c:pt idx="1">
                  <c:v>Should</c:v>
                </c:pt>
                <c:pt idx="2">
                  <c:v>Could</c:v>
                </c:pt>
                <c:pt idx="3">
                  <c:v>Won't</c:v>
                </c:pt>
                <c:pt idx="4">
                  <c:v>Unassigned</c:v>
                </c:pt>
              </c:strCache>
            </c:strRef>
          </c:cat>
          <c:val>
            <c:numRef>
              <c:f>Dashboard!$E$99:$E$103</c:f>
              <c:numCache>
                <c:formatCode>General</c:formatCode>
                <c:ptCount val="5"/>
                <c:pt idx="0">
                  <c:v>0</c:v>
                </c:pt>
                <c:pt idx="1">
                  <c:v>0</c:v>
                </c:pt>
                <c:pt idx="2">
                  <c:v>0</c:v>
                </c:pt>
                <c:pt idx="3">
                  <c:v>0</c:v>
                </c:pt>
                <c:pt idx="4">
                  <c:v>418</c:v>
                </c:pt>
              </c:numCache>
            </c:numRef>
          </c:val>
          <c:extLst>
            <c:ext xmlns:c16="http://schemas.microsoft.com/office/drawing/2014/chart" uri="{C3380CC4-5D6E-409C-BE32-E72D297353CC}">
              <c16:uniqueId val="{00000002-90D0-438E-8AE3-5BDC54F11F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Dashboard!$B$120:$B$123</c:f>
              <c:strCache>
                <c:ptCount val="4"/>
                <c:pt idx="0">
                  <c:v>Low</c:v>
                </c:pt>
                <c:pt idx="1">
                  <c:v>Medium</c:v>
                </c:pt>
                <c:pt idx="2">
                  <c:v>High</c:v>
                </c:pt>
                <c:pt idx="3">
                  <c:v>Unassessed</c:v>
                </c:pt>
              </c:strCache>
            </c:strRef>
          </c:cat>
          <c:val>
            <c:numRef>
              <c:f>Dashboard!$C$120:$C$123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E3B-4102-907B-AD879451A64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Dashboard!$B$120:$B$123</c:f>
              <c:strCache>
                <c:ptCount val="4"/>
                <c:pt idx="0">
                  <c:v>Low</c:v>
                </c:pt>
                <c:pt idx="1">
                  <c:v>Medium</c:v>
                </c:pt>
                <c:pt idx="2">
                  <c:v>High</c:v>
                </c:pt>
                <c:pt idx="3">
                  <c:v>Unassessed</c:v>
                </c:pt>
              </c:strCache>
            </c:strRef>
          </c:cat>
          <c:val>
            <c:numRef>
              <c:f>Dashboard!$D$120:$D$123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E3B-4102-907B-AD879451A64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Dashboard!$B$120:$B$123</c:f>
              <c:strCache>
                <c:ptCount val="4"/>
                <c:pt idx="0">
                  <c:v>Low</c:v>
                </c:pt>
                <c:pt idx="1">
                  <c:v>Medium</c:v>
                </c:pt>
                <c:pt idx="2">
                  <c:v>High</c:v>
                </c:pt>
                <c:pt idx="3">
                  <c:v>Unassessed</c:v>
                </c:pt>
              </c:strCache>
            </c:strRef>
          </c:cat>
          <c:val>
            <c:numRef>
              <c:f>Dashboard!$E$120:$E$123</c:f>
              <c:numCache>
                <c:formatCode>General</c:formatCode>
                <c:ptCount val="4"/>
                <c:pt idx="0">
                  <c:v>0</c:v>
                </c:pt>
                <c:pt idx="1">
                  <c:v>0</c:v>
                </c:pt>
                <c:pt idx="2">
                  <c:v>0</c:v>
                </c:pt>
                <c:pt idx="3">
                  <c:v>418</c:v>
                </c:pt>
              </c:numCache>
            </c:numRef>
          </c:val>
          <c:extLst>
            <c:ext xmlns:c16="http://schemas.microsoft.com/office/drawing/2014/chart" uri="{C3380CC4-5D6E-409C-BE32-E72D297353CC}">
              <c16:uniqueId val="{00000002-CE3B-4102-907B-AD879451A64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Dashboard!$P$156:$P$185</c:f>
              <c:numCache>
                <c:formatCode>yyyy\-mm\-dd</c:formatCode>
                <c:ptCount val="30"/>
              </c:numCache>
            </c:numRef>
          </c:cat>
          <c:val>
            <c:numRef>
              <c:f>Dashboard!$R$156:$R$185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9A8-4CE3-B9A4-6386236B32A2}"/>
            </c:ext>
          </c:extLst>
        </c:ser>
        <c:ser>
          <c:idx val="1"/>
          <c:order val="1"/>
          <c:tx>
            <c:v>Must % Resolved</c:v>
          </c:tx>
          <c:spPr>
            <a:ln w="22225" cap="rnd">
              <a:solidFill>
                <a:schemeClr val="accent2"/>
              </a:solidFill>
              <a:round/>
            </a:ln>
            <a:effectLst/>
          </c:spPr>
          <c:marker>
            <c:symbol val="none"/>
          </c:marker>
          <c:cat>
            <c:numRef>
              <c:f>Dashboard!$P$156:$P$185</c:f>
              <c:numCache>
                <c:formatCode>yyyy\-mm\-dd</c:formatCode>
                <c:ptCount val="30"/>
              </c:numCache>
            </c:numRef>
          </c:cat>
          <c:val>
            <c:numRef>
              <c:f>Dashboard!$T$156:$T$185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9A8-4CE3-B9A4-6386236B32A2}"/>
            </c:ext>
          </c:extLst>
        </c:ser>
        <c:ser>
          <c:idx val="2"/>
          <c:order val="2"/>
          <c:tx>
            <c:v>Should % Resolved</c:v>
          </c:tx>
          <c:spPr>
            <a:ln w="22225" cap="rnd">
              <a:solidFill>
                <a:schemeClr val="accent3"/>
              </a:solidFill>
              <a:round/>
            </a:ln>
            <a:effectLst/>
          </c:spPr>
          <c:marker>
            <c:symbol val="none"/>
          </c:marker>
          <c:cat>
            <c:numRef>
              <c:f>Dashboard!$P$156:$P$185</c:f>
              <c:numCache>
                <c:formatCode>yyyy\-mm\-dd</c:formatCode>
                <c:ptCount val="30"/>
              </c:numCache>
            </c:numRef>
          </c:cat>
          <c:val>
            <c:numRef>
              <c:f>Dashboard!$V$156:$V$185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9A8-4CE3-B9A4-6386236B32A2}"/>
            </c:ext>
          </c:extLst>
        </c:ser>
        <c:ser>
          <c:idx val="3"/>
          <c:order val="3"/>
          <c:tx>
            <c:v>Could % Resolved</c:v>
          </c:tx>
          <c:spPr>
            <a:ln w="22225" cap="rnd">
              <a:solidFill>
                <a:schemeClr val="accent4"/>
              </a:solidFill>
              <a:round/>
            </a:ln>
            <a:effectLst/>
          </c:spPr>
          <c:marker>
            <c:symbol val="none"/>
          </c:marker>
          <c:cat>
            <c:numRef>
              <c:f>Dashboard!$P$156:$P$185</c:f>
              <c:numCache>
                <c:formatCode>yyyy\-mm\-dd</c:formatCode>
                <c:ptCount val="30"/>
              </c:numCache>
            </c:numRef>
          </c:cat>
          <c:val>
            <c:numRef>
              <c:f>Dashboard!$X$156:$X$185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9A8-4CE3-B9A4-6386236B32A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Dashboard!$P$198:$P$217</c:f>
              <c:numCache>
                <c:formatCode>yyyy\-mm\-dd</c:formatCode>
                <c:ptCount val="20"/>
              </c:numCache>
            </c:numRef>
          </c:cat>
          <c:val>
            <c:numRef>
              <c:f>Dashboard!$R$198:$R$217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277-44C9-8BA1-BF198C97EE1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9.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ztsp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uuxbs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53</xdr:row>
      <xdr:rowOff>142875</xdr:rowOff>
    </xdr:to>
    <xdr:graphicFrame macro="">
      <xdr:nvGraphicFramePr>
        <xdr:cNvPr id="4" name="Chart4wu2g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56</xdr:row>
      <xdr:rowOff>95250</xdr:rowOff>
    </xdr:from>
    <xdr:to>
      <xdr:col>15</xdr:col>
      <xdr:colOff>28575</xdr:colOff>
      <xdr:row>68</xdr:row>
      <xdr:rowOff>142875</xdr:rowOff>
    </xdr:to>
    <xdr:graphicFrame macro="">
      <xdr:nvGraphicFramePr>
        <xdr:cNvPr id="5" name="Chartyh4le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73</xdr:row>
      <xdr:rowOff>95250</xdr:rowOff>
    </xdr:from>
    <xdr:to>
      <xdr:col>15</xdr:col>
      <xdr:colOff>28575</xdr:colOff>
      <xdr:row>90</xdr:row>
      <xdr:rowOff>0</xdr:rowOff>
    </xdr:to>
    <xdr:graphicFrame macro="">
      <xdr:nvGraphicFramePr>
        <xdr:cNvPr id="6" name="Chartct1wo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111</xdr:row>
      <xdr:rowOff>0</xdr:rowOff>
    </xdr:to>
    <xdr:graphicFrame macro="">
      <xdr:nvGraphicFramePr>
        <xdr:cNvPr id="7" name="Chart1vwl1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47625</xdr:colOff>
      <xdr:row>114</xdr:row>
      <xdr:rowOff>95250</xdr:rowOff>
    </xdr:from>
    <xdr:to>
      <xdr:col>15</xdr:col>
      <xdr:colOff>28575</xdr:colOff>
      <xdr:row>129</xdr:row>
      <xdr:rowOff>142875</xdr:rowOff>
    </xdr:to>
    <xdr:graphicFrame macro="">
      <xdr:nvGraphicFramePr>
        <xdr:cNvPr id="8" name="Chartsztd5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151</xdr:row>
      <xdr:rowOff>95250</xdr:rowOff>
    </xdr:from>
    <xdr:to>
      <xdr:col>14</xdr:col>
      <xdr:colOff>0</xdr:colOff>
      <xdr:row>174</xdr:row>
      <xdr:rowOff>38100</xdr:rowOff>
    </xdr:to>
    <xdr:graphicFrame macro="">
      <xdr:nvGraphicFramePr>
        <xdr:cNvPr id="9" name="Charthhckg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47625</xdr:colOff>
      <xdr:row>192</xdr:row>
      <xdr:rowOff>95250</xdr:rowOff>
    </xdr:from>
    <xdr:to>
      <xdr:col>14</xdr:col>
      <xdr:colOff>0</xdr:colOff>
      <xdr:row>210</xdr:row>
      <xdr:rowOff>123825</xdr:rowOff>
    </xdr:to>
    <xdr:graphicFrame macro="">
      <xdr:nvGraphicFramePr>
        <xdr:cNvPr id="10" name="Chartdkdjw2">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S419">
  <autoFilter ref="A1:S419" xr:uid="{00000000-0009-0000-0100-000001000000}"/>
  <tableColumns count="19">
    <tableColumn id="1" xr3:uid="{00000000-0010-0000-0000-000001000000}" name="Section"/>
    <tableColumn id="2" xr3:uid="{00000000-0010-0000-0000-000002000000}" name="Id"/>
    <tableColumn id="3" xr3:uid="{00000000-0010-0000-0000-000003000000}" name="Title"/>
    <tableColumn id="4" xr3:uid="{00000000-0010-0000-0000-000004000000}" name="Priority"/>
    <tableColumn id="5" xr3:uid="{00000000-0010-0000-0000-000005000000}" name="Context"/>
    <tableColumn id="6" xr3:uid="{00000000-0010-0000-0000-000006000000}" name="Assessment"/>
    <tableColumn id="7" xr3:uid="{00000000-0010-0000-0000-000007000000}" name="MoSCoW"/>
    <tableColumn id="8" xr3:uid="{00000000-0010-0000-0000-000008000000}" name="OpsImpact"/>
    <tableColumn id="9" xr3:uid="{00000000-0010-0000-0000-000009000000}" name="Phase"/>
    <tableColumn id="10" xr3:uid="{00000000-0010-0000-0000-00000A000000}" name="ImplStatus"/>
    <tableColumn id="11" xr3:uid="{00000000-0010-0000-0000-00000B000000}" name="Notes"/>
    <tableColumn id="12" xr3:uid="{00000000-0010-0000-0000-00000C000000}" name="Remediation"/>
    <tableColumn id="13" xr3:uid="{00000000-0010-0000-0000-00000D000000}" name="Description"/>
    <tableColumn id="14" xr3:uid="{00000000-0010-0000-0000-00000E000000}" name="Rationale"/>
    <tableColumn id="15" xr3:uid="{00000000-0010-0000-0000-00000F000000}" name="Impact"/>
    <tableColumn id="16" xr3:uid="{00000000-0010-0000-0000-000010000000}" name="Audit"/>
    <tableColumn id="17" xr3:uid="{00000000-0010-0000-0000-000011000000}" name="Default"/>
    <tableColumn id="18" xr3:uid="{00000000-0010-0000-0000-000012000000}" name="Status"/>
    <tableColumn id="19" xr3:uid="{00000000-0010-0000-0000-000013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gov.au/resources-business-and-government/maintaining-devices-and-systems/system-hardening-and-administration/system-hardening/hardening-microsoft-windows-11-workstation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2416</v>
      </c>
    </row>
    <row r="3" spans="2:3" ht="15" customHeight="1" x14ac:dyDescent="0.35"/>
    <row r="4" spans="2:3" ht="58" x14ac:dyDescent="0.35">
      <c r="B4" s="18" t="s">
        <v>2417</v>
      </c>
      <c r="C4" s="19" t="s">
        <v>2418</v>
      </c>
    </row>
    <row r="5" spans="2:3" x14ac:dyDescent="0.35">
      <c r="C5" s="19" t="s">
        <v>2419</v>
      </c>
    </row>
    <row r="6" spans="2:3" x14ac:dyDescent="0.35">
      <c r="C6" s="16" t="s">
        <v>2420</v>
      </c>
    </row>
    <row r="7" spans="2:3" ht="10" customHeight="1" x14ac:dyDescent="0.35"/>
    <row r="8" spans="2:3" ht="232" x14ac:dyDescent="0.35">
      <c r="B8" s="20" t="s">
        <v>2421</v>
      </c>
      <c r="C8" s="19" t="s">
        <v>2422</v>
      </c>
    </row>
    <row r="9" spans="2:3" ht="10" customHeight="1" x14ac:dyDescent="0.35"/>
    <row r="10" spans="2:3" ht="35" customHeight="1" x14ac:dyDescent="0.35">
      <c r="B10" s="20" t="s">
        <v>2423</v>
      </c>
      <c r="C10" s="19" t="s">
        <v>2424</v>
      </c>
    </row>
    <row r="11" spans="2:3" ht="75" customHeight="1" x14ac:dyDescent="0.35">
      <c r="B11" s="16" t="s">
        <v>28</v>
      </c>
      <c r="C11" s="19" t="s">
        <v>2425</v>
      </c>
    </row>
    <row r="12" spans="2:3" ht="47" customHeight="1" x14ac:dyDescent="0.35">
      <c r="B12" s="16" t="s">
        <v>28</v>
      </c>
      <c r="C12" s="19" t="s">
        <v>2426</v>
      </c>
    </row>
    <row r="13" spans="2:3" ht="35" customHeight="1" x14ac:dyDescent="0.35">
      <c r="B13" s="16" t="s">
        <v>28</v>
      </c>
      <c r="C13" s="19" t="s">
        <v>2427</v>
      </c>
    </row>
    <row r="14" spans="2:3" ht="32" customHeight="1" x14ac:dyDescent="0.35">
      <c r="B14" s="16" t="s">
        <v>28</v>
      </c>
      <c r="C14" s="19" t="s">
        <v>2428</v>
      </c>
    </row>
    <row r="15" spans="2:3" ht="30" customHeight="1" x14ac:dyDescent="0.35">
      <c r="B15" s="16" t="s">
        <v>28</v>
      </c>
      <c r="C15" s="19" t="s">
        <v>2429</v>
      </c>
    </row>
    <row r="16" spans="2:3" ht="10" customHeight="1" x14ac:dyDescent="0.35"/>
    <row r="17" spans="1:3" ht="145" customHeight="1" x14ac:dyDescent="0.35">
      <c r="B17" s="20" t="s">
        <v>2430</v>
      </c>
      <c r="C17" s="19" t="s">
        <v>2431</v>
      </c>
    </row>
    <row r="18" spans="1:3" ht="10" customHeight="1" x14ac:dyDescent="0.35"/>
    <row r="19" spans="1:3" ht="3" customHeight="1" x14ac:dyDescent="0.35">
      <c r="B19" s="21"/>
      <c r="C19" s="21"/>
    </row>
    <row r="20" spans="1:3" ht="12" customHeight="1" x14ac:dyDescent="0.35"/>
    <row r="21" spans="1:3" ht="35" customHeight="1" x14ac:dyDescent="0.35">
      <c r="A21" s="23"/>
      <c r="B21" s="24" t="s">
        <v>2432</v>
      </c>
      <c r="C21" s="25" t="s">
        <v>2433</v>
      </c>
    </row>
    <row r="22" spans="1:3" ht="18" customHeight="1" x14ac:dyDescent="0.35">
      <c r="A22" s="23"/>
      <c r="B22" s="23" t="s">
        <v>28</v>
      </c>
      <c r="C22" s="25" t="s">
        <v>2434</v>
      </c>
    </row>
    <row r="23" spans="1:3" ht="18" customHeight="1" x14ac:dyDescent="0.35">
      <c r="A23" s="23"/>
      <c r="B23" s="23" t="s">
        <v>28</v>
      </c>
      <c r="C23" s="25" t="s">
        <v>2435</v>
      </c>
    </row>
    <row r="24" spans="1:3" ht="18" customHeight="1" x14ac:dyDescent="0.35">
      <c r="A24" s="23"/>
      <c r="B24" s="23" t="s">
        <v>28</v>
      </c>
      <c r="C24" s="25" t="s">
        <v>2436</v>
      </c>
    </row>
    <row r="25" spans="1:3" ht="18" customHeight="1" x14ac:dyDescent="0.35">
      <c r="A25" s="23"/>
      <c r="B25" s="23" t="s">
        <v>28</v>
      </c>
      <c r="C25" s="25" t="s">
        <v>2437</v>
      </c>
    </row>
    <row r="26" spans="1:3" ht="18" customHeight="1" x14ac:dyDescent="0.35">
      <c r="A26" s="23"/>
      <c r="B26" s="23" t="s">
        <v>28</v>
      </c>
      <c r="C26" s="25" t="s">
        <v>2438</v>
      </c>
    </row>
    <row r="27" spans="1:3" ht="18" customHeight="1" x14ac:dyDescent="0.35">
      <c r="A27" s="23"/>
      <c r="B27" s="23" t="s">
        <v>28</v>
      </c>
      <c r="C27" s="25" t="s">
        <v>2439</v>
      </c>
    </row>
    <row r="28" spans="1:3" ht="18" customHeight="1" x14ac:dyDescent="0.35">
      <c r="A28" s="23"/>
      <c r="B28" s="23" t="s">
        <v>28</v>
      </c>
      <c r="C28" s="25" t="s">
        <v>2440</v>
      </c>
    </row>
    <row r="29" spans="1:3" ht="18" customHeight="1" x14ac:dyDescent="0.35">
      <c r="A29" s="23"/>
      <c r="B29" s="23" t="s">
        <v>28</v>
      </c>
      <c r="C29" s="25" t="s">
        <v>2441</v>
      </c>
    </row>
    <row r="30" spans="1:3" ht="44" customHeight="1" x14ac:dyDescent="0.35">
      <c r="A30" s="23"/>
      <c r="B30" s="23" t="s">
        <v>28</v>
      </c>
      <c r="C30" s="26" t="s">
        <v>2442</v>
      </c>
    </row>
    <row r="31" spans="1:3" ht="10" customHeight="1" x14ac:dyDescent="0.35"/>
    <row r="32" spans="1:3" ht="3" customHeight="1" x14ac:dyDescent="0.35">
      <c r="B32" s="21"/>
      <c r="C32" s="21"/>
    </row>
    <row r="33" spans="2:3" ht="12" customHeight="1" x14ac:dyDescent="0.35"/>
    <row r="34" spans="2:3" ht="21" x14ac:dyDescent="0.35">
      <c r="B34" s="27" t="s">
        <v>2443</v>
      </c>
      <c r="C34" s="28" t="s">
        <v>2444</v>
      </c>
    </row>
    <row r="36" spans="2:3" ht="18.5" x14ac:dyDescent="0.35">
      <c r="B36" s="27" t="s">
        <v>2445</v>
      </c>
      <c r="C36" s="29" t="s">
        <v>2446</v>
      </c>
    </row>
    <row r="37" spans="2:3" ht="27" customHeight="1" x14ac:dyDescent="0.35">
      <c r="B37" s="30" t="s">
        <v>2447</v>
      </c>
      <c r="C37" s="22" t="s">
        <v>2448</v>
      </c>
    </row>
    <row r="38" spans="2:3" ht="43.5" x14ac:dyDescent="0.35">
      <c r="B38" s="27" t="s">
        <v>2449</v>
      </c>
      <c r="C38" s="31" t="s">
        <v>2450</v>
      </c>
    </row>
    <row r="40" spans="2:3" ht="275.5" x14ac:dyDescent="0.35">
      <c r="B40" s="27" t="s">
        <v>2451</v>
      </c>
      <c r="C40" s="32" t="s">
        <v>2452</v>
      </c>
    </row>
    <row r="41" spans="2:3" ht="10" customHeight="1" x14ac:dyDescent="0.35"/>
    <row r="42" spans="2:3" ht="3" customHeight="1" x14ac:dyDescent="0.35">
      <c r="B42" s="21"/>
      <c r="C42" s="21"/>
    </row>
    <row r="43" spans="2:3" ht="12" customHeight="1" x14ac:dyDescent="0.35"/>
    <row r="44" spans="2:3" ht="130.5" x14ac:dyDescent="0.35">
      <c r="B44" s="18" t="s">
        <v>2453</v>
      </c>
      <c r="C44" s="19" t="s">
        <v>2454</v>
      </c>
    </row>
    <row r="45" spans="2:3" ht="6" customHeight="1" x14ac:dyDescent="0.35"/>
    <row r="46" spans="2:3" ht="217.5" x14ac:dyDescent="0.35">
      <c r="C46" s="19" t="s">
        <v>2455</v>
      </c>
    </row>
    <row r="47" spans="2:3" ht="6" customHeight="1" x14ac:dyDescent="0.35"/>
    <row r="48" spans="2:3" ht="43.5" x14ac:dyDescent="0.35">
      <c r="C48" s="19" t="s">
        <v>2456</v>
      </c>
    </row>
    <row r="49" spans="2:3" ht="10" customHeight="1" x14ac:dyDescent="0.35"/>
    <row r="50" spans="2:3" ht="3" customHeight="1" x14ac:dyDescent="0.35">
      <c r="B50" s="21"/>
      <c r="C50" s="21"/>
    </row>
    <row r="51" spans="2:3" ht="12" customHeight="1" x14ac:dyDescent="0.35"/>
    <row r="52" spans="2:3" ht="145" x14ac:dyDescent="0.35">
      <c r="B52" s="18" t="s">
        <v>2457</v>
      </c>
      <c r="C52" s="19" t="s">
        <v>2458</v>
      </c>
    </row>
    <row r="53" spans="2:3" ht="6" customHeight="1" x14ac:dyDescent="0.35"/>
    <row r="54" spans="2:3" ht="203" x14ac:dyDescent="0.35">
      <c r="C54" s="19" t="s">
        <v>2459</v>
      </c>
    </row>
    <row r="55" spans="2:3" ht="6" customHeight="1" x14ac:dyDescent="0.35"/>
    <row r="56" spans="2:3" ht="43.5" x14ac:dyDescent="0.35">
      <c r="C56" s="19" t="s">
        <v>2460</v>
      </c>
    </row>
    <row r="57" spans="2:3" ht="10" customHeight="1" x14ac:dyDescent="0.35"/>
    <row r="58" spans="2:3" ht="3" customHeight="1" x14ac:dyDescent="0.35">
      <c r="B58" s="21"/>
      <c r="C58" s="21"/>
    </row>
    <row r="59" spans="2:3" ht="12" customHeight="1" x14ac:dyDescent="0.35"/>
    <row r="60" spans="2:3" ht="101.5" x14ac:dyDescent="0.35">
      <c r="B60" s="18" t="s">
        <v>2461</v>
      </c>
      <c r="C60" s="19" t="s">
        <v>2462</v>
      </c>
    </row>
    <row r="61" spans="2:3" ht="6" customHeight="1" x14ac:dyDescent="0.35"/>
    <row r="62" spans="2:3" ht="145" x14ac:dyDescent="0.35">
      <c r="C62" s="19" t="s">
        <v>2463</v>
      </c>
    </row>
    <row r="63" spans="2:3" ht="6" customHeight="1" x14ac:dyDescent="0.35"/>
    <row r="64" spans="2:3" ht="43.5" x14ac:dyDescent="0.35">
      <c r="C64" s="19" t="s">
        <v>2464</v>
      </c>
    </row>
    <row r="65" spans="2:3" ht="10" customHeight="1" x14ac:dyDescent="0.35"/>
    <row r="66" spans="2:3" ht="3" customHeight="1" x14ac:dyDescent="0.35">
      <c r="B66" s="21"/>
      <c r="C66" s="21"/>
    </row>
    <row r="67" spans="2:3" ht="12" customHeight="1" x14ac:dyDescent="0.35"/>
    <row r="68" spans="2:3" ht="26" customHeight="1" x14ac:dyDescent="0.35">
      <c r="B68" s="33" t="s">
        <v>2465</v>
      </c>
    </row>
    <row r="69" spans="2:3" ht="8" customHeight="1" x14ac:dyDescent="0.35"/>
    <row r="70" spans="2:3" ht="20" customHeight="1" x14ac:dyDescent="0.35">
      <c r="B70" s="27" t="s">
        <v>2466</v>
      </c>
      <c r="C70" s="34" t="s">
        <v>2467</v>
      </c>
    </row>
    <row r="71" spans="2:3" ht="116" x14ac:dyDescent="0.35">
      <c r="C71" s="19" t="s">
        <v>2468</v>
      </c>
    </row>
    <row r="72" spans="2:3" ht="10" customHeight="1" x14ac:dyDescent="0.35"/>
    <row r="73" spans="2:3" ht="20" customHeight="1" x14ac:dyDescent="0.35">
      <c r="B73" s="27" t="s">
        <v>2469</v>
      </c>
      <c r="C73" s="34" t="s">
        <v>2470</v>
      </c>
    </row>
    <row r="74" spans="2:3" ht="116" x14ac:dyDescent="0.35">
      <c r="C74" s="19" t="s">
        <v>2471</v>
      </c>
    </row>
    <row r="75" spans="2:3" ht="10" customHeight="1" x14ac:dyDescent="0.35"/>
    <row r="76" spans="2:3" ht="20" customHeight="1" x14ac:dyDescent="0.35">
      <c r="B76" s="27" t="s">
        <v>2472</v>
      </c>
      <c r="C76" s="34" t="s">
        <v>2473</v>
      </c>
    </row>
    <row r="77" spans="2:3" ht="130.5" x14ac:dyDescent="0.35">
      <c r="C77" s="19" t="s">
        <v>2474</v>
      </c>
    </row>
    <row r="78" spans="2:3" ht="10" customHeight="1" x14ac:dyDescent="0.35"/>
    <row r="79" spans="2:3" ht="20" customHeight="1" x14ac:dyDescent="0.35">
      <c r="B79" s="27" t="s">
        <v>2475</v>
      </c>
      <c r="C79" s="34" t="s">
        <v>2476</v>
      </c>
    </row>
    <row r="80" spans="2:3" ht="130.5" x14ac:dyDescent="0.35">
      <c r="C80" s="19" t="s">
        <v>2477</v>
      </c>
    </row>
    <row r="81" spans="2:3" ht="10" customHeight="1" x14ac:dyDescent="0.35"/>
    <row r="82" spans="2:3" ht="20" customHeight="1" x14ac:dyDescent="0.35">
      <c r="B82" s="27" t="s">
        <v>2478</v>
      </c>
      <c r="C82" s="34" t="s">
        <v>2479</v>
      </c>
    </row>
    <row r="83" spans="2:3" ht="116" x14ac:dyDescent="0.35">
      <c r="C83" s="19" t="s">
        <v>2480</v>
      </c>
    </row>
    <row r="84" spans="2:3" ht="10" customHeight="1" x14ac:dyDescent="0.35"/>
    <row r="85" spans="2:3" ht="20" customHeight="1" x14ac:dyDescent="0.35">
      <c r="B85" s="27" t="s">
        <v>2481</v>
      </c>
      <c r="C85" s="34" t="s">
        <v>2482</v>
      </c>
    </row>
    <row r="86" spans="2:3" ht="116" x14ac:dyDescent="0.35">
      <c r="C86" s="19" t="s">
        <v>2483</v>
      </c>
    </row>
    <row r="87" spans="2:3" ht="10" customHeight="1" x14ac:dyDescent="0.35"/>
    <row r="88" spans="2:3" ht="20" customHeight="1" x14ac:dyDescent="0.35">
      <c r="B88" s="27" t="s">
        <v>2484</v>
      </c>
      <c r="C88" s="34" t="s">
        <v>2485</v>
      </c>
    </row>
    <row r="89" spans="2:3" ht="203" x14ac:dyDescent="0.35">
      <c r="C89" s="19" t="s">
        <v>2486</v>
      </c>
    </row>
    <row r="90" spans="2:3" ht="10" customHeight="1" x14ac:dyDescent="0.35"/>
    <row r="93" spans="2:3" ht="32" customHeight="1" x14ac:dyDescent="0.35">
      <c r="B93" s="262" t="s">
        <v>2415</v>
      </c>
      <c r="C93" s="262"/>
    </row>
  </sheetData>
  <sheetProtection password="90EA" sheet="1"/>
  <mergeCells count="1">
    <mergeCell ref="B93:C93"/>
  </mergeCells>
  <hyperlinks>
    <hyperlink ref="C5" r:id="rId1" xr:uid="{00000000-0004-0000-0000-000000000000}"/>
    <hyperlink ref="C6" r:id="rId2" xr:uid="{00000000-0004-0000-0000-000001000000}"/>
    <hyperlink ref="C38" r:id="rId3" xr:uid="{00000000-0004-0000-0000-000002000000}"/>
    <hyperlink ref="B9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5168</v>
      </c>
      <c r="B1" s="227" t="s">
        <v>1</v>
      </c>
      <c r="C1" s="227" t="s">
        <v>2645</v>
      </c>
      <c r="D1" s="227" t="s">
        <v>2646</v>
      </c>
      <c r="E1" s="227" t="s">
        <v>2651</v>
      </c>
      <c r="F1" s="227" t="s">
        <v>2652</v>
      </c>
      <c r="G1" s="227" t="s">
        <v>2653</v>
      </c>
      <c r="H1" s="227" t="s">
        <v>2654</v>
      </c>
      <c r="I1" s="227" t="s">
        <v>2655</v>
      </c>
      <c r="J1" s="227" t="s">
        <v>2656</v>
      </c>
      <c r="K1" s="227" t="s">
        <v>2657</v>
      </c>
      <c r="L1" s="227" t="s">
        <v>2658</v>
      </c>
      <c r="M1" s="227" t="s">
        <v>2659</v>
      </c>
      <c r="N1" s="227" t="s">
        <v>2660</v>
      </c>
      <c r="O1" s="227" t="s">
        <v>2661</v>
      </c>
      <c r="P1" s="227" t="s">
        <v>2662</v>
      </c>
      <c r="Q1" s="227" t="s">
        <v>2663</v>
      </c>
      <c r="R1" s="227" t="s">
        <v>2664</v>
      </c>
      <c r="S1" s="227" t="s">
        <v>2665</v>
      </c>
      <c r="T1" s="227" t="s">
        <v>2666</v>
      </c>
      <c r="U1" s="227" t="s">
        <v>2667</v>
      </c>
      <c r="V1" s="227" t="s">
        <v>2668</v>
      </c>
      <c r="W1" s="227" t="s">
        <v>2669</v>
      </c>
      <c r="X1" s="227" t="s">
        <v>2670</v>
      </c>
      <c r="Y1" s="227" t="s">
        <v>2671</v>
      </c>
      <c r="Z1" s="227" t="s">
        <v>2672</v>
      </c>
      <c r="AA1" s="227" t="s">
        <v>2673</v>
      </c>
      <c r="AB1" s="227" t="s">
        <v>2674</v>
      </c>
      <c r="AC1" s="227" t="s">
        <v>2675</v>
      </c>
      <c r="AD1" s="227" t="s">
        <v>2676</v>
      </c>
      <c r="AE1" s="227" t="s">
        <v>2677</v>
      </c>
      <c r="AF1" s="227" t="s">
        <v>2678</v>
      </c>
      <c r="AG1" s="227" t="s">
        <v>2679</v>
      </c>
      <c r="AH1" s="227" t="s">
        <v>2680</v>
      </c>
      <c r="AI1" s="227" t="s">
        <v>2681</v>
      </c>
      <c r="AJ1" s="227" t="s">
        <v>2682</v>
      </c>
      <c r="AK1" s="227" t="s">
        <v>2683</v>
      </c>
      <c r="AL1" s="227" t="s">
        <v>2684</v>
      </c>
      <c r="AM1" s="227" t="s">
        <v>2685</v>
      </c>
      <c r="AN1" s="227" t="s">
        <v>2686</v>
      </c>
      <c r="AO1" s="227" t="s">
        <v>2687</v>
      </c>
      <c r="AP1" s="227" t="s">
        <v>2688</v>
      </c>
      <c r="AQ1" s="227" t="s">
        <v>2689</v>
      </c>
      <c r="AR1" s="227" t="s">
        <v>2690</v>
      </c>
      <c r="AS1" s="228" t="s">
        <v>2691</v>
      </c>
    </row>
    <row r="2" spans="1:45" ht="60" customHeight="1" outlineLevel="1" x14ac:dyDescent="0.35">
      <c r="A2" s="220" t="s">
        <v>5169</v>
      </c>
      <c r="B2" s="207" t="s">
        <v>5170</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5169</v>
      </c>
      <c r="B3" s="208" t="s">
        <v>5171</v>
      </c>
      <c r="C3" s="209" t="s">
        <v>5172</v>
      </c>
      <c r="D3" s="211" t="s">
        <v>5173</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5169</v>
      </c>
      <c r="B4" s="208" t="s">
        <v>5174</v>
      </c>
      <c r="C4" s="209" t="s">
        <v>5175</v>
      </c>
      <c r="D4" s="211" t="s">
        <v>5176</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5169</v>
      </c>
      <c r="B5" s="208" t="s">
        <v>5177</v>
      </c>
      <c r="C5" s="209" t="s">
        <v>5178</v>
      </c>
      <c r="D5" s="211" t="s">
        <v>5179</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5169</v>
      </c>
      <c r="B6" s="208" t="s">
        <v>5180</v>
      </c>
      <c r="C6" s="209" t="s">
        <v>5181</v>
      </c>
      <c r="D6" s="211" t="s">
        <v>5182</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5169</v>
      </c>
      <c r="B7" s="208" t="s">
        <v>5183</v>
      </c>
      <c r="C7" s="209" t="s">
        <v>5184</v>
      </c>
      <c r="D7" s="211" t="s">
        <v>5185</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5169</v>
      </c>
      <c r="B8" s="208" t="s">
        <v>5186</v>
      </c>
      <c r="C8" s="209" t="s">
        <v>5187</v>
      </c>
      <c r="D8" s="211" t="s">
        <v>5188</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5169</v>
      </c>
      <c r="B9" s="208" t="s">
        <v>5189</v>
      </c>
      <c r="C9" s="209" t="s">
        <v>5190</v>
      </c>
      <c r="D9" s="211" t="s">
        <v>5191</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5169</v>
      </c>
      <c r="B10" s="208" t="s">
        <v>5192</v>
      </c>
      <c r="C10" s="209" t="s">
        <v>5193</v>
      </c>
      <c r="D10" s="211" t="s">
        <v>5194</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5169</v>
      </c>
      <c r="B11" s="208" t="s">
        <v>5195</v>
      </c>
      <c r="C11" s="209" t="s">
        <v>5196</v>
      </c>
      <c r="D11" s="211" t="s">
        <v>5197</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5169</v>
      </c>
      <c r="B12" s="208" t="s">
        <v>5198</v>
      </c>
      <c r="C12" s="209" t="s">
        <v>5199</v>
      </c>
      <c r="D12" s="211" t="s">
        <v>5200</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5169</v>
      </c>
      <c r="B13" s="208" t="s">
        <v>5201</v>
      </c>
      <c r="C13" s="209" t="s">
        <v>5202</v>
      </c>
      <c r="D13" s="211" t="s">
        <v>5203</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5169</v>
      </c>
      <c r="B14" s="208" t="s">
        <v>5204</v>
      </c>
      <c r="C14" s="209" t="s">
        <v>5205</v>
      </c>
      <c r="D14" s="211" t="s">
        <v>5206</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5169</v>
      </c>
      <c r="B15" s="208" t="s">
        <v>5207</v>
      </c>
      <c r="C15" s="209" t="s">
        <v>5208</v>
      </c>
      <c r="D15" s="211" t="s">
        <v>5209</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5169</v>
      </c>
      <c r="B16" s="208" t="s">
        <v>5210</v>
      </c>
      <c r="C16" s="209" t="s">
        <v>5211</v>
      </c>
      <c r="D16" s="211" t="s">
        <v>5212</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5169</v>
      </c>
      <c r="B17" s="208" t="s">
        <v>5213</v>
      </c>
      <c r="C17" s="209" t="s">
        <v>5214</v>
      </c>
      <c r="D17" s="211" t="s">
        <v>5215</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5169</v>
      </c>
      <c r="B18" s="208" t="s">
        <v>5216</v>
      </c>
      <c r="C18" s="209" t="s">
        <v>5217</v>
      </c>
      <c r="D18" s="211" t="s">
        <v>5218</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5169</v>
      </c>
      <c r="B19" s="208" t="s">
        <v>5219</v>
      </c>
      <c r="C19" s="209" t="s">
        <v>5220</v>
      </c>
      <c r="D19" s="211" t="s">
        <v>5221</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5169</v>
      </c>
      <c r="B20" s="208" t="s">
        <v>5222</v>
      </c>
      <c r="C20" s="209" t="s">
        <v>5223</v>
      </c>
      <c r="D20" s="211" t="s">
        <v>5224</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5169</v>
      </c>
      <c r="B21" s="208" t="s">
        <v>5225</v>
      </c>
      <c r="C21" s="209" t="s">
        <v>5226</v>
      </c>
      <c r="D21" s="211" t="s">
        <v>5227</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5169</v>
      </c>
      <c r="B22" s="208" t="s">
        <v>5228</v>
      </c>
      <c r="C22" s="209" t="s">
        <v>5229</v>
      </c>
      <c r="D22" s="211" t="s">
        <v>5230</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5169</v>
      </c>
      <c r="B23" s="208" t="s">
        <v>5231</v>
      </c>
      <c r="C23" s="209" t="s">
        <v>5232</v>
      </c>
      <c r="D23" s="211" t="s">
        <v>5233</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5169</v>
      </c>
      <c r="B24" s="208" t="s">
        <v>5234</v>
      </c>
      <c r="C24" s="209" t="s">
        <v>5235</v>
      </c>
      <c r="D24" s="211" t="s">
        <v>5236</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5169</v>
      </c>
      <c r="B25" s="208" t="s">
        <v>5237</v>
      </c>
      <c r="C25" s="209" t="s">
        <v>5238</v>
      </c>
      <c r="D25" s="211" t="s">
        <v>5239</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5169</v>
      </c>
      <c r="B26" s="208" t="s">
        <v>5240</v>
      </c>
      <c r="C26" s="209" t="s">
        <v>5241</v>
      </c>
      <c r="D26" s="211" t="s">
        <v>5242</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5169</v>
      </c>
      <c r="B27" s="208" t="s">
        <v>5243</v>
      </c>
      <c r="C27" s="209" t="s">
        <v>5244</v>
      </c>
      <c r="D27" s="211" t="s">
        <v>5245</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5169</v>
      </c>
      <c r="B28" s="208" t="s">
        <v>5246</v>
      </c>
      <c r="C28" s="209" t="s">
        <v>5247</v>
      </c>
      <c r="D28" s="211" t="s">
        <v>5248</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5169</v>
      </c>
      <c r="B29" s="208" t="s">
        <v>5249</v>
      </c>
      <c r="C29" s="209" t="s">
        <v>5250</v>
      </c>
      <c r="D29" s="211" t="s">
        <v>5251</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5169</v>
      </c>
      <c r="B30" s="208" t="s">
        <v>5252</v>
      </c>
      <c r="C30" s="209" t="s">
        <v>5253</v>
      </c>
      <c r="D30" s="211" t="s">
        <v>5254</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5169</v>
      </c>
      <c r="B31" s="208" t="s">
        <v>5255</v>
      </c>
      <c r="C31" s="209" t="s">
        <v>5256</v>
      </c>
      <c r="D31" s="211" t="s">
        <v>5257</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5169</v>
      </c>
      <c r="B32" s="208" t="s">
        <v>5258</v>
      </c>
      <c r="C32" s="209" t="s">
        <v>5259</v>
      </c>
      <c r="D32" s="211" t="s">
        <v>5260</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5169</v>
      </c>
      <c r="B33" s="208" t="s">
        <v>5261</v>
      </c>
      <c r="C33" s="209" t="s">
        <v>5262</v>
      </c>
      <c r="D33" s="211" t="s">
        <v>5263</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5169</v>
      </c>
      <c r="B34" s="208" t="s">
        <v>5264</v>
      </c>
      <c r="C34" s="209" t="s">
        <v>5265</v>
      </c>
      <c r="D34" s="211" t="s">
        <v>5266</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5169</v>
      </c>
      <c r="B35" s="208" t="s">
        <v>5267</v>
      </c>
      <c r="C35" s="209" t="s">
        <v>5268</v>
      </c>
      <c r="D35" s="211" t="s">
        <v>5269</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5169</v>
      </c>
      <c r="B36" s="208" t="s">
        <v>5270</v>
      </c>
      <c r="C36" s="209" t="s">
        <v>5271</v>
      </c>
      <c r="D36" s="211" t="s">
        <v>5272</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5169</v>
      </c>
      <c r="B37" s="208" t="s">
        <v>5273</v>
      </c>
      <c r="C37" s="209" t="s">
        <v>5274</v>
      </c>
      <c r="D37" s="211" t="s">
        <v>5275</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5169</v>
      </c>
      <c r="B38" s="208" t="s">
        <v>5276</v>
      </c>
      <c r="C38" s="209" t="s">
        <v>5277</v>
      </c>
      <c r="D38" s="211" t="s">
        <v>5278</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5169</v>
      </c>
      <c r="B39" s="208" t="s">
        <v>5279</v>
      </c>
      <c r="C39" s="209" t="s">
        <v>5280</v>
      </c>
      <c r="D39" s="211" t="s">
        <v>5281</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5282</v>
      </c>
      <c r="B40" s="207" t="s">
        <v>5283</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5282</v>
      </c>
      <c r="B41" s="208" t="s">
        <v>5284</v>
      </c>
      <c r="C41" s="209" t="s">
        <v>5285</v>
      </c>
      <c r="D41" s="211" t="s">
        <v>5286</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5282</v>
      </c>
      <c r="B42" s="208" t="s">
        <v>5287</v>
      </c>
      <c r="C42" s="209" t="s">
        <v>5288</v>
      </c>
      <c r="D42" s="211" t="s">
        <v>5289</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5282</v>
      </c>
      <c r="B43" s="208" t="s">
        <v>5290</v>
      </c>
      <c r="C43" s="209" t="s">
        <v>5291</v>
      </c>
      <c r="D43" s="211" t="s">
        <v>5292</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5282</v>
      </c>
      <c r="B44" s="208" t="s">
        <v>5293</v>
      </c>
      <c r="C44" s="209" t="s">
        <v>5294</v>
      </c>
      <c r="D44" s="211" t="s">
        <v>5295</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5282</v>
      </c>
      <c r="B45" s="208" t="s">
        <v>5296</v>
      </c>
      <c r="C45" s="209" t="s">
        <v>5297</v>
      </c>
      <c r="D45" s="211" t="s">
        <v>5298</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5282</v>
      </c>
      <c r="B46" s="208" t="s">
        <v>5299</v>
      </c>
      <c r="C46" s="209" t="s">
        <v>5300</v>
      </c>
      <c r="D46" s="211" t="s">
        <v>5301</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5282</v>
      </c>
      <c r="B47" s="208" t="s">
        <v>5302</v>
      </c>
      <c r="C47" s="209" t="s">
        <v>5303</v>
      </c>
      <c r="D47" s="211" t="s">
        <v>5304</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5282</v>
      </c>
      <c r="B48" s="208" t="s">
        <v>5305</v>
      </c>
      <c r="C48" s="209" t="s">
        <v>5306</v>
      </c>
      <c r="D48" s="211" t="s">
        <v>5307</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5308</v>
      </c>
      <c r="B49" s="207" t="s">
        <v>5309</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5308</v>
      </c>
      <c r="B50" s="208" t="s">
        <v>5310</v>
      </c>
      <c r="C50" s="209" t="s">
        <v>5311</v>
      </c>
      <c r="D50" s="211" t="s">
        <v>5312</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5308</v>
      </c>
      <c r="B51" s="208" t="s">
        <v>5313</v>
      </c>
      <c r="C51" s="209" t="s">
        <v>5314</v>
      </c>
      <c r="D51" s="211" t="s">
        <v>5315</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5308</v>
      </c>
      <c r="B52" s="208" t="s">
        <v>5316</v>
      </c>
      <c r="C52" s="209" t="s">
        <v>5317</v>
      </c>
      <c r="D52" s="211" t="s">
        <v>5318</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5308</v>
      </c>
      <c r="B53" s="208" t="s">
        <v>5319</v>
      </c>
      <c r="C53" s="209" t="s">
        <v>5320</v>
      </c>
      <c r="D53" s="211" t="s">
        <v>5321</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5308</v>
      </c>
      <c r="B54" s="208" t="s">
        <v>5322</v>
      </c>
      <c r="C54" s="209" t="s">
        <v>5323</v>
      </c>
      <c r="D54" s="211" t="s">
        <v>5324</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5308</v>
      </c>
      <c r="B55" s="208" t="s">
        <v>5325</v>
      </c>
      <c r="C55" s="209" t="s">
        <v>5326</v>
      </c>
      <c r="D55" s="211" t="s">
        <v>5327</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5308</v>
      </c>
      <c r="B56" s="208" t="s">
        <v>5328</v>
      </c>
      <c r="C56" s="209" t="s">
        <v>5329</v>
      </c>
      <c r="D56" s="211" t="s">
        <v>5330</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5308</v>
      </c>
      <c r="B57" s="208" t="s">
        <v>5331</v>
      </c>
      <c r="C57" s="209" t="s">
        <v>5332</v>
      </c>
      <c r="D57" s="211" t="s">
        <v>5333</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5308</v>
      </c>
      <c r="B58" s="208" t="s">
        <v>5334</v>
      </c>
      <c r="C58" s="209" t="s">
        <v>5335</v>
      </c>
      <c r="D58" s="211" t="s">
        <v>5336</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5308</v>
      </c>
      <c r="B59" s="208" t="s">
        <v>5337</v>
      </c>
      <c r="C59" s="209" t="s">
        <v>5338</v>
      </c>
      <c r="D59" s="211" t="s">
        <v>5339</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5308</v>
      </c>
      <c r="B60" s="208" t="s">
        <v>5340</v>
      </c>
      <c r="C60" s="209" t="s">
        <v>5341</v>
      </c>
      <c r="D60" s="211" t="s">
        <v>5342</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5308</v>
      </c>
      <c r="B61" s="208" t="s">
        <v>5343</v>
      </c>
      <c r="C61" s="209" t="s">
        <v>5344</v>
      </c>
      <c r="D61" s="211" t="s">
        <v>5345</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5308</v>
      </c>
      <c r="B62" s="208" t="s">
        <v>5346</v>
      </c>
      <c r="C62" s="209" t="s">
        <v>5347</v>
      </c>
      <c r="D62" s="211" t="s">
        <v>5348</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5308</v>
      </c>
      <c r="B63" s="208" t="s">
        <v>5349</v>
      </c>
      <c r="C63" s="209" t="s">
        <v>5350</v>
      </c>
      <c r="D63" s="211" t="s">
        <v>5351</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5352</v>
      </c>
      <c r="B64" s="207" t="s">
        <v>5353</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5352</v>
      </c>
      <c r="B65" s="208" t="s">
        <v>5354</v>
      </c>
      <c r="C65" s="209" t="s">
        <v>5355</v>
      </c>
      <c r="D65" s="211" t="s">
        <v>5356</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5352</v>
      </c>
      <c r="B66" s="208" t="s">
        <v>5357</v>
      </c>
      <c r="C66" s="209" t="s">
        <v>5358</v>
      </c>
      <c r="D66" s="211" t="s">
        <v>5359</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5352</v>
      </c>
      <c r="B67" s="208" t="s">
        <v>5360</v>
      </c>
      <c r="C67" s="209" t="s">
        <v>5361</v>
      </c>
      <c r="D67" s="211" t="s">
        <v>5362</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5352</v>
      </c>
      <c r="B68" s="208" t="s">
        <v>5363</v>
      </c>
      <c r="C68" s="209" t="s">
        <v>5364</v>
      </c>
      <c r="D68" s="211" t="s">
        <v>5365</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5352</v>
      </c>
      <c r="B69" s="208" t="s">
        <v>5366</v>
      </c>
      <c r="C69" s="209" t="s">
        <v>5367</v>
      </c>
      <c r="D69" s="211" t="s">
        <v>5368</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5352</v>
      </c>
      <c r="B70" s="208" t="s">
        <v>5369</v>
      </c>
      <c r="C70" s="209" t="s">
        <v>5370</v>
      </c>
      <c r="D70" s="211" t="s">
        <v>5371</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5352</v>
      </c>
      <c r="B71" s="208" t="s">
        <v>5372</v>
      </c>
      <c r="C71" s="209" t="s">
        <v>5373</v>
      </c>
      <c r="D71" s="211" t="s">
        <v>5374</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5352</v>
      </c>
      <c r="B72" s="208" t="s">
        <v>5375</v>
      </c>
      <c r="C72" s="209" t="s">
        <v>5376</v>
      </c>
      <c r="D72" s="211" t="s">
        <v>5377</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5352</v>
      </c>
      <c r="B73" s="208" t="s">
        <v>5378</v>
      </c>
      <c r="C73" s="209" t="s">
        <v>5379</v>
      </c>
      <c r="D73" s="211" t="s">
        <v>5380</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5352</v>
      </c>
      <c r="B74" s="208" t="s">
        <v>5381</v>
      </c>
      <c r="C74" s="209" t="s">
        <v>5382</v>
      </c>
      <c r="D74" s="211" t="s">
        <v>5383</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5352</v>
      </c>
      <c r="B75" s="208" t="s">
        <v>5384</v>
      </c>
      <c r="C75" s="209" t="s">
        <v>5385</v>
      </c>
      <c r="D75" s="211" t="s">
        <v>5386</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5352</v>
      </c>
      <c r="B76" s="208" t="s">
        <v>5387</v>
      </c>
      <c r="C76" s="209" t="s">
        <v>5388</v>
      </c>
      <c r="D76" s="211" t="s">
        <v>5389</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5352</v>
      </c>
      <c r="B77" s="208" t="s">
        <v>5390</v>
      </c>
      <c r="C77" s="209" t="s">
        <v>5391</v>
      </c>
      <c r="D77" s="211" t="s">
        <v>5392</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5352</v>
      </c>
      <c r="B78" s="208" t="s">
        <v>5393</v>
      </c>
      <c r="C78" s="209" t="s">
        <v>5394</v>
      </c>
      <c r="D78" s="211" t="s">
        <v>5395</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5352</v>
      </c>
      <c r="B79" s="208" t="s">
        <v>5396</v>
      </c>
      <c r="C79" s="209" t="s">
        <v>5397</v>
      </c>
      <c r="D79" s="211" t="s">
        <v>5398</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5352</v>
      </c>
      <c r="B80" s="208" t="s">
        <v>5399</v>
      </c>
      <c r="C80" s="209" t="s">
        <v>5400</v>
      </c>
      <c r="D80" s="211" t="s">
        <v>5401</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5352</v>
      </c>
      <c r="B81" s="208" t="s">
        <v>5402</v>
      </c>
      <c r="C81" s="209" t="s">
        <v>5403</v>
      </c>
      <c r="D81" s="211" t="s">
        <v>5404</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5352</v>
      </c>
      <c r="B82" s="208" t="s">
        <v>5405</v>
      </c>
      <c r="C82" s="209" t="s">
        <v>5406</v>
      </c>
      <c r="D82" s="211" t="s">
        <v>5407</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5352</v>
      </c>
      <c r="B83" s="208" t="s">
        <v>5408</v>
      </c>
      <c r="C83" s="209" t="s">
        <v>5409</v>
      </c>
      <c r="D83" s="211" t="s">
        <v>5410</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5352</v>
      </c>
      <c r="B84" s="208" t="s">
        <v>5411</v>
      </c>
      <c r="C84" s="209" t="s">
        <v>5412</v>
      </c>
      <c r="D84" s="211" t="s">
        <v>5413</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5352</v>
      </c>
      <c r="B85" s="208" t="s">
        <v>5414</v>
      </c>
      <c r="C85" s="209" t="s">
        <v>5415</v>
      </c>
      <c r="D85" s="211" t="s">
        <v>5416</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5352</v>
      </c>
      <c r="B86" s="208" t="s">
        <v>5417</v>
      </c>
      <c r="C86" s="209" t="s">
        <v>5418</v>
      </c>
      <c r="D86" s="211" t="s">
        <v>5419</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5352</v>
      </c>
      <c r="B87" s="208" t="s">
        <v>5420</v>
      </c>
      <c r="C87" s="209" t="s">
        <v>5421</v>
      </c>
      <c r="D87" s="211" t="s">
        <v>5422</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5352</v>
      </c>
      <c r="B88" s="208" t="s">
        <v>5423</v>
      </c>
      <c r="C88" s="209" t="s">
        <v>5424</v>
      </c>
      <c r="D88" s="211" t="s">
        <v>5425</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5352</v>
      </c>
      <c r="B89" s="208" t="s">
        <v>5426</v>
      </c>
      <c r="C89" s="209" t="s">
        <v>5427</v>
      </c>
      <c r="D89" s="211" t="s">
        <v>5428</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5352</v>
      </c>
      <c r="B90" s="208" t="s">
        <v>5429</v>
      </c>
      <c r="C90" s="209" t="s">
        <v>5430</v>
      </c>
      <c r="D90" s="211" t="s">
        <v>5431</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5352</v>
      </c>
      <c r="B91" s="208" t="s">
        <v>5432</v>
      </c>
      <c r="C91" s="209" t="s">
        <v>5433</v>
      </c>
      <c r="D91" s="211" t="s">
        <v>5434</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5352</v>
      </c>
      <c r="B92" s="208" t="s">
        <v>5435</v>
      </c>
      <c r="C92" s="209" t="s">
        <v>5436</v>
      </c>
      <c r="D92" s="211" t="s">
        <v>5437</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5352</v>
      </c>
      <c r="B93" s="208" t="s">
        <v>5438</v>
      </c>
      <c r="C93" s="209" t="s">
        <v>5439</v>
      </c>
      <c r="D93" s="211" t="s">
        <v>5440</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5352</v>
      </c>
      <c r="B94" s="208" t="s">
        <v>5441</v>
      </c>
      <c r="C94" s="209" t="s">
        <v>5442</v>
      </c>
      <c r="D94" s="211" t="s">
        <v>5443</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5352</v>
      </c>
      <c r="B95" s="208" t="s">
        <v>5444</v>
      </c>
      <c r="C95" s="209" t="s">
        <v>5445</v>
      </c>
      <c r="D95" s="211" t="s">
        <v>5446</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5352</v>
      </c>
      <c r="B96" s="208" t="s">
        <v>5447</v>
      </c>
      <c r="C96" s="209" t="s">
        <v>5448</v>
      </c>
      <c r="D96" s="211" t="s">
        <v>5449</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5352</v>
      </c>
      <c r="B97" s="208" t="s">
        <v>5450</v>
      </c>
      <c r="C97" s="209" t="s">
        <v>5451</v>
      </c>
      <c r="D97" s="211" t="s">
        <v>5452</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5352</v>
      </c>
      <c r="B98" s="215" t="s">
        <v>5453</v>
      </c>
      <c r="C98" s="216" t="s">
        <v>5454</v>
      </c>
      <c r="D98" s="217" t="s">
        <v>5455</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2415</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IFERROR(INDEX('Recommendations'!$J$2:$J$419, MATCH(F2,'Recommendations'!$B$2:$B$419,0))="Implemented", FALSE))</xm:f>
            <x14:dxf>
              <font>
                <color rgb="FF000000"/>
              </font>
              <fill>
                <patternFill>
                  <bgColor rgb="FF3C7D22"/>
                </patternFill>
              </fill>
            </x14:dxf>
          </x14:cfRule>
          <x14:cfRule type="expression" priority="2" id="{00000000-000E-0000-0900-000002000000}">
            <xm:f>AND(F2&lt;&gt;"", IFERROR(INDEX('Recommendations'!$J$2:$J$419, MATCH(F2,'Recommendations'!$B$2:$B$419,0))="Compensated", FALSE))</xm:f>
            <x14:dxf>
              <font>
                <color rgb="FF000000"/>
              </font>
              <fill>
                <patternFill>
                  <bgColor rgb="FFC6E0B4"/>
                </patternFill>
              </fill>
            </x14:dxf>
          </x14:cfRule>
          <x14:cfRule type="expression" priority="3" id="{00000000-000E-0000-0900-000003000000}">
            <xm:f>AND(F2&lt;&gt;"", IFERROR(INDEX('Recommendations'!$J$2:$J$419, MATCH(F2,'Recommendations'!$B$2:$B$419,0))="Testing", FALSE))</xm:f>
            <x14:dxf>
              <font>
                <color rgb="FF000000"/>
              </font>
              <fill>
                <patternFill>
                  <bgColor rgb="FFFFC000"/>
                </patternFill>
              </fill>
            </x14:dxf>
          </x14:cfRule>
          <x14:cfRule type="expression" priority="4" id="{00000000-000E-0000-0900-000004000000}">
            <xm:f>AND(F2&lt;&gt;"", IFERROR(INDEX('Recommendations'!$J$2:$J$419, MATCH(F2,'Recommendations'!$B$2:$B$419,0))="Failed", FALSE))</xm:f>
            <x14:dxf>
              <font>
                <color rgb="FF000000"/>
              </font>
              <fill>
                <patternFill>
                  <bgColor rgb="FFD82891"/>
                </patternFill>
              </fill>
            </x14:dxf>
          </x14:cfRule>
          <x14:cfRule type="expression" priority="5" id="{00000000-000E-0000-0900-000005000000}">
            <xm:f>AND(F2&lt;&gt;"", IFERROR(INDEX('Recommendations'!$J$2:$J$419, MATCH(F2,'Recommendations'!$B$2:$B$419,0))="Risk Accepted", FALSE))</xm:f>
            <x14:dxf>
              <font>
                <color rgb="FF000000"/>
              </font>
              <fill>
                <patternFill>
                  <bgColor rgb="FFD9D9D9"/>
                </patternFill>
              </fill>
            </x14:dxf>
          </x14:cfRule>
          <x14:cfRule type="expression" priority="6" id="{00000000-000E-0000-0900-000006000000}">
            <xm:f>AND(F2&lt;&gt;"", IFERROR(INDEX('Recommendations'!$J$2:$J$419, MATCH(F2,'Recommendations'!$B$2:$B$419,0))="N/A",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4283</v>
      </c>
      <c r="B1" s="260" t="s">
        <v>5168</v>
      </c>
      <c r="C1" s="260" t="s">
        <v>1</v>
      </c>
      <c r="D1" s="260" t="s">
        <v>2646</v>
      </c>
      <c r="E1" s="260" t="s">
        <v>5456</v>
      </c>
      <c r="F1" s="260" t="s">
        <v>5457</v>
      </c>
      <c r="G1" s="260" t="s">
        <v>2651</v>
      </c>
      <c r="H1" s="260" t="s">
        <v>2652</v>
      </c>
      <c r="I1" s="260" t="s">
        <v>2653</v>
      </c>
      <c r="J1" s="260" t="s">
        <v>2654</v>
      </c>
      <c r="K1" s="260" t="s">
        <v>2655</v>
      </c>
      <c r="L1" s="260" t="s">
        <v>2656</v>
      </c>
      <c r="M1" s="260" t="s">
        <v>2657</v>
      </c>
      <c r="N1" s="260" t="s">
        <v>2658</v>
      </c>
      <c r="O1" s="260" t="s">
        <v>2659</v>
      </c>
      <c r="P1" s="260" t="s">
        <v>2660</v>
      </c>
      <c r="Q1" s="260" t="s">
        <v>2661</v>
      </c>
      <c r="R1" s="260" t="s">
        <v>2662</v>
      </c>
      <c r="S1" s="260" t="s">
        <v>2663</v>
      </c>
      <c r="T1" s="260" t="s">
        <v>2664</v>
      </c>
      <c r="U1" s="260" t="s">
        <v>2665</v>
      </c>
      <c r="V1" s="260" t="s">
        <v>2666</v>
      </c>
      <c r="W1" s="260" t="s">
        <v>2667</v>
      </c>
      <c r="X1" s="260" t="s">
        <v>2668</v>
      </c>
      <c r="Y1" s="260" t="s">
        <v>2669</v>
      </c>
      <c r="Z1" s="260" t="s">
        <v>2670</v>
      </c>
      <c r="AA1" s="260" t="s">
        <v>2671</v>
      </c>
      <c r="AB1" s="260" t="s">
        <v>2672</v>
      </c>
      <c r="AC1" s="260" t="s">
        <v>2673</v>
      </c>
      <c r="AD1" s="260" t="s">
        <v>2674</v>
      </c>
      <c r="AE1" s="260" t="s">
        <v>2675</v>
      </c>
      <c r="AF1" s="260" t="s">
        <v>2676</v>
      </c>
      <c r="AG1" s="260" t="s">
        <v>2677</v>
      </c>
      <c r="AH1" s="260" t="s">
        <v>2678</v>
      </c>
      <c r="AI1" s="260" t="s">
        <v>2679</v>
      </c>
      <c r="AJ1" s="260" t="s">
        <v>2680</v>
      </c>
      <c r="AK1" s="260" t="s">
        <v>2681</v>
      </c>
      <c r="AL1" s="260" t="s">
        <v>2682</v>
      </c>
      <c r="AM1" s="260" t="s">
        <v>2683</v>
      </c>
      <c r="AN1" s="260" t="s">
        <v>2684</v>
      </c>
      <c r="AO1" s="260" t="s">
        <v>2685</v>
      </c>
      <c r="AP1" s="260" t="s">
        <v>2686</v>
      </c>
      <c r="AQ1" s="260" t="s">
        <v>2687</v>
      </c>
      <c r="AR1" s="260" t="s">
        <v>2688</v>
      </c>
      <c r="AS1" s="260" t="s">
        <v>2689</v>
      </c>
      <c r="AT1" s="260" t="s">
        <v>2690</v>
      </c>
      <c r="AU1" s="261" t="s">
        <v>2691</v>
      </c>
    </row>
    <row r="2" spans="1:47" ht="60" customHeight="1" outlineLevel="1" x14ac:dyDescent="0.35">
      <c r="A2" s="251" t="s">
        <v>5458</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5458</v>
      </c>
      <c r="B3" s="230" t="s">
        <v>5459</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5458</v>
      </c>
      <c r="B4" s="231" t="s">
        <v>5459</v>
      </c>
      <c r="C4" s="232" t="s">
        <v>5460</v>
      </c>
      <c r="D4" s="235" t="s">
        <v>5461</v>
      </c>
      <c r="E4" s="236" t="s">
        <v>5462</v>
      </c>
      <c r="F4" s="239" t="s">
        <v>5463</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5458</v>
      </c>
      <c r="B5" s="231" t="s">
        <v>5459</v>
      </c>
      <c r="C5" s="232" t="s">
        <v>5464</v>
      </c>
      <c r="D5" s="235" t="s">
        <v>5465</v>
      </c>
      <c r="E5" s="236" t="s">
        <v>5462</v>
      </c>
      <c r="F5" s="239" t="s">
        <v>5463</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5458</v>
      </c>
      <c r="B6" s="231" t="s">
        <v>5459</v>
      </c>
      <c r="C6" s="232" t="s">
        <v>5466</v>
      </c>
      <c r="D6" s="235" t="s">
        <v>5467</v>
      </c>
      <c r="E6" s="236" t="s">
        <v>5462</v>
      </c>
      <c r="F6" s="239" t="s">
        <v>5463</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5458</v>
      </c>
      <c r="B7" s="231" t="s">
        <v>5459</v>
      </c>
      <c r="C7" s="232" t="s">
        <v>5468</v>
      </c>
      <c r="D7" s="235" t="s">
        <v>5469</v>
      </c>
      <c r="E7" s="236" t="s">
        <v>5462</v>
      </c>
      <c r="F7" s="239" t="s">
        <v>5463</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5458</v>
      </c>
      <c r="B8" s="231" t="s">
        <v>5459</v>
      </c>
      <c r="C8" s="232" t="s">
        <v>5470</v>
      </c>
      <c r="D8" s="235" t="s">
        <v>5471</v>
      </c>
      <c r="E8" s="236" t="s">
        <v>5462</v>
      </c>
      <c r="F8" s="239" t="s">
        <v>5463</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5458</v>
      </c>
      <c r="B9" s="231" t="s">
        <v>5459</v>
      </c>
      <c r="C9" s="232" t="s">
        <v>5472</v>
      </c>
      <c r="D9" s="235" t="s">
        <v>5473</v>
      </c>
      <c r="E9" s="236" t="s">
        <v>5462</v>
      </c>
      <c r="F9" s="239" t="s">
        <v>5463</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5458</v>
      </c>
      <c r="B10" s="231" t="s">
        <v>5459</v>
      </c>
      <c r="C10" s="232" t="s">
        <v>5474</v>
      </c>
      <c r="D10" s="235" t="s">
        <v>5475</v>
      </c>
      <c r="E10" s="236" t="s">
        <v>5462</v>
      </c>
      <c r="F10" s="239" t="s">
        <v>5463</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5458</v>
      </c>
      <c r="B11" s="231" t="s">
        <v>5459</v>
      </c>
      <c r="C11" s="232" t="s">
        <v>5476</v>
      </c>
      <c r="D11" s="235" t="s">
        <v>5477</v>
      </c>
      <c r="E11" s="236" t="s">
        <v>5462</v>
      </c>
      <c r="F11" s="239" t="s">
        <v>5463</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5458</v>
      </c>
      <c r="B12" s="231" t="s">
        <v>5459</v>
      </c>
      <c r="C12" s="232" t="s">
        <v>5478</v>
      </c>
      <c r="D12" s="235" t="s">
        <v>5479</v>
      </c>
      <c r="E12" s="236" t="s">
        <v>5462</v>
      </c>
      <c r="F12" s="239" t="s">
        <v>5463</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5458</v>
      </c>
      <c r="B13" s="231" t="s">
        <v>5459</v>
      </c>
      <c r="C13" s="232" t="s">
        <v>5480</v>
      </c>
      <c r="D13" s="235" t="s">
        <v>5481</v>
      </c>
      <c r="E13" s="236" t="s">
        <v>5462</v>
      </c>
      <c r="F13" s="239" t="s">
        <v>5463</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5458</v>
      </c>
      <c r="B14" s="231" t="s">
        <v>5459</v>
      </c>
      <c r="C14" s="232" t="s">
        <v>5482</v>
      </c>
      <c r="D14" s="235" t="s">
        <v>5483</v>
      </c>
      <c r="E14" s="236" t="s">
        <v>5462</v>
      </c>
      <c r="F14" s="239" t="s">
        <v>5463</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5458</v>
      </c>
      <c r="B15" s="231" t="s">
        <v>5459</v>
      </c>
      <c r="C15" s="232" t="s">
        <v>5484</v>
      </c>
      <c r="D15" s="235" t="s">
        <v>5485</v>
      </c>
      <c r="E15" s="236" t="s">
        <v>5462</v>
      </c>
      <c r="F15" s="239" t="s">
        <v>5463</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5458</v>
      </c>
      <c r="B16" s="231" t="s">
        <v>5459</v>
      </c>
      <c r="C16" s="232" t="s">
        <v>5486</v>
      </c>
      <c r="D16" s="235" t="s">
        <v>5487</v>
      </c>
      <c r="E16" s="236" t="s">
        <v>5462</v>
      </c>
      <c r="F16" s="239" t="s">
        <v>5463</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5458</v>
      </c>
      <c r="B17" s="230" t="s">
        <v>5488</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5458</v>
      </c>
      <c r="B18" s="231" t="s">
        <v>5488</v>
      </c>
      <c r="C18" s="232" t="s">
        <v>5489</v>
      </c>
      <c r="D18" s="235" t="s">
        <v>5490</v>
      </c>
      <c r="E18" s="236" t="s">
        <v>5491</v>
      </c>
      <c r="F18" s="239" t="s">
        <v>5492</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5458</v>
      </c>
      <c r="B19" s="231" t="s">
        <v>5488</v>
      </c>
      <c r="C19" s="232" t="s">
        <v>5493</v>
      </c>
      <c r="D19" s="235" t="s">
        <v>5494</v>
      </c>
      <c r="E19" s="236" t="s">
        <v>5491</v>
      </c>
      <c r="F19" s="239" t="s">
        <v>5492</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5458</v>
      </c>
      <c r="B20" s="231" t="s">
        <v>5488</v>
      </c>
      <c r="C20" s="232" t="s">
        <v>5495</v>
      </c>
      <c r="D20" s="235" t="s">
        <v>5496</v>
      </c>
      <c r="E20" s="236" t="s">
        <v>5491</v>
      </c>
      <c r="F20" s="239" t="s">
        <v>5492</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5458</v>
      </c>
      <c r="B21" s="231" t="s">
        <v>5488</v>
      </c>
      <c r="C21" s="232" t="s">
        <v>5497</v>
      </c>
      <c r="D21" s="235" t="s">
        <v>5498</v>
      </c>
      <c r="E21" s="236" t="s">
        <v>5491</v>
      </c>
      <c r="F21" s="239" t="s">
        <v>5492</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5458</v>
      </c>
      <c r="B22" s="231" t="s">
        <v>5488</v>
      </c>
      <c r="C22" s="232" t="s">
        <v>5499</v>
      </c>
      <c r="D22" s="235" t="s">
        <v>5500</v>
      </c>
      <c r="E22" s="236" t="s">
        <v>5491</v>
      </c>
      <c r="F22" s="239" t="s">
        <v>5492</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5458</v>
      </c>
      <c r="B23" s="231" t="s">
        <v>5488</v>
      </c>
      <c r="C23" s="232" t="s">
        <v>5501</v>
      </c>
      <c r="D23" s="235" t="s">
        <v>5502</v>
      </c>
      <c r="E23" s="236" t="s">
        <v>5462</v>
      </c>
      <c r="F23" s="239" t="s">
        <v>5463</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5458</v>
      </c>
      <c r="B24" s="231" t="s">
        <v>5488</v>
      </c>
      <c r="C24" s="232" t="s">
        <v>5503</v>
      </c>
      <c r="D24" s="235" t="s">
        <v>5504</v>
      </c>
      <c r="E24" s="236" t="s">
        <v>5462</v>
      </c>
      <c r="F24" s="239" t="s">
        <v>5463</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5458</v>
      </c>
      <c r="B25" s="231" t="s">
        <v>5488</v>
      </c>
      <c r="C25" s="232" t="s">
        <v>5505</v>
      </c>
      <c r="D25" s="235" t="s">
        <v>5506</v>
      </c>
      <c r="E25" s="236" t="s">
        <v>5462</v>
      </c>
      <c r="F25" s="239" t="s">
        <v>5507</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5458</v>
      </c>
      <c r="B26" s="231" t="s">
        <v>5488</v>
      </c>
      <c r="C26" s="232" t="s">
        <v>5508</v>
      </c>
      <c r="D26" s="235" t="s">
        <v>5509</v>
      </c>
      <c r="E26" s="236" t="s">
        <v>5462</v>
      </c>
      <c r="F26" s="239" t="s">
        <v>5507</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5458</v>
      </c>
      <c r="B27" s="231" t="s">
        <v>5488</v>
      </c>
      <c r="C27" s="232" t="s">
        <v>5510</v>
      </c>
      <c r="D27" s="235" t="s">
        <v>5511</v>
      </c>
      <c r="E27" s="236" t="s">
        <v>5462</v>
      </c>
      <c r="F27" s="239" t="s">
        <v>5507</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5458</v>
      </c>
      <c r="B28" s="231" t="s">
        <v>5488</v>
      </c>
      <c r="C28" s="232" t="s">
        <v>5512</v>
      </c>
      <c r="D28" s="235" t="s">
        <v>5513</v>
      </c>
      <c r="E28" s="236" t="s">
        <v>5462</v>
      </c>
      <c r="F28" s="239" t="s">
        <v>5507</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5458</v>
      </c>
      <c r="B29" s="231" t="s">
        <v>5488</v>
      </c>
      <c r="C29" s="232" t="s">
        <v>5514</v>
      </c>
      <c r="D29" s="235" t="s">
        <v>5515</v>
      </c>
      <c r="E29" s="236" t="s">
        <v>5462</v>
      </c>
      <c r="F29" s="239" t="s">
        <v>5507</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5458</v>
      </c>
      <c r="B30" s="231" t="s">
        <v>5488</v>
      </c>
      <c r="C30" s="232" t="s">
        <v>5516</v>
      </c>
      <c r="D30" s="235" t="s">
        <v>5517</v>
      </c>
      <c r="E30" s="236" t="s">
        <v>5462</v>
      </c>
      <c r="F30" s="239" t="s">
        <v>5507</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5458</v>
      </c>
      <c r="B31" s="231" t="s">
        <v>5488</v>
      </c>
      <c r="C31" s="232" t="s">
        <v>5518</v>
      </c>
      <c r="D31" s="235" t="s">
        <v>5519</v>
      </c>
      <c r="E31" s="236" t="s">
        <v>5462</v>
      </c>
      <c r="F31" s="239" t="s">
        <v>5507</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5458</v>
      </c>
      <c r="B32" s="231" t="s">
        <v>5488</v>
      </c>
      <c r="C32" s="232" t="s">
        <v>5520</v>
      </c>
      <c r="D32" s="235" t="s">
        <v>5521</v>
      </c>
      <c r="E32" s="236" t="s">
        <v>5462</v>
      </c>
      <c r="F32" s="239" t="s">
        <v>5507</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5458</v>
      </c>
      <c r="B33" s="231" t="s">
        <v>5488</v>
      </c>
      <c r="C33" s="232" t="s">
        <v>5522</v>
      </c>
      <c r="D33" s="235" t="s">
        <v>5523</v>
      </c>
      <c r="E33" s="236" t="s">
        <v>5491</v>
      </c>
      <c r="F33" s="239" t="s">
        <v>5492</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5458</v>
      </c>
      <c r="B34" s="231" t="s">
        <v>5488</v>
      </c>
      <c r="C34" s="232" t="s">
        <v>5524</v>
      </c>
      <c r="D34" s="235" t="s">
        <v>5525</v>
      </c>
      <c r="E34" s="236" t="s">
        <v>5462</v>
      </c>
      <c r="F34" s="239" t="s">
        <v>5507</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5458</v>
      </c>
      <c r="B35" s="230" t="s">
        <v>5526</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5458</v>
      </c>
      <c r="B36" s="231" t="s">
        <v>5526</v>
      </c>
      <c r="C36" s="232" t="s">
        <v>5527</v>
      </c>
      <c r="D36" s="235" t="s">
        <v>5528</v>
      </c>
      <c r="E36" s="236" t="s">
        <v>5462</v>
      </c>
      <c r="F36" s="239" t="s">
        <v>5507</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5458</v>
      </c>
      <c r="B37" s="231" t="s">
        <v>5526</v>
      </c>
      <c r="C37" s="232" t="s">
        <v>5529</v>
      </c>
      <c r="D37" s="235" t="s">
        <v>5530</v>
      </c>
      <c r="E37" s="236" t="s">
        <v>5462</v>
      </c>
      <c r="F37" s="239" t="s">
        <v>5531</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5458</v>
      </c>
      <c r="B38" s="231" t="s">
        <v>5526</v>
      </c>
      <c r="C38" s="232" t="s">
        <v>5532</v>
      </c>
      <c r="D38" s="235" t="s">
        <v>5533</v>
      </c>
      <c r="E38" s="236" t="s">
        <v>5462</v>
      </c>
      <c r="F38" s="239" t="s">
        <v>5531</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5458</v>
      </c>
      <c r="B39" s="231" t="s">
        <v>5526</v>
      </c>
      <c r="C39" s="232" t="s">
        <v>5534</v>
      </c>
      <c r="D39" s="235" t="s">
        <v>5535</v>
      </c>
      <c r="E39" s="236" t="s">
        <v>5462</v>
      </c>
      <c r="F39" s="239" t="s">
        <v>5531</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5458</v>
      </c>
      <c r="B40" s="231" t="s">
        <v>5526</v>
      </c>
      <c r="C40" s="232" t="s">
        <v>5536</v>
      </c>
      <c r="D40" s="235" t="s">
        <v>5537</v>
      </c>
      <c r="E40" s="236" t="s">
        <v>5462</v>
      </c>
      <c r="F40" s="239" t="s">
        <v>5531</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5458</v>
      </c>
      <c r="B41" s="231" t="s">
        <v>5526</v>
      </c>
      <c r="C41" s="232" t="s">
        <v>5538</v>
      </c>
      <c r="D41" s="235" t="s">
        <v>5539</v>
      </c>
      <c r="E41" s="236" t="s">
        <v>5462</v>
      </c>
      <c r="F41" s="239" t="s">
        <v>5531</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5458</v>
      </c>
      <c r="B42" s="231" t="s">
        <v>5526</v>
      </c>
      <c r="C42" s="232" t="s">
        <v>5540</v>
      </c>
      <c r="D42" s="235" t="s">
        <v>5541</v>
      </c>
      <c r="E42" s="236" t="s">
        <v>5462</v>
      </c>
      <c r="F42" s="239" t="s">
        <v>5531</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5458</v>
      </c>
      <c r="B43" s="231" t="s">
        <v>5526</v>
      </c>
      <c r="C43" s="232" t="s">
        <v>5542</v>
      </c>
      <c r="D43" s="235" t="s">
        <v>5543</v>
      </c>
      <c r="E43" s="236" t="s">
        <v>5462</v>
      </c>
      <c r="F43" s="239" t="s">
        <v>5531</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5458</v>
      </c>
      <c r="B44" s="231" t="s">
        <v>5526</v>
      </c>
      <c r="C44" s="232" t="s">
        <v>5544</v>
      </c>
      <c r="D44" s="235" t="s">
        <v>5545</v>
      </c>
      <c r="E44" s="236" t="s">
        <v>5462</v>
      </c>
      <c r="F44" s="239" t="s">
        <v>5531</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5458</v>
      </c>
      <c r="B45" s="231" t="s">
        <v>5526</v>
      </c>
      <c r="C45" s="232" t="s">
        <v>5546</v>
      </c>
      <c r="D45" s="235" t="s">
        <v>5547</v>
      </c>
      <c r="E45" s="236" t="s">
        <v>5462</v>
      </c>
      <c r="F45" s="239" t="s">
        <v>5531</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5458</v>
      </c>
      <c r="B46" s="231" t="s">
        <v>5526</v>
      </c>
      <c r="C46" s="232" t="s">
        <v>5548</v>
      </c>
      <c r="D46" s="235" t="s">
        <v>5549</v>
      </c>
      <c r="E46" s="236" t="s">
        <v>5462</v>
      </c>
      <c r="F46" s="239" t="s">
        <v>5531</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5458</v>
      </c>
      <c r="B47" s="231" t="s">
        <v>5526</v>
      </c>
      <c r="C47" s="232" t="s">
        <v>5550</v>
      </c>
      <c r="D47" s="235" t="s">
        <v>5551</v>
      </c>
      <c r="E47" s="236" t="s">
        <v>5462</v>
      </c>
      <c r="F47" s="239" t="s">
        <v>5531</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5458</v>
      </c>
      <c r="B48" s="231" t="s">
        <v>5526</v>
      </c>
      <c r="C48" s="232" t="s">
        <v>5552</v>
      </c>
      <c r="D48" s="235" t="s">
        <v>5553</v>
      </c>
      <c r="E48" s="236" t="s">
        <v>5462</v>
      </c>
      <c r="F48" s="239" t="s">
        <v>5531</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5458</v>
      </c>
      <c r="B49" s="231" t="s">
        <v>5526</v>
      </c>
      <c r="C49" s="232" t="s">
        <v>5554</v>
      </c>
      <c r="D49" s="235" t="s">
        <v>5555</v>
      </c>
      <c r="E49" s="236" t="s">
        <v>5462</v>
      </c>
      <c r="F49" s="239" t="s">
        <v>5531</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5458</v>
      </c>
      <c r="B50" s="230" t="s">
        <v>4407</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5458</v>
      </c>
      <c r="B51" s="231" t="s">
        <v>4407</v>
      </c>
      <c r="C51" s="232" t="s">
        <v>5556</v>
      </c>
      <c r="D51" s="235" t="s">
        <v>5557</v>
      </c>
      <c r="E51" s="236" t="s">
        <v>5558</v>
      </c>
      <c r="F51" s="239" t="s">
        <v>5559</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5458</v>
      </c>
      <c r="B52" s="231" t="s">
        <v>4407</v>
      </c>
      <c r="C52" s="232" t="s">
        <v>5560</v>
      </c>
      <c r="D52" s="235" t="s">
        <v>5561</v>
      </c>
      <c r="E52" s="236" t="s">
        <v>5558</v>
      </c>
      <c r="F52" s="239" t="s">
        <v>5559</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5458</v>
      </c>
      <c r="B53" s="231" t="s">
        <v>4407</v>
      </c>
      <c r="C53" s="232" t="s">
        <v>5562</v>
      </c>
      <c r="D53" s="235" t="s">
        <v>5563</v>
      </c>
      <c r="E53" s="236" t="s">
        <v>5558</v>
      </c>
      <c r="F53" s="239" t="s">
        <v>5559</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5458</v>
      </c>
      <c r="B54" s="231" t="s">
        <v>4407</v>
      </c>
      <c r="C54" s="232" t="s">
        <v>5564</v>
      </c>
      <c r="D54" s="235" t="s">
        <v>5565</v>
      </c>
      <c r="E54" s="236" t="s">
        <v>5558</v>
      </c>
      <c r="F54" s="239" t="s">
        <v>5559</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5458</v>
      </c>
      <c r="B55" s="231" t="s">
        <v>4407</v>
      </c>
      <c r="C55" s="232" t="s">
        <v>5566</v>
      </c>
      <c r="D55" s="235" t="s">
        <v>5567</v>
      </c>
      <c r="E55" s="236" t="s">
        <v>5558</v>
      </c>
      <c r="F55" s="239" t="s">
        <v>5559</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5458</v>
      </c>
      <c r="B56" s="231" t="s">
        <v>4407</v>
      </c>
      <c r="C56" s="232" t="s">
        <v>5568</v>
      </c>
      <c r="D56" s="235" t="s">
        <v>5569</v>
      </c>
      <c r="E56" s="236" t="s">
        <v>5558</v>
      </c>
      <c r="F56" s="239" t="s">
        <v>5559</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5458</v>
      </c>
      <c r="B57" s="231" t="s">
        <v>4407</v>
      </c>
      <c r="C57" s="232" t="s">
        <v>5570</v>
      </c>
      <c r="D57" s="235" t="s">
        <v>5571</v>
      </c>
      <c r="E57" s="236" t="s">
        <v>5558</v>
      </c>
      <c r="F57" s="239" t="s">
        <v>5559</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5458</v>
      </c>
      <c r="B58" s="231" t="s">
        <v>4407</v>
      </c>
      <c r="C58" s="232" t="s">
        <v>5572</v>
      </c>
      <c r="D58" s="235" t="s">
        <v>5573</v>
      </c>
      <c r="E58" s="236" t="s">
        <v>5462</v>
      </c>
      <c r="F58" s="239" t="s">
        <v>5559</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5458</v>
      </c>
      <c r="B59" s="231" t="s">
        <v>4407</v>
      </c>
      <c r="C59" s="232" t="s">
        <v>5574</v>
      </c>
      <c r="D59" s="235" t="s">
        <v>5575</v>
      </c>
      <c r="E59" s="236" t="s">
        <v>5462</v>
      </c>
      <c r="F59" s="239" t="s">
        <v>5559</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5458</v>
      </c>
      <c r="B60" s="230" t="s">
        <v>5576</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5458</v>
      </c>
      <c r="B61" s="231" t="s">
        <v>5576</v>
      </c>
      <c r="C61" s="232" t="s">
        <v>5577</v>
      </c>
      <c r="D61" s="235" t="s">
        <v>5578</v>
      </c>
      <c r="E61" s="236" t="s">
        <v>5462</v>
      </c>
      <c r="F61" s="239" t="s">
        <v>5579</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5458</v>
      </c>
      <c r="B62" s="231" t="s">
        <v>5576</v>
      </c>
      <c r="C62" s="232" t="s">
        <v>5580</v>
      </c>
      <c r="D62" s="235" t="s">
        <v>5581</v>
      </c>
      <c r="E62" s="236" t="s">
        <v>5462</v>
      </c>
      <c r="F62" s="239" t="s">
        <v>5579</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5458</v>
      </c>
      <c r="B63" s="231" t="s">
        <v>5576</v>
      </c>
      <c r="C63" s="232" t="s">
        <v>5582</v>
      </c>
      <c r="D63" s="235" t="s">
        <v>5583</v>
      </c>
      <c r="E63" s="236" t="s">
        <v>5462</v>
      </c>
      <c r="F63" s="239" t="s">
        <v>5579</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5458</v>
      </c>
      <c r="B64" s="231" t="s">
        <v>5576</v>
      </c>
      <c r="C64" s="232" t="s">
        <v>5584</v>
      </c>
      <c r="D64" s="235" t="s">
        <v>5585</v>
      </c>
      <c r="E64" s="236" t="s">
        <v>5462</v>
      </c>
      <c r="F64" s="239" t="s">
        <v>5579</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5458</v>
      </c>
      <c r="B65" s="231" t="s">
        <v>5576</v>
      </c>
      <c r="C65" s="232" t="s">
        <v>5586</v>
      </c>
      <c r="D65" s="235" t="s">
        <v>5587</v>
      </c>
      <c r="E65" s="236" t="s">
        <v>5462</v>
      </c>
      <c r="F65" s="239" t="s">
        <v>5579</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5458</v>
      </c>
      <c r="B66" s="231" t="s">
        <v>5576</v>
      </c>
      <c r="C66" s="232" t="s">
        <v>5588</v>
      </c>
      <c r="D66" s="235" t="s">
        <v>5589</v>
      </c>
      <c r="E66" s="236" t="s">
        <v>5462</v>
      </c>
      <c r="F66" s="239" t="s">
        <v>5579</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5458</v>
      </c>
      <c r="B67" s="231" t="s">
        <v>5576</v>
      </c>
      <c r="C67" s="232" t="s">
        <v>5590</v>
      </c>
      <c r="D67" s="235" t="s">
        <v>5591</v>
      </c>
      <c r="E67" s="236" t="s">
        <v>5462</v>
      </c>
      <c r="F67" s="239" t="s">
        <v>5579</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5458</v>
      </c>
      <c r="B68" s="231" t="s">
        <v>5576</v>
      </c>
      <c r="C68" s="232" t="s">
        <v>5592</v>
      </c>
      <c r="D68" s="235" t="s">
        <v>5593</v>
      </c>
      <c r="E68" s="236" t="s">
        <v>5462</v>
      </c>
      <c r="F68" s="239" t="s">
        <v>5594</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5458</v>
      </c>
      <c r="B69" s="231" t="s">
        <v>5576</v>
      </c>
      <c r="C69" s="232" t="s">
        <v>5595</v>
      </c>
      <c r="D69" s="235" t="s">
        <v>5596</v>
      </c>
      <c r="E69" s="236" t="s">
        <v>5462</v>
      </c>
      <c r="F69" s="239" t="s">
        <v>5594</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5458</v>
      </c>
      <c r="B70" s="231" t="s">
        <v>5576</v>
      </c>
      <c r="C70" s="232" t="s">
        <v>5597</v>
      </c>
      <c r="D70" s="235" t="s">
        <v>5598</v>
      </c>
      <c r="E70" s="236" t="s">
        <v>5462</v>
      </c>
      <c r="F70" s="239" t="s">
        <v>5594</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5458</v>
      </c>
      <c r="B71" s="231" t="s">
        <v>5576</v>
      </c>
      <c r="C71" s="232" t="s">
        <v>5599</v>
      </c>
      <c r="D71" s="235" t="s">
        <v>5600</v>
      </c>
      <c r="E71" s="236" t="s">
        <v>5462</v>
      </c>
      <c r="F71" s="239" t="s">
        <v>5601</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5458</v>
      </c>
      <c r="B72" s="231" t="s">
        <v>5576</v>
      </c>
      <c r="C72" s="232" t="s">
        <v>5602</v>
      </c>
      <c r="D72" s="235" t="s">
        <v>5603</v>
      </c>
      <c r="E72" s="236" t="s">
        <v>5462</v>
      </c>
      <c r="F72" s="239" t="s">
        <v>5579</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5458</v>
      </c>
      <c r="B73" s="231" t="s">
        <v>5576</v>
      </c>
      <c r="C73" s="232" t="s">
        <v>5604</v>
      </c>
      <c r="D73" s="235" t="s">
        <v>5605</v>
      </c>
      <c r="E73" s="236" t="s">
        <v>5606</v>
      </c>
      <c r="F73" s="239" t="s">
        <v>5579</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5458</v>
      </c>
      <c r="B74" s="230" t="s">
        <v>5607</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5458</v>
      </c>
      <c r="B75" s="231" t="s">
        <v>5607</v>
      </c>
      <c r="C75" s="232" t="s">
        <v>5608</v>
      </c>
      <c r="D75" s="235" t="s">
        <v>5609</v>
      </c>
      <c r="E75" s="236" t="s">
        <v>5606</v>
      </c>
      <c r="F75" s="239" t="s">
        <v>5610</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5458</v>
      </c>
      <c r="B76" s="231" t="s">
        <v>5607</v>
      </c>
      <c r="C76" s="232" t="s">
        <v>5611</v>
      </c>
      <c r="D76" s="235" t="s">
        <v>5612</v>
      </c>
      <c r="E76" s="236" t="s">
        <v>5606</v>
      </c>
      <c r="F76" s="239" t="s">
        <v>5610</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5458</v>
      </c>
      <c r="B77" s="231" t="s">
        <v>5607</v>
      </c>
      <c r="C77" s="232" t="s">
        <v>5613</v>
      </c>
      <c r="D77" s="235" t="s">
        <v>5614</v>
      </c>
      <c r="E77" s="236" t="s">
        <v>5606</v>
      </c>
      <c r="F77" s="239" t="s">
        <v>5610</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5458</v>
      </c>
      <c r="B78" s="231" t="s">
        <v>5607</v>
      </c>
      <c r="C78" s="232" t="s">
        <v>5615</v>
      </c>
      <c r="D78" s="235" t="s">
        <v>5616</v>
      </c>
      <c r="E78" s="236" t="s">
        <v>5606</v>
      </c>
      <c r="F78" s="239" t="s">
        <v>5610</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5458</v>
      </c>
      <c r="B79" s="231" t="s">
        <v>5607</v>
      </c>
      <c r="C79" s="232" t="s">
        <v>5617</v>
      </c>
      <c r="D79" s="235" t="s">
        <v>5618</v>
      </c>
      <c r="E79" s="236" t="s">
        <v>5606</v>
      </c>
      <c r="F79" s="239" t="s">
        <v>5610</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5458</v>
      </c>
      <c r="B80" s="231" t="s">
        <v>5607</v>
      </c>
      <c r="C80" s="232" t="s">
        <v>5619</v>
      </c>
      <c r="D80" s="235" t="s">
        <v>5620</v>
      </c>
      <c r="E80" s="236" t="s">
        <v>5606</v>
      </c>
      <c r="F80" s="239" t="s">
        <v>5610</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5458</v>
      </c>
      <c r="B81" s="231" t="s">
        <v>5607</v>
      </c>
      <c r="C81" s="232" t="s">
        <v>5621</v>
      </c>
      <c r="D81" s="235" t="s">
        <v>5622</v>
      </c>
      <c r="E81" s="236" t="s">
        <v>5606</v>
      </c>
      <c r="F81" s="239" t="s">
        <v>5610</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5458</v>
      </c>
      <c r="B82" s="231" t="s">
        <v>5607</v>
      </c>
      <c r="C82" s="232" t="s">
        <v>5623</v>
      </c>
      <c r="D82" s="235" t="s">
        <v>5624</v>
      </c>
      <c r="E82" s="236" t="s">
        <v>5606</v>
      </c>
      <c r="F82" s="239" t="s">
        <v>5610</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5458</v>
      </c>
      <c r="B83" s="231" t="s">
        <v>5607</v>
      </c>
      <c r="C83" s="232" t="s">
        <v>5625</v>
      </c>
      <c r="D83" s="235" t="s">
        <v>5626</v>
      </c>
      <c r="E83" s="236" t="s">
        <v>5606</v>
      </c>
      <c r="F83" s="239" t="s">
        <v>5610</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5458</v>
      </c>
      <c r="B84" s="231" t="s">
        <v>5607</v>
      </c>
      <c r="C84" s="232" t="s">
        <v>5627</v>
      </c>
      <c r="D84" s="235" t="s">
        <v>5628</v>
      </c>
      <c r="E84" s="236" t="s">
        <v>5606</v>
      </c>
      <c r="F84" s="239" t="s">
        <v>5610</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5458</v>
      </c>
      <c r="B85" s="231" t="s">
        <v>5607</v>
      </c>
      <c r="C85" s="232" t="s">
        <v>5629</v>
      </c>
      <c r="D85" s="235" t="s">
        <v>5630</v>
      </c>
      <c r="E85" s="236" t="s">
        <v>5606</v>
      </c>
      <c r="F85" s="239" t="s">
        <v>5610</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5458</v>
      </c>
      <c r="B86" s="231" t="s">
        <v>5607</v>
      </c>
      <c r="C86" s="232" t="s">
        <v>5631</v>
      </c>
      <c r="D86" s="235" t="s">
        <v>5632</v>
      </c>
      <c r="E86" s="236" t="s">
        <v>5606</v>
      </c>
      <c r="F86" s="239" t="s">
        <v>5610</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5458</v>
      </c>
      <c r="B87" s="231" t="s">
        <v>5607</v>
      </c>
      <c r="C87" s="232" t="s">
        <v>5633</v>
      </c>
      <c r="D87" s="235" t="s">
        <v>5634</v>
      </c>
      <c r="E87" s="236" t="s">
        <v>5606</v>
      </c>
      <c r="F87" s="239" t="s">
        <v>5610</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5458</v>
      </c>
      <c r="B88" s="231" t="s">
        <v>5607</v>
      </c>
      <c r="C88" s="232" t="s">
        <v>5635</v>
      </c>
      <c r="D88" s="235" t="s">
        <v>5636</v>
      </c>
      <c r="E88" s="236" t="s">
        <v>5606</v>
      </c>
      <c r="F88" s="239" t="s">
        <v>5594</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5458</v>
      </c>
      <c r="B89" s="231" t="s">
        <v>5607</v>
      </c>
      <c r="C89" s="232" t="s">
        <v>5637</v>
      </c>
      <c r="D89" s="235" t="s">
        <v>5638</v>
      </c>
      <c r="E89" s="236" t="s">
        <v>5606</v>
      </c>
      <c r="F89" s="239" t="s">
        <v>5594</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5458</v>
      </c>
      <c r="B90" s="231" t="s">
        <v>5607</v>
      </c>
      <c r="C90" s="232" t="s">
        <v>5639</v>
      </c>
      <c r="D90" s="235" t="s">
        <v>5640</v>
      </c>
      <c r="E90" s="236" t="s">
        <v>5606</v>
      </c>
      <c r="F90" s="239" t="s">
        <v>5594</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5458</v>
      </c>
      <c r="B91" s="230" t="s">
        <v>5641</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5458</v>
      </c>
      <c r="B92" s="231" t="s">
        <v>5641</v>
      </c>
      <c r="C92" s="232" t="s">
        <v>5642</v>
      </c>
      <c r="D92" s="235" t="s">
        <v>5643</v>
      </c>
      <c r="E92" s="236" t="s">
        <v>5462</v>
      </c>
      <c r="F92" s="239" t="s">
        <v>5594</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5458</v>
      </c>
      <c r="B93" s="231" t="s">
        <v>5641</v>
      </c>
      <c r="C93" s="232" t="s">
        <v>5644</v>
      </c>
      <c r="D93" s="235" t="s">
        <v>5645</v>
      </c>
      <c r="E93" s="236" t="s">
        <v>5462</v>
      </c>
      <c r="F93" s="239" t="s">
        <v>5594</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5458</v>
      </c>
      <c r="B94" s="231" t="s">
        <v>5641</v>
      </c>
      <c r="C94" s="232" t="s">
        <v>5646</v>
      </c>
      <c r="D94" s="235" t="s">
        <v>5647</v>
      </c>
      <c r="E94" s="236" t="s">
        <v>5462</v>
      </c>
      <c r="F94" s="239" t="s">
        <v>5594</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5458</v>
      </c>
      <c r="B95" s="231" t="s">
        <v>5641</v>
      </c>
      <c r="C95" s="232" t="s">
        <v>5648</v>
      </c>
      <c r="D95" s="235" t="s">
        <v>5649</v>
      </c>
      <c r="E95" s="236" t="s">
        <v>5462</v>
      </c>
      <c r="F95" s="239" t="s">
        <v>5594</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5458</v>
      </c>
      <c r="B96" s="231" t="s">
        <v>5641</v>
      </c>
      <c r="C96" s="232" t="s">
        <v>5650</v>
      </c>
      <c r="D96" s="235" t="s">
        <v>5651</v>
      </c>
      <c r="E96" s="236" t="s">
        <v>5462</v>
      </c>
      <c r="F96" s="239" t="s">
        <v>5594</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5458</v>
      </c>
      <c r="B97" s="231" t="s">
        <v>5641</v>
      </c>
      <c r="C97" s="232" t="s">
        <v>5652</v>
      </c>
      <c r="D97" s="235" t="s">
        <v>5653</v>
      </c>
      <c r="E97" s="236" t="s">
        <v>5462</v>
      </c>
      <c r="F97" s="239" t="s">
        <v>5654</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5458</v>
      </c>
      <c r="B98" s="231" t="s">
        <v>5641</v>
      </c>
      <c r="C98" s="232" t="s">
        <v>5655</v>
      </c>
      <c r="D98" s="235" t="s">
        <v>5656</v>
      </c>
      <c r="E98" s="236" t="s">
        <v>5462</v>
      </c>
      <c r="F98" s="239" t="s">
        <v>5654</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5458</v>
      </c>
      <c r="B99" s="231" t="s">
        <v>5641</v>
      </c>
      <c r="C99" s="232" t="s">
        <v>5657</v>
      </c>
      <c r="D99" s="235" t="s">
        <v>5658</v>
      </c>
      <c r="E99" s="236" t="s">
        <v>5462</v>
      </c>
      <c r="F99" s="239" t="s">
        <v>5654</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5458</v>
      </c>
      <c r="B100" s="231" t="s">
        <v>5641</v>
      </c>
      <c r="C100" s="232" t="s">
        <v>5659</v>
      </c>
      <c r="D100" s="235" t="s">
        <v>5660</v>
      </c>
      <c r="E100" s="236" t="s">
        <v>5462</v>
      </c>
      <c r="F100" s="239" t="s">
        <v>5654</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5458</v>
      </c>
      <c r="B101" s="231" t="s">
        <v>5641</v>
      </c>
      <c r="C101" s="232" t="s">
        <v>5661</v>
      </c>
      <c r="D101" s="235" t="s">
        <v>5662</v>
      </c>
      <c r="E101" s="236" t="s">
        <v>5462</v>
      </c>
      <c r="F101" s="239" t="s">
        <v>5594</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5458</v>
      </c>
      <c r="B102" s="231" t="s">
        <v>5641</v>
      </c>
      <c r="C102" s="232" t="s">
        <v>5663</v>
      </c>
      <c r="D102" s="235" t="s">
        <v>5664</v>
      </c>
      <c r="E102" s="236" t="s">
        <v>5606</v>
      </c>
      <c r="F102" s="239" t="s">
        <v>5594</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5458</v>
      </c>
      <c r="B103" s="231" t="s">
        <v>5641</v>
      </c>
      <c r="C103" s="232" t="s">
        <v>5665</v>
      </c>
      <c r="D103" s="235" t="s">
        <v>5666</v>
      </c>
      <c r="E103" s="236" t="s">
        <v>5606</v>
      </c>
      <c r="F103" s="239" t="s">
        <v>5594</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5458</v>
      </c>
      <c r="B104" s="231" t="s">
        <v>5641</v>
      </c>
      <c r="C104" s="232" t="s">
        <v>5667</v>
      </c>
      <c r="D104" s="235" t="s">
        <v>5668</v>
      </c>
      <c r="E104" s="236" t="s">
        <v>5606</v>
      </c>
      <c r="F104" s="239" t="s">
        <v>5594</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5458</v>
      </c>
      <c r="B105" s="231" t="s">
        <v>5641</v>
      </c>
      <c r="C105" s="232" t="s">
        <v>5669</v>
      </c>
      <c r="D105" s="235" t="s">
        <v>5670</v>
      </c>
      <c r="E105" s="236" t="s">
        <v>5491</v>
      </c>
      <c r="F105" s="239" t="s">
        <v>5594</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5458</v>
      </c>
      <c r="B106" s="230" t="s">
        <v>5671</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5458</v>
      </c>
      <c r="B107" s="231" t="s">
        <v>5671</v>
      </c>
      <c r="C107" s="232" t="s">
        <v>5672</v>
      </c>
      <c r="D107" s="235" t="s">
        <v>5673</v>
      </c>
      <c r="E107" s="236" t="s">
        <v>5606</v>
      </c>
      <c r="F107" s="239" t="s">
        <v>5594</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5458</v>
      </c>
      <c r="B108" s="231" t="s">
        <v>5671</v>
      </c>
      <c r="C108" s="232" t="s">
        <v>5674</v>
      </c>
      <c r="D108" s="235" t="s">
        <v>5675</v>
      </c>
      <c r="E108" s="236" t="s">
        <v>5606</v>
      </c>
      <c r="F108" s="239" t="s">
        <v>5594</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5458</v>
      </c>
      <c r="B109" s="231" t="s">
        <v>5671</v>
      </c>
      <c r="C109" s="232" t="s">
        <v>5676</v>
      </c>
      <c r="D109" s="235" t="s">
        <v>5677</v>
      </c>
      <c r="E109" s="236" t="s">
        <v>5606</v>
      </c>
      <c r="F109" s="239" t="s">
        <v>5594</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5458</v>
      </c>
      <c r="B110" s="231" t="s">
        <v>5671</v>
      </c>
      <c r="C110" s="232" t="s">
        <v>5678</v>
      </c>
      <c r="D110" s="235" t="s">
        <v>5679</v>
      </c>
      <c r="E110" s="236" t="s">
        <v>5606</v>
      </c>
      <c r="F110" s="239" t="s">
        <v>5594</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5458</v>
      </c>
      <c r="B111" s="231" t="s">
        <v>5671</v>
      </c>
      <c r="C111" s="232" t="s">
        <v>5680</v>
      </c>
      <c r="D111" s="235" t="s">
        <v>5681</v>
      </c>
      <c r="E111" s="236" t="s">
        <v>5606</v>
      </c>
      <c r="F111" s="239" t="s">
        <v>5594</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5458</v>
      </c>
      <c r="B112" s="231" t="s">
        <v>5671</v>
      </c>
      <c r="C112" s="232" t="s">
        <v>5682</v>
      </c>
      <c r="D112" s="235" t="s">
        <v>5683</v>
      </c>
      <c r="E112" s="236" t="s">
        <v>5606</v>
      </c>
      <c r="F112" s="239" t="s">
        <v>5594</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5458</v>
      </c>
      <c r="B113" s="231" t="s">
        <v>5671</v>
      </c>
      <c r="C113" s="232" t="s">
        <v>5684</v>
      </c>
      <c r="D113" s="235" t="s">
        <v>5685</v>
      </c>
      <c r="E113" s="236" t="s">
        <v>5606</v>
      </c>
      <c r="F113" s="239" t="s">
        <v>5594</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5458</v>
      </c>
      <c r="B114" s="231" t="s">
        <v>5671</v>
      </c>
      <c r="C114" s="232" t="s">
        <v>5686</v>
      </c>
      <c r="D114" s="235" t="s">
        <v>5687</v>
      </c>
      <c r="E114" s="236" t="s">
        <v>5606</v>
      </c>
      <c r="F114" s="239" t="s">
        <v>5594</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5458</v>
      </c>
      <c r="B115" s="231" t="s">
        <v>5671</v>
      </c>
      <c r="C115" s="232" t="s">
        <v>5688</v>
      </c>
      <c r="D115" s="235" t="s">
        <v>5689</v>
      </c>
      <c r="E115" s="236" t="s">
        <v>5606</v>
      </c>
      <c r="F115" s="239" t="s">
        <v>5594</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5458</v>
      </c>
      <c r="B116" s="231" t="s">
        <v>5671</v>
      </c>
      <c r="C116" s="232" t="s">
        <v>5690</v>
      </c>
      <c r="D116" s="235" t="s">
        <v>5691</v>
      </c>
      <c r="E116" s="236" t="s">
        <v>5606</v>
      </c>
      <c r="F116" s="239" t="s">
        <v>5594</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5458</v>
      </c>
      <c r="B117" s="231" t="s">
        <v>5671</v>
      </c>
      <c r="C117" s="232" t="s">
        <v>5692</v>
      </c>
      <c r="D117" s="235" t="s">
        <v>5693</v>
      </c>
      <c r="E117" s="236" t="s">
        <v>5606</v>
      </c>
      <c r="F117" s="239" t="s">
        <v>5594</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5694</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5694</v>
      </c>
      <c r="B119" s="230" t="s">
        <v>5695</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5694</v>
      </c>
      <c r="B120" s="231" t="s">
        <v>5695</v>
      </c>
      <c r="C120" s="232" t="s">
        <v>5696</v>
      </c>
      <c r="D120" s="235" t="s">
        <v>5697</v>
      </c>
      <c r="E120" s="236" t="s">
        <v>5462</v>
      </c>
      <c r="F120" s="239" t="s">
        <v>5698</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5694</v>
      </c>
      <c r="B121" s="231" t="s">
        <v>5695</v>
      </c>
      <c r="C121" s="232" t="s">
        <v>5699</v>
      </c>
      <c r="D121" s="235" t="s">
        <v>5700</v>
      </c>
      <c r="E121" s="236" t="s">
        <v>5462</v>
      </c>
      <c r="F121" s="239" t="s">
        <v>5698</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5694</v>
      </c>
      <c r="B122" s="231" t="s">
        <v>5695</v>
      </c>
      <c r="C122" s="232" t="s">
        <v>5701</v>
      </c>
      <c r="D122" s="235" t="s">
        <v>5702</v>
      </c>
      <c r="E122" s="236" t="s">
        <v>5462</v>
      </c>
      <c r="F122" s="239" t="s">
        <v>5698</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5694</v>
      </c>
      <c r="B123" s="231" t="s">
        <v>5695</v>
      </c>
      <c r="C123" s="232" t="s">
        <v>5703</v>
      </c>
      <c r="D123" s="235" t="s">
        <v>5704</v>
      </c>
      <c r="E123" s="236" t="s">
        <v>5462</v>
      </c>
      <c r="F123" s="239" t="s">
        <v>5698</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5694</v>
      </c>
      <c r="B124" s="231" t="s">
        <v>5695</v>
      </c>
      <c r="C124" s="232" t="s">
        <v>5705</v>
      </c>
      <c r="D124" s="235" t="s">
        <v>5706</v>
      </c>
      <c r="E124" s="236" t="s">
        <v>5462</v>
      </c>
      <c r="F124" s="239" t="s">
        <v>5698</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5694</v>
      </c>
      <c r="B125" s="231" t="s">
        <v>5695</v>
      </c>
      <c r="C125" s="232" t="s">
        <v>5707</v>
      </c>
      <c r="D125" s="235" t="s">
        <v>5708</v>
      </c>
      <c r="E125" s="236" t="s">
        <v>5462</v>
      </c>
      <c r="F125" s="239" t="s">
        <v>5698</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5694</v>
      </c>
      <c r="B126" s="231" t="s">
        <v>5695</v>
      </c>
      <c r="C126" s="232" t="s">
        <v>5709</v>
      </c>
      <c r="D126" s="235" t="s">
        <v>5710</v>
      </c>
      <c r="E126" s="236" t="s">
        <v>5462</v>
      </c>
      <c r="F126" s="239" t="s">
        <v>5698</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5694</v>
      </c>
      <c r="B127" s="231" t="s">
        <v>5695</v>
      </c>
      <c r="C127" s="232" t="s">
        <v>5711</v>
      </c>
      <c r="D127" s="235" t="s">
        <v>5712</v>
      </c>
      <c r="E127" s="236" t="s">
        <v>5462</v>
      </c>
      <c r="F127" s="239" t="s">
        <v>5698</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5694</v>
      </c>
      <c r="B128" s="231" t="s">
        <v>5695</v>
      </c>
      <c r="C128" s="232" t="s">
        <v>5713</v>
      </c>
      <c r="D128" s="235" t="s">
        <v>5714</v>
      </c>
      <c r="E128" s="236" t="s">
        <v>5462</v>
      </c>
      <c r="F128" s="239" t="s">
        <v>5698</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5694</v>
      </c>
      <c r="B129" s="231" t="s">
        <v>5695</v>
      </c>
      <c r="C129" s="232" t="s">
        <v>5715</v>
      </c>
      <c r="D129" s="235" t="s">
        <v>5716</v>
      </c>
      <c r="E129" s="236" t="s">
        <v>5462</v>
      </c>
      <c r="F129" s="239" t="s">
        <v>5698</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5694</v>
      </c>
      <c r="B130" s="231" t="s">
        <v>5695</v>
      </c>
      <c r="C130" s="232" t="s">
        <v>5717</v>
      </c>
      <c r="D130" s="235" t="s">
        <v>5718</v>
      </c>
      <c r="E130" s="236" t="s">
        <v>5462</v>
      </c>
      <c r="F130" s="239" t="s">
        <v>5698</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5694</v>
      </c>
      <c r="B131" s="231" t="s">
        <v>5695</v>
      </c>
      <c r="C131" s="232" t="s">
        <v>5719</v>
      </c>
      <c r="D131" s="235" t="s">
        <v>5720</v>
      </c>
      <c r="E131" s="236" t="s">
        <v>5462</v>
      </c>
      <c r="F131" s="239" t="s">
        <v>5698</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5694</v>
      </c>
      <c r="B132" s="231" t="s">
        <v>5695</v>
      </c>
      <c r="C132" s="232" t="s">
        <v>5721</v>
      </c>
      <c r="D132" s="235" t="s">
        <v>5722</v>
      </c>
      <c r="E132" s="236" t="s">
        <v>5462</v>
      </c>
      <c r="F132" s="239" t="s">
        <v>5698</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5694</v>
      </c>
      <c r="B133" s="231" t="s">
        <v>5695</v>
      </c>
      <c r="C133" s="232" t="s">
        <v>5723</v>
      </c>
      <c r="D133" s="235" t="s">
        <v>5724</v>
      </c>
      <c r="E133" s="236" t="s">
        <v>5491</v>
      </c>
      <c r="F133" s="239" t="s">
        <v>5698</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5694</v>
      </c>
      <c r="B134" s="231" t="s">
        <v>5695</v>
      </c>
      <c r="C134" s="232" t="s">
        <v>5725</v>
      </c>
      <c r="D134" s="235" t="s">
        <v>5726</v>
      </c>
      <c r="E134" s="236" t="s">
        <v>5491</v>
      </c>
      <c r="F134" s="239" t="s">
        <v>5698</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5694</v>
      </c>
      <c r="B135" s="231" t="s">
        <v>5695</v>
      </c>
      <c r="C135" s="232" t="s">
        <v>5727</v>
      </c>
      <c r="D135" s="235" t="s">
        <v>5728</v>
      </c>
      <c r="E135" s="236" t="s">
        <v>5606</v>
      </c>
      <c r="F135" s="239" t="s">
        <v>5698</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5694</v>
      </c>
      <c r="B136" s="231" t="s">
        <v>5695</v>
      </c>
      <c r="C136" s="232" t="s">
        <v>5729</v>
      </c>
      <c r="D136" s="235" t="s">
        <v>5730</v>
      </c>
      <c r="E136" s="236" t="s">
        <v>5491</v>
      </c>
      <c r="F136" s="239" t="s">
        <v>5698</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5694</v>
      </c>
      <c r="B137" s="231" t="s">
        <v>5695</v>
      </c>
      <c r="C137" s="232" t="s">
        <v>5731</v>
      </c>
      <c r="D137" s="235" t="s">
        <v>5732</v>
      </c>
      <c r="E137" s="236" t="s">
        <v>5491</v>
      </c>
      <c r="F137" s="239" t="s">
        <v>5698</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5694</v>
      </c>
      <c r="B138" s="231" t="s">
        <v>5695</v>
      </c>
      <c r="C138" s="232" t="s">
        <v>5733</v>
      </c>
      <c r="D138" s="235" t="s">
        <v>5734</v>
      </c>
      <c r="E138" s="236" t="s">
        <v>5606</v>
      </c>
      <c r="F138" s="239" t="s">
        <v>5698</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5694</v>
      </c>
      <c r="B139" s="231" t="s">
        <v>5695</v>
      </c>
      <c r="C139" s="232" t="s">
        <v>5735</v>
      </c>
      <c r="D139" s="235" t="s">
        <v>5736</v>
      </c>
      <c r="E139" s="236" t="s">
        <v>5606</v>
      </c>
      <c r="F139" s="239" t="s">
        <v>5698</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5694</v>
      </c>
      <c r="B140" s="231" t="s">
        <v>5695</v>
      </c>
      <c r="C140" s="232" t="s">
        <v>5737</v>
      </c>
      <c r="D140" s="235" t="s">
        <v>5738</v>
      </c>
      <c r="E140" s="236" t="s">
        <v>5462</v>
      </c>
      <c r="F140" s="239" t="s">
        <v>5698</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5694</v>
      </c>
      <c r="B141" s="231" t="s">
        <v>5695</v>
      </c>
      <c r="C141" s="232" t="s">
        <v>5739</v>
      </c>
      <c r="D141" s="235" t="s">
        <v>5740</v>
      </c>
      <c r="E141" s="236" t="s">
        <v>5741</v>
      </c>
      <c r="F141" s="239" t="s">
        <v>5742</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5694</v>
      </c>
      <c r="B142" s="231" t="s">
        <v>5695</v>
      </c>
      <c r="C142" s="232" t="s">
        <v>5743</v>
      </c>
      <c r="D142" s="235" t="s">
        <v>5744</v>
      </c>
      <c r="E142" s="236" t="s">
        <v>5741</v>
      </c>
      <c r="F142" s="239" t="s">
        <v>5742</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5694</v>
      </c>
      <c r="B143" s="231" t="s">
        <v>5695</v>
      </c>
      <c r="C143" s="232" t="s">
        <v>5745</v>
      </c>
      <c r="D143" s="235" t="s">
        <v>5746</v>
      </c>
      <c r="E143" s="236" t="s">
        <v>5741</v>
      </c>
      <c r="F143" s="239" t="s">
        <v>5742</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5694</v>
      </c>
      <c r="B144" s="231" t="s">
        <v>5695</v>
      </c>
      <c r="C144" s="232" t="s">
        <v>5747</v>
      </c>
      <c r="D144" s="235" t="s">
        <v>5748</v>
      </c>
      <c r="E144" s="236" t="s">
        <v>5558</v>
      </c>
      <c r="F144" s="239" t="s">
        <v>5742</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5694</v>
      </c>
      <c r="B145" s="231" t="s">
        <v>5695</v>
      </c>
      <c r="C145" s="232" t="s">
        <v>5749</v>
      </c>
      <c r="D145" s="235" t="s">
        <v>5750</v>
      </c>
      <c r="E145" s="236" t="s">
        <v>5558</v>
      </c>
      <c r="F145" s="239" t="s">
        <v>5742</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5694</v>
      </c>
      <c r="B146" s="231" t="s">
        <v>5695</v>
      </c>
      <c r="C146" s="232" t="s">
        <v>5751</v>
      </c>
      <c r="D146" s="235" t="s">
        <v>5752</v>
      </c>
      <c r="E146" s="236" t="s">
        <v>5558</v>
      </c>
      <c r="F146" s="239" t="s">
        <v>5742</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5694</v>
      </c>
      <c r="B147" s="230" t="s">
        <v>5753</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5694</v>
      </c>
      <c r="B148" s="231" t="s">
        <v>5753</v>
      </c>
      <c r="C148" s="232" t="s">
        <v>5754</v>
      </c>
      <c r="D148" s="235" t="s">
        <v>5755</v>
      </c>
      <c r="E148" s="236" t="s">
        <v>5491</v>
      </c>
      <c r="F148" s="239" t="s">
        <v>5756</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5694</v>
      </c>
      <c r="B149" s="231" t="s">
        <v>5753</v>
      </c>
      <c r="C149" s="232" t="s">
        <v>5757</v>
      </c>
      <c r="D149" s="235" t="s">
        <v>5758</v>
      </c>
      <c r="E149" s="236" t="s">
        <v>5491</v>
      </c>
      <c r="F149" s="239" t="s">
        <v>5756</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5694</v>
      </c>
      <c r="B150" s="231" t="s">
        <v>5753</v>
      </c>
      <c r="C150" s="232" t="s">
        <v>5759</v>
      </c>
      <c r="D150" s="235" t="s">
        <v>5760</v>
      </c>
      <c r="E150" s="236" t="s">
        <v>5491</v>
      </c>
      <c r="F150" s="239" t="s">
        <v>5756</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5694</v>
      </c>
      <c r="B151" s="231" t="s">
        <v>5753</v>
      </c>
      <c r="C151" s="232" t="s">
        <v>5761</v>
      </c>
      <c r="D151" s="235" t="s">
        <v>5762</v>
      </c>
      <c r="E151" s="236" t="s">
        <v>5491</v>
      </c>
      <c r="F151" s="239" t="s">
        <v>5756</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5694</v>
      </c>
      <c r="B152" s="231" t="s">
        <v>5753</v>
      </c>
      <c r="C152" s="232" t="s">
        <v>5763</v>
      </c>
      <c r="D152" s="235" t="s">
        <v>5764</v>
      </c>
      <c r="E152" s="236" t="s">
        <v>5491</v>
      </c>
      <c r="F152" s="239" t="s">
        <v>5756</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5694</v>
      </c>
      <c r="B153" s="231" t="s">
        <v>5753</v>
      </c>
      <c r="C153" s="232" t="s">
        <v>5765</v>
      </c>
      <c r="D153" s="235" t="s">
        <v>5766</v>
      </c>
      <c r="E153" s="236" t="s">
        <v>5491</v>
      </c>
      <c r="F153" s="239" t="s">
        <v>5756</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5694</v>
      </c>
      <c r="B154" s="231" t="s">
        <v>5753</v>
      </c>
      <c r="C154" s="232" t="s">
        <v>5767</v>
      </c>
      <c r="D154" s="235" t="s">
        <v>5768</v>
      </c>
      <c r="E154" s="236" t="s">
        <v>5491</v>
      </c>
      <c r="F154" s="239" t="s">
        <v>5756</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5694</v>
      </c>
      <c r="B155" s="231" t="s">
        <v>5753</v>
      </c>
      <c r="C155" s="232" t="s">
        <v>5769</v>
      </c>
      <c r="D155" s="235" t="s">
        <v>5770</v>
      </c>
      <c r="E155" s="236" t="s">
        <v>5491</v>
      </c>
      <c r="F155" s="239" t="s">
        <v>5756</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5694</v>
      </c>
      <c r="B156" s="231" t="s">
        <v>5753</v>
      </c>
      <c r="C156" s="232" t="s">
        <v>5771</v>
      </c>
      <c r="D156" s="235" t="s">
        <v>5772</v>
      </c>
      <c r="E156" s="236" t="s">
        <v>5491</v>
      </c>
      <c r="F156" s="239" t="s">
        <v>5756</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5694</v>
      </c>
      <c r="B157" s="231" t="s">
        <v>5753</v>
      </c>
      <c r="C157" s="232" t="s">
        <v>5773</v>
      </c>
      <c r="D157" s="235" t="s">
        <v>5774</v>
      </c>
      <c r="E157" s="236" t="s">
        <v>5491</v>
      </c>
      <c r="F157" s="239" t="s">
        <v>5756</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5694</v>
      </c>
      <c r="B158" s="231" t="s">
        <v>5753</v>
      </c>
      <c r="C158" s="232" t="s">
        <v>5775</v>
      </c>
      <c r="D158" s="235" t="s">
        <v>5776</v>
      </c>
      <c r="E158" s="236" t="s">
        <v>5491</v>
      </c>
      <c r="F158" s="239" t="s">
        <v>5756</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5694</v>
      </c>
      <c r="B159" s="231" t="s">
        <v>5753</v>
      </c>
      <c r="C159" s="232" t="s">
        <v>5777</v>
      </c>
      <c r="D159" s="235" t="s">
        <v>5778</v>
      </c>
      <c r="E159" s="236" t="s">
        <v>5491</v>
      </c>
      <c r="F159" s="239" t="s">
        <v>5756</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5694</v>
      </c>
      <c r="B160" s="231" t="s">
        <v>5753</v>
      </c>
      <c r="C160" s="232" t="s">
        <v>5779</v>
      </c>
      <c r="D160" s="235" t="s">
        <v>5780</v>
      </c>
      <c r="E160" s="236" t="s">
        <v>5491</v>
      </c>
      <c r="F160" s="239" t="s">
        <v>5781</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5694</v>
      </c>
      <c r="B161" s="231" t="s">
        <v>5753</v>
      </c>
      <c r="C161" s="232" t="s">
        <v>5782</v>
      </c>
      <c r="D161" s="235" t="s">
        <v>5783</v>
      </c>
      <c r="E161" s="236" t="s">
        <v>5491</v>
      </c>
      <c r="F161" s="239" t="s">
        <v>5781</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5694</v>
      </c>
      <c r="B162" s="231" t="s">
        <v>5753</v>
      </c>
      <c r="C162" s="232" t="s">
        <v>5784</v>
      </c>
      <c r="D162" s="235" t="s">
        <v>5785</v>
      </c>
      <c r="E162" s="236" t="s">
        <v>5491</v>
      </c>
      <c r="F162" s="239" t="s">
        <v>5781</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5694</v>
      </c>
      <c r="B163" s="231" t="s">
        <v>5753</v>
      </c>
      <c r="C163" s="232" t="s">
        <v>5786</v>
      </c>
      <c r="D163" s="235" t="s">
        <v>5787</v>
      </c>
      <c r="E163" s="236" t="s">
        <v>5491</v>
      </c>
      <c r="F163" s="239" t="s">
        <v>5781</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5694</v>
      </c>
      <c r="B164" s="231" t="s">
        <v>5753</v>
      </c>
      <c r="C164" s="232" t="s">
        <v>5788</v>
      </c>
      <c r="D164" s="235" t="s">
        <v>5789</v>
      </c>
      <c r="E164" s="236" t="s">
        <v>5491</v>
      </c>
      <c r="F164" s="239" t="s">
        <v>5781</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5694</v>
      </c>
      <c r="B165" s="230" t="s">
        <v>5790</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5694</v>
      </c>
      <c r="B166" s="231" t="s">
        <v>5790</v>
      </c>
      <c r="C166" s="232" t="s">
        <v>5791</v>
      </c>
      <c r="D166" s="235" t="s">
        <v>5792</v>
      </c>
      <c r="E166" s="236" t="s">
        <v>5462</v>
      </c>
      <c r="F166" s="239" t="s">
        <v>5793</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5694</v>
      </c>
      <c r="B167" s="231" t="s">
        <v>5790</v>
      </c>
      <c r="C167" s="232" t="s">
        <v>5794</v>
      </c>
      <c r="D167" s="235" t="s">
        <v>5795</v>
      </c>
      <c r="E167" s="236" t="s">
        <v>5606</v>
      </c>
      <c r="F167" s="239" t="s">
        <v>5793</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5694</v>
      </c>
      <c r="B168" s="231" t="s">
        <v>5790</v>
      </c>
      <c r="C168" s="232" t="s">
        <v>5796</v>
      </c>
      <c r="D168" s="235" t="s">
        <v>5797</v>
      </c>
      <c r="E168" s="236" t="s">
        <v>5558</v>
      </c>
      <c r="F168" s="239" t="s">
        <v>5793</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5694</v>
      </c>
      <c r="B169" s="231" t="s">
        <v>5790</v>
      </c>
      <c r="C169" s="232" t="s">
        <v>5798</v>
      </c>
      <c r="D169" s="235" t="s">
        <v>5799</v>
      </c>
      <c r="E169" s="236" t="s">
        <v>5558</v>
      </c>
      <c r="F169" s="239" t="s">
        <v>5793</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5694</v>
      </c>
      <c r="B170" s="231" t="s">
        <v>5790</v>
      </c>
      <c r="C170" s="232" t="s">
        <v>5800</v>
      </c>
      <c r="D170" s="235" t="s">
        <v>5801</v>
      </c>
      <c r="E170" s="236" t="s">
        <v>5606</v>
      </c>
      <c r="F170" s="239" t="s">
        <v>5793</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5694</v>
      </c>
      <c r="B171" s="231" t="s">
        <v>5790</v>
      </c>
      <c r="C171" s="232" t="s">
        <v>5802</v>
      </c>
      <c r="D171" s="235" t="s">
        <v>5803</v>
      </c>
      <c r="E171" s="236" t="s">
        <v>5491</v>
      </c>
      <c r="F171" s="239" t="s">
        <v>5793</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5694</v>
      </c>
      <c r="B172" s="231" t="s">
        <v>5790</v>
      </c>
      <c r="C172" s="232" t="s">
        <v>5804</v>
      </c>
      <c r="D172" s="235" t="s">
        <v>5805</v>
      </c>
      <c r="E172" s="236" t="s">
        <v>5558</v>
      </c>
      <c r="F172" s="239" t="s">
        <v>5793</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5694</v>
      </c>
      <c r="B173" s="231" t="s">
        <v>5790</v>
      </c>
      <c r="C173" s="232" t="s">
        <v>5806</v>
      </c>
      <c r="D173" s="235" t="s">
        <v>5807</v>
      </c>
      <c r="E173" s="236" t="s">
        <v>5491</v>
      </c>
      <c r="F173" s="239" t="s">
        <v>5793</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5694</v>
      </c>
      <c r="B174" s="231" t="s">
        <v>5790</v>
      </c>
      <c r="C174" s="232" t="s">
        <v>5808</v>
      </c>
      <c r="D174" s="235" t="s">
        <v>5809</v>
      </c>
      <c r="E174" s="236" t="s">
        <v>5558</v>
      </c>
      <c r="F174" s="239" t="s">
        <v>5793</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5694</v>
      </c>
      <c r="B175" s="231" t="s">
        <v>5790</v>
      </c>
      <c r="C175" s="232" t="s">
        <v>5810</v>
      </c>
      <c r="D175" s="235" t="s">
        <v>5811</v>
      </c>
      <c r="E175" s="236" t="s">
        <v>5491</v>
      </c>
      <c r="F175" s="239" t="s">
        <v>5793</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5694</v>
      </c>
      <c r="B176" s="231" t="s">
        <v>5790</v>
      </c>
      <c r="C176" s="232" t="s">
        <v>5812</v>
      </c>
      <c r="D176" s="235" t="s">
        <v>5813</v>
      </c>
      <c r="E176" s="236" t="s">
        <v>5462</v>
      </c>
      <c r="F176" s="239" t="s">
        <v>5793</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5694</v>
      </c>
      <c r="B177" s="231" t="s">
        <v>5790</v>
      </c>
      <c r="C177" s="232" t="s">
        <v>5814</v>
      </c>
      <c r="D177" s="235" t="s">
        <v>5815</v>
      </c>
      <c r="E177" s="236" t="s">
        <v>5462</v>
      </c>
      <c r="F177" s="239" t="s">
        <v>5793</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5694</v>
      </c>
      <c r="B178" s="231" t="s">
        <v>5790</v>
      </c>
      <c r="C178" s="232" t="s">
        <v>5816</v>
      </c>
      <c r="D178" s="235" t="s">
        <v>5817</v>
      </c>
      <c r="E178" s="236" t="s">
        <v>5491</v>
      </c>
      <c r="F178" s="239" t="s">
        <v>5793</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5694</v>
      </c>
      <c r="B179" s="231" t="s">
        <v>5790</v>
      </c>
      <c r="C179" s="232" t="s">
        <v>5818</v>
      </c>
      <c r="D179" s="235" t="s">
        <v>5819</v>
      </c>
      <c r="E179" s="236" t="s">
        <v>5606</v>
      </c>
      <c r="F179" s="239" t="s">
        <v>5793</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5694</v>
      </c>
      <c r="B180" s="231" t="s">
        <v>5790</v>
      </c>
      <c r="C180" s="232" t="s">
        <v>5820</v>
      </c>
      <c r="D180" s="235" t="s">
        <v>5821</v>
      </c>
      <c r="E180" s="236" t="s">
        <v>5606</v>
      </c>
      <c r="F180" s="239" t="s">
        <v>5793</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5694</v>
      </c>
      <c r="B181" s="230" t="s">
        <v>5822</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5694</v>
      </c>
      <c r="B182" s="231" t="s">
        <v>5822</v>
      </c>
      <c r="C182" s="232" t="s">
        <v>5823</v>
      </c>
      <c r="D182" s="235" t="s">
        <v>5824</v>
      </c>
      <c r="E182" s="236" t="s">
        <v>5462</v>
      </c>
      <c r="F182" s="239" t="s">
        <v>5825</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5694</v>
      </c>
      <c r="B183" s="231" t="s">
        <v>5822</v>
      </c>
      <c r="C183" s="232" t="s">
        <v>5826</v>
      </c>
      <c r="D183" s="235" t="s">
        <v>5827</v>
      </c>
      <c r="E183" s="236" t="s">
        <v>5462</v>
      </c>
      <c r="F183" s="239" t="s">
        <v>5825</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5694</v>
      </c>
      <c r="B184" s="231" t="s">
        <v>5822</v>
      </c>
      <c r="C184" s="232" t="s">
        <v>5828</v>
      </c>
      <c r="D184" s="235" t="s">
        <v>5829</v>
      </c>
      <c r="E184" s="236" t="s">
        <v>5462</v>
      </c>
      <c r="F184" s="239" t="s">
        <v>5825</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5694</v>
      </c>
      <c r="B185" s="231" t="s">
        <v>5822</v>
      </c>
      <c r="C185" s="232" t="s">
        <v>5830</v>
      </c>
      <c r="D185" s="235" t="s">
        <v>5831</v>
      </c>
      <c r="E185" s="236" t="s">
        <v>5462</v>
      </c>
      <c r="F185" s="239" t="s">
        <v>5825</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5694</v>
      </c>
      <c r="B186" s="231" t="s">
        <v>5822</v>
      </c>
      <c r="C186" s="232" t="s">
        <v>5832</v>
      </c>
      <c r="D186" s="235" t="s">
        <v>5833</v>
      </c>
      <c r="E186" s="236" t="s">
        <v>5462</v>
      </c>
      <c r="F186" s="239" t="s">
        <v>5825</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5694</v>
      </c>
      <c r="B187" s="231" t="s">
        <v>5822</v>
      </c>
      <c r="C187" s="232" t="s">
        <v>5834</v>
      </c>
      <c r="D187" s="235" t="s">
        <v>5835</v>
      </c>
      <c r="E187" s="236" t="s">
        <v>5491</v>
      </c>
      <c r="F187" s="239" t="s">
        <v>5825</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5694</v>
      </c>
      <c r="B188" s="231" t="s">
        <v>5822</v>
      </c>
      <c r="C188" s="232" t="s">
        <v>5836</v>
      </c>
      <c r="D188" s="235" t="s">
        <v>5837</v>
      </c>
      <c r="E188" s="236" t="s">
        <v>5491</v>
      </c>
      <c r="F188" s="239" t="s">
        <v>5825</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5694</v>
      </c>
      <c r="B189" s="231" t="s">
        <v>5822</v>
      </c>
      <c r="C189" s="232" t="s">
        <v>5838</v>
      </c>
      <c r="D189" s="235" t="s">
        <v>5839</v>
      </c>
      <c r="E189" s="236" t="s">
        <v>5491</v>
      </c>
      <c r="F189" s="239" t="s">
        <v>5825</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5694</v>
      </c>
      <c r="B190" s="231" t="s">
        <v>5822</v>
      </c>
      <c r="C190" s="232" t="s">
        <v>5840</v>
      </c>
      <c r="D190" s="235" t="s">
        <v>5841</v>
      </c>
      <c r="E190" s="236" t="s">
        <v>5491</v>
      </c>
      <c r="F190" s="239" t="s">
        <v>5825</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5694</v>
      </c>
      <c r="B191" s="231" t="s">
        <v>5822</v>
      </c>
      <c r="C191" s="232" t="s">
        <v>5842</v>
      </c>
      <c r="D191" s="235" t="s">
        <v>5843</v>
      </c>
      <c r="E191" s="236" t="s">
        <v>5462</v>
      </c>
      <c r="F191" s="239" t="s">
        <v>5825</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5694</v>
      </c>
      <c r="B192" s="231" t="s">
        <v>5822</v>
      </c>
      <c r="C192" s="232" t="s">
        <v>5844</v>
      </c>
      <c r="D192" s="235" t="s">
        <v>5845</v>
      </c>
      <c r="E192" s="236" t="s">
        <v>5462</v>
      </c>
      <c r="F192" s="239" t="s">
        <v>5825</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5694</v>
      </c>
      <c r="B193" s="231" t="s">
        <v>5822</v>
      </c>
      <c r="C193" s="232" t="s">
        <v>5846</v>
      </c>
      <c r="D193" s="235" t="s">
        <v>5847</v>
      </c>
      <c r="E193" s="236" t="s">
        <v>5462</v>
      </c>
      <c r="F193" s="239" t="s">
        <v>5825</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5694</v>
      </c>
      <c r="B194" s="231" t="s">
        <v>5822</v>
      </c>
      <c r="C194" s="232" t="s">
        <v>5848</v>
      </c>
      <c r="D194" s="235" t="s">
        <v>5849</v>
      </c>
      <c r="E194" s="236" t="s">
        <v>5462</v>
      </c>
      <c r="F194" s="239" t="s">
        <v>5825</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5694</v>
      </c>
      <c r="B195" s="231" t="s">
        <v>5822</v>
      </c>
      <c r="C195" s="232" t="s">
        <v>5850</v>
      </c>
      <c r="D195" s="235" t="s">
        <v>5851</v>
      </c>
      <c r="E195" s="236" t="s">
        <v>5462</v>
      </c>
      <c r="F195" s="239" t="s">
        <v>5825</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5694</v>
      </c>
      <c r="B196" s="231" t="s">
        <v>5822</v>
      </c>
      <c r="C196" s="232" t="s">
        <v>5852</v>
      </c>
      <c r="D196" s="235" t="s">
        <v>5853</v>
      </c>
      <c r="E196" s="236" t="s">
        <v>5462</v>
      </c>
      <c r="F196" s="239" t="s">
        <v>5854</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5694</v>
      </c>
      <c r="B197" s="231" t="s">
        <v>5822</v>
      </c>
      <c r="C197" s="232" t="s">
        <v>5855</v>
      </c>
      <c r="D197" s="235" t="s">
        <v>5856</v>
      </c>
      <c r="E197" s="236" t="s">
        <v>5462</v>
      </c>
      <c r="F197" s="239" t="s">
        <v>5854</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5694</v>
      </c>
      <c r="B198" s="231" t="s">
        <v>5822</v>
      </c>
      <c r="C198" s="232" t="s">
        <v>5857</v>
      </c>
      <c r="D198" s="235" t="s">
        <v>5858</v>
      </c>
      <c r="E198" s="236" t="s">
        <v>5462</v>
      </c>
      <c r="F198" s="239" t="s">
        <v>5854</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5694</v>
      </c>
      <c r="B199" s="231" t="s">
        <v>5822</v>
      </c>
      <c r="C199" s="232" t="s">
        <v>5859</v>
      </c>
      <c r="D199" s="235" t="s">
        <v>5860</v>
      </c>
      <c r="E199" s="236" t="s">
        <v>5462</v>
      </c>
      <c r="F199" s="239" t="s">
        <v>5854</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5861</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5861</v>
      </c>
      <c r="B201" s="230" t="s">
        <v>5862</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5861</v>
      </c>
      <c r="B202" s="231" t="s">
        <v>5862</v>
      </c>
      <c r="C202" s="232" t="s">
        <v>5863</v>
      </c>
      <c r="D202" s="235" t="s">
        <v>5864</v>
      </c>
      <c r="E202" s="236" t="s">
        <v>5741</v>
      </c>
      <c r="F202" s="239" t="s">
        <v>5865</v>
      </c>
      <c r="G202" s="242">
        <f>IF(COUNTIF(H202:AU202,"&lt;&gt;")=0,"",SUMPRODUCT(((Recommendations[ImplStatus]="Implemented")+(Recommendations[ImplStatus]="Compensated"))*ISNUMBER(MATCH(Recommendations[Id],H202:AU202,0)))/COUNTIF(H202:AU202,"&lt;&gt;"))</f>
        <v>0</v>
      </c>
      <c r="H202" s="243" t="s">
        <v>238</v>
      </c>
      <c r="I202" s="243" t="s">
        <v>241</v>
      </c>
      <c r="J202" s="243" t="s">
        <v>244</v>
      </c>
      <c r="K202" s="243" t="s">
        <v>318</v>
      </c>
      <c r="L202" s="243" t="s">
        <v>389</v>
      </c>
      <c r="M202" s="243" t="s">
        <v>392</v>
      </c>
      <c r="N202" s="243" t="s">
        <v>633</v>
      </c>
      <c r="O202" s="243" t="s">
        <v>652</v>
      </c>
      <c r="P202" s="243" t="s">
        <v>655</v>
      </c>
      <c r="Q202" s="243" t="s">
        <v>695</v>
      </c>
      <c r="R202" s="243" t="s">
        <v>711</v>
      </c>
      <c r="S202" s="243" t="s">
        <v>714</v>
      </c>
      <c r="T202" s="243" t="s">
        <v>721</v>
      </c>
      <c r="U202" s="243" t="s">
        <v>728</v>
      </c>
      <c r="V202" s="243" t="s">
        <v>734</v>
      </c>
      <c r="W202" s="243" t="s">
        <v>740</v>
      </c>
      <c r="X202" s="243" t="s">
        <v>745</v>
      </c>
      <c r="Y202" s="243" t="s">
        <v>751</v>
      </c>
      <c r="Z202" s="243" t="s">
        <v>754</v>
      </c>
      <c r="AA202" s="243" t="s">
        <v>762</v>
      </c>
      <c r="AB202" s="243" t="s">
        <v>768</v>
      </c>
      <c r="AC202" s="243" t="s">
        <v>784</v>
      </c>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5861</v>
      </c>
      <c r="B203" s="231" t="s">
        <v>5862</v>
      </c>
      <c r="C203" s="232" t="s">
        <v>5866</v>
      </c>
      <c r="D203" s="235" t="s">
        <v>5867</v>
      </c>
      <c r="E203" s="236" t="s">
        <v>5741</v>
      </c>
      <c r="F203" s="239" t="s">
        <v>5865</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5861</v>
      </c>
      <c r="B204" s="231" t="s">
        <v>5862</v>
      </c>
      <c r="C204" s="232" t="s">
        <v>5868</v>
      </c>
      <c r="D204" s="235" t="s">
        <v>5869</v>
      </c>
      <c r="E204" s="236" t="s">
        <v>5741</v>
      </c>
      <c r="F204" s="239" t="s">
        <v>5865</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5861</v>
      </c>
      <c r="B205" s="231" t="s">
        <v>5862</v>
      </c>
      <c r="C205" s="232" t="s">
        <v>5870</v>
      </c>
      <c r="D205" s="235" t="s">
        <v>5871</v>
      </c>
      <c r="E205" s="236" t="s">
        <v>5741</v>
      </c>
      <c r="F205" s="239" t="s">
        <v>5865</v>
      </c>
      <c r="G205" s="242">
        <f>IF(COUNTIF(H205:AU205,"&lt;&gt;")=0,"",SUMPRODUCT(((Recommendations[ImplStatus]="Implemented")+(Recommendations[ImplStatus]="Compensated"))*ISNUMBER(MATCH(Recommendations[Id],H205:AU205,0)))/COUNTIF(H205:AU205,"&lt;&gt;"))</f>
        <v>0</v>
      </c>
      <c r="H205" s="243" t="s">
        <v>652</v>
      </c>
      <c r="I205" s="243" t="s">
        <v>655</v>
      </c>
      <c r="J205" s="243" t="s">
        <v>669</v>
      </c>
      <c r="K205" s="243" t="s">
        <v>676</v>
      </c>
      <c r="L205" s="243" t="s">
        <v>684</v>
      </c>
      <c r="M205" s="243" t="s">
        <v>692</v>
      </c>
      <c r="N205" s="243" t="s">
        <v>695</v>
      </c>
      <c r="O205" s="243" t="s">
        <v>703</v>
      </c>
      <c r="P205" s="243" t="s">
        <v>711</v>
      </c>
      <c r="Q205" s="243" t="s">
        <v>714</v>
      </c>
      <c r="R205" s="243" t="s">
        <v>728</v>
      </c>
      <c r="S205" s="243" t="s">
        <v>734</v>
      </c>
      <c r="T205" s="243" t="s">
        <v>740</v>
      </c>
      <c r="U205" s="243" t="s">
        <v>745</v>
      </c>
      <c r="V205" s="243" t="s">
        <v>751</v>
      </c>
      <c r="W205" s="243" t="s">
        <v>754</v>
      </c>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5861</v>
      </c>
      <c r="B206" s="231" t="s">
        <v>5862</v>
      </c>
      <c r="C206" s="232" t="s">
        <v>5872</v>
      </c>
      <c r="D206" s="235" t="s">
        <v>5873</v>
      </c>
      <c r="E206" s="236" t="s">
        <v>5741</v>
      </c>
      <c r="F206" s="239" t="s">
        <v>5865</v>
      </c>
      <c r="G206" s="242">
        <f>IF(COUNTIF(H206:AU206,"&lt;&gt;")=0,"",SUMPRODUCT(((Recommendations[ImplStatus]="Implemented")+(Recommendations[ImplStatus]="Compensated"))*ISNUMBER(MATCH(Recommendations[Id],H206:AU206,0)))/COUNTIF(H206:AU206,"&lt;&gt;"))</f>
        <v>0</v>
      </c>
      <c r="H206" s="243" t="s">
        <v>776</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5861</v>
      </c>
      <c r="B207" s="231" t="s">
        <v>5862</v>
      </c>
      <c r="C207" s="232" t="s">
        <v>5874</v>
      </c>
      <c r="D207" s="235" t="s">
        <v>5875</v>
      </c>
      <c r="E207" s="236" t="s">
        <v>5606</v>
      </c>
      <c r="F207" s="239" t="s">
        <v>5865</v>
      </c>
      <c r="G207" s="242">
        <f>IF(COUNTIF(H207:AU207,"&lt;&gt;")=0,"",SUMPRODUCT(((Recommendations[ImplStatus]="Implemented")+(Recommendations[ImplStatus]="Compensated"))*ISNUMBER(MATCH(Recommendations[Id],H207:AU207,0)))/COUNTIF(H207:AU207,"&lt;&gt;"))</f>
        <v>0</v>
      </c>
      <c r="H207" s="243" t="s">
        <v>217</v>
      </c>
      <c r="I207" s="243" t="s">
        <v>225</v>
      </c>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5861</v>
      </c>
      <c r="B208" s="231" t="s">
        <v>5862</v>
      </c>
      <c r="C208" s="232" t="s">
        <v>5876</v>
      </c>
      <c r="D208" s="235" t="s">
        <v>5877</v>
      </c>
      <c r="E208" s="236" t="s">
        <v>5606</v>
      </c>
      <c r="F208" s="239" t="s">
        <v>5865</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5861</v>
      </c>
      <c r="B209" s="231" t="s">
        <v>5862</v>
      </c>
      <c r="C209" s="232" t="s">
        <v>5878</v>
      </c>
      <c r="D209" s="235" t="s">
        <v>5879</v>
      </c>
      <c r="E209" s="236" t="s">
        <v>5741</v>
      </c>
      <c r="F209" s="239" t="s">
        <v>5865</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5861</v>
      </c>
      <c r="B210" s="231" t="s">
        <v>5862</v>
      </c>
      <c r="C210" s="232" t="s">
        <v>5880</v>
      </c>
      <c r="D210" s="235" t="s">
        <v>5881</v>
      </c>
      <c r="E210" s="236" t="s">
        <v>5491</v>
      </c>
      <c r="F210" s="239" t="s">
        <v>5882</v>
      </c>
      <c r="G210" s="242" t="str">
        <f>IF(COUNTIF(H210:AU210,"&lt;&gt;")=0,"",SUMPRODUCT(((Recommendations[ImplStatus]="Implemented")+(Recommendations[ImplStatus]="Compensated"))*ISNUMBER(MATCH(Recommendations[Id],H210:AU210,0)))/COUNTIF(H210:AU210,"&lt;&gt;"))</f>
        <v/>
      </c>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5861</v>
      </c>
      <c r="B211" s="231" t="s">
        <v>5862</v>
      </c>
      <c r="C211" s="232" t="s">
        <v>5883</v>
      </c>
      <c r="D211" s="235" t="s">
        <v>5884</v>
      </c>
      <c r="E211" s="236" t="s">
        <v>5491</v>
      </c>
      <c r="F211" s="239" t="s">
        <v>5882</v>
      </c>
      <c r="G211" s="242" t="str">
        <f>IF(COUNTIF(H211:AU211,"&lt;&gt;")=0,"",SUMPRODUCT(((Recommendations[ImplStatus]="Implemented")+(Recommendations[ImplStatus]="Compensated"))*ISNUMBER(MATCH(Recommendations[Id],H211:AU211,0)))/COUNTIF(H211:AU211,"&lt;&gt;"))</f>
        <v/>
      </c>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5861</v>
      </c>
      <c r="B212" s="231" t="s">
        <v>5862</v>
      </c>
      <c r="C212" s="232" t="s">
        <v>5885</v>
      </c>
      <c r="D212" s="235" t="s">
        <v>5886</v>
      </c>
      <c r="E212" s="236" t="s">
        <v>5558</v>
      </c>
      <c r="F212" s="239" t="s">
        <v>5887</v>
      </c>
      <c r="G212" s="242">
        <f>IF(COUNTIF(H212:AU212,"&lt;&gt;")=0,"",SUMPRODUCT(((Recommendations[ImplStatus]="Implemented")+(Recommendations[ImplStatus]="Compensated"))*ISNUMBER(MATCH(Recommendations[Id],H212:AU212,0)))/COUNTIF(H212:AU212,"&lt;&gt;"))</f>
        <v>0</v>
      </c>
      <c r="H212" s="243" t="s">
        <v>1085</v>
      </c>
      <c r="I212" s="243" t="s">
        <v>1099</v>
      </c>
      <c r="J212" s="243" t="s">
        <v>1106</v>
      </c>
      <c r="K212" s="243" t="s">
        <v>1114</v>
      </c>
      <c r="L212" s="243" t="s">
        <v>1117</v>
      </c>
      <c r="M212" s="243" t="s">
        <v>1120</v>
      </c>
      <c r="N212" s="243" t="s">
        <v>1131</v>
      </c>
      <c r="O212" s="243" t="s">
        <v>1141</v>
      </c>
      <c r="P212" s="243" t="s">
        <v>1152</v>
      </c>
      <c r="Q212" s="243" t="s">
        <v>1160</v>
      </c>
      <c r="R212" s="243" t="s">
        <v>1168</v>
      </c>
      <c r="S212" s="243" t="s">
        <v>1171</v>
      </c>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5861</v>
      </c>
      <c r="B213" s="231" t="s">
        <v>5862</v>
      </c>
      <c r="C213" s="232" t="s">
        <v>5888</v>
      </c>
      <c r="D213" s="235" t="s">
        <v>5889</v>
      </c>
      <c r="E213" s="236" t="s">
        <v>5491</v>
      </c>
      <c r="F213" s="239" t="s">
        <v>5890</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5861</v>
      </c>
      <c r="B214" s="231" t="s">
        <v>5862</v>
      </c>
      <c r="C214" s="232" t="s">
        <v>5891</v>
      </c>
      <c r="D214" s="235" t="s">
        <v>5892</v>
      </c>
      <c r="E214" s="236" t="s">
        <v>5558</v>
      </c>
      <c r="F214" s="239" t="s">
        <v>5893</v>
      </c>
      <c r="G214" s="242" t="str">
        <f>IF(COUNTIF(H214:AU214,"&lt;&gt;")=0,"",SUMPRODUCT(((Recommendations[ImplStatus]="Implemented")+(Recommendations[ImplStatus]="Compensated"))*ISNUMBER(MATCH(Recommendations[Id],H214:AU214,0)))/COUNTIF(H214:AU214,"&lt;&gt;"))</f>
        <v/>
      </c>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5861</v>
      </c>
      <c r="B215" s="231" t="s">
        <v>5862</v>
      </c>
      <c r="C215" s="232" t="s">
        <v>5894</v>
      </c>
      <c r="D215" s="235" t="s">
        <v>5895</v>
      </c>
      <c r="E215" s="236" t="s">
        <v>5462</v>
      </c>
      <c r="F215" s="239" t="s">
        <v>5893</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5861</v>
      </c>
      <c r="B216" s="231" t="s">
        <v>5862</v>
      </c>
      <c r="C216" s="232" t="s">
        <v>5896</v>
      </c>
      <c r="D216" s="235" t="s">
        <v>5897</v>
      </c>
      <c r="E216" s="236" t="s">
        <v>5462</v>
      </c>
      <c r="F216" s="239" t="s">
        <v>5893</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5861</v>
      </c>
      <c r="B217" s="231" t="s">
        <v>5862</v>
      </c>
      <c r="C217" s="232" t="s">
        <v>5898</v>
      </c>
      <c r="D217" s="235" t="s">
        <v>5899</v>
      </c>
      <c r="E217" s="236" t="s">
        <v>5491</v>
      </c>
      <c r="F217" s="239" t="s">
        <v>5893</v>
      </c>
      <c r="G217" s="242">
        <f>IF(COUNTIF(H217:AU217,"&lt;&gt;")=0,"",SUMPRODUCT(((Recommendations[ImplStatus]="Implemented")+(Recommendations[ImplStatus]="Compensated"))*ISNUMBER(MATCH(Recommendations[Id],H217:AU217,0)))/COUNTIF(H217:AU217,"&lt;&gt;"))</f>
        <v>0</v>
      </c>
      <c r="H217" s="243" t="s">
        <v>967</v>
      </c>
      <c r="I217" s="243" t="s">
        <v>975</v>
      </c>
      <c r="J217" s="243" t="s">
        <v>983</v>
      </c>
      <c r="K217" s="243" t="s">
        <v>1187</v>
      </c>
      <c r="L217" s="243" t="s">
        <v>1190</v>
      </c>
      <c r="M217" s="243" t="s">
        <v>1199</v>
      </c>
      <c r="N217" s="243" t="s">
        <v>1208</v>
      </c>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5861</v>
      </c>
      <c r="B218" s="231" t="s">
        <v>5862</v>
      </c>
      <c r="C218" s="232" t="s">
        <v>5900</v>
      </c>
      <c r="D218" s="235" t="s">
        <v>5901</v>
      </c>
      <c r="E218" s="236" t="s">
        <v>5491</v>
      </c>
      <c r="F218" s="239" t="s">
        <v>5893</v>
      </c>
      <c r="G218" s="242">
        <f>IF(COUNTIF(H218:AU218,"&lt;&gt;")=0,"",SUMPRODUCT(((Recommendations[ImplStatus]="Implemented")+(Recommendations[ImplStatus]="Compensated"))*ISNUMBER(MATCH(Recommendations[Id],H218:AU218,0)))/COUNTIF(H218:AU218,"&lt;&gt;"))</f>
        <v>0</v>
      </c>
      <c r="H218" s="243" t="s">
        <v>967</v>
      </c>
      <c r="I218" s="243" t="s">
        <v>975</v>
      </c>
      <c r="J218" s="243" t="s">
        <v>983</v>
      </c>
      <c r="K218" s="243" t="s">
        <v>1187</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5861</v>
      </c>
      <c r="B219" s="231" t="s">
        <v>5862</v>
      </c>
      <c r="C219" s="232" t="s">
        <v>5902</v>
      </c>
      <c r="D219" s="235" t="s">
        <v>5903</v>
      </c>
      <c r="E219" s="236" t="s">
        <v>5491</v>
      </c>
      <c r="F219" s="239" t="s">
        <v>5893</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5861</v>
      </c>
      <c r="B220" s="231" t="s">
        <v>5862</v>
      </c>
      <c r="C220" s="232" t="s">
        <v>5904</v>
      </c>
      <c r="D220" s="235" t="s">
        <v>5905</v>
      </c>
      <c r="E220" s="236" t="s">
        <v>5491</v>
      </c>
      <c r="F220" s="239" t="s">
        <v>5893</v>
      </c>
      <c r="G220" s="242">
        <f>IF(COUNTIF(H220:AU220,"&lt;&gt;")=0,"",SUMPRODUCT(((Recommendations[ImplStatus]="Implemented")+(Recommendations[ImplStatus]="Compensated"))*ISNUMBER(MATCH(Recommendations[Id],H220:AU220,0)))/COUNTIF(H220:AU220,"&lt;&gt;"))</f>
        <v>0</v>
      </c>
      <c r="H220" s="243" t="s">
        <v>1196</v>
      </c>
      <c r="I220" s="243" t="s">
        <v>1205</v>
      </c>
      <c r="J220" s="243" t="s">
        <v>1214</v>
      </c>
      <c r="K220" s="243" t="s">
        <v>1220</v>
      </c>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5861</v>
      </c>
      <c r="B221" s="230" t="s">
        <v>5906</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5861</v>
      </c>
      <c r="B222" s="231" t="s">
        <v>5906</v>
      </c>
      <c r="C222" s="232" t="s">
        <v>5907</v>
      </c>
      <c r="D222" s="235" t="s">
        <v>5908</v>
      </c>
      <c r="E222" s="236" t="s">
        <v>5558</v>
      </c>
      <c r="F222" s="239" t="s">
        <v>5909</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5861</v>
      </c>
      <c r="B223" s="231" t="s">
        <v>5906</v>
      </c>
      <c r="C223" s="232" t="s">
        <v>5910</v>
      </c>
      <c r="D223" s="235" t="s">
        <v>5911</v>
      </c>
      <c r="E223" s="236" t="s">
        <v>5558</v>
      </c>
      <c r="F223" s="239" t="s">
        <v>5909</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5861</v>
      </c>
      <c r="B224" s="231" t="s">
        <v>5906</v>
      </c>
      <c r="C224" s="232" t="s">
        <v>5912</v>
      </c>
      <c r="D224" s="235" t="s">
        <v>5913</v>
      </c>
      <c r="E224" s="236" t="s">
        <v>5558</v>
      </c>
      <c r="F224" s="239" t="s">
        <v>5909</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5861</v>
      </c>
      <c r="B225" s="231" t="s">
        <v>5906</v>
      </c>
      <c r="C225" s="232" t="s">
        <v>5914</v>
      </c>
      <c r="D225" s="235" t="s">
        <v>5915</v>
      </c>
      <c r="E225" s="236" t="s">
        <v>5558</v>
      </c>
      <c r="F225" s="239" t="s">
        <v>5909</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5861</v>
      </c>
      <c r="B226" s="231" t="s">
        <v>5906</v>
      </c>
      <c r="C226" s="232" t="s">
        <v>5916</v>
      </c>
      <c r="D226" s="235" t="s">
        <v>5917</v>
      </c>
      <c r="E226" s="236" t="s">
        <v>5558</v>
      </c>
      <c r="F226" s="239" t="s">
        <v>5909</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5861</v>
      </c>
      <c r="B227" s="231" t="s">
        <v>5906</v>
      </c>
      <c r="C227" s="232" t="s">
        <v>5918</v>
      </c>
      <c r="D227" s="235" t="s">
        <v>5919</v>
      </c>
      <c r="E227" s="236" t="s">
        <v>5558</v>
      </c>
      <c r="F227" s="239" t="s">
        <v>5909</v>
      </c>
      <c r="G227" s="242">
        <f>IF(COUNTIF(H227:AU227,"&lt;&gt;")=0,"",SUMPRODUCT(((Recommendations[ImplStatus]="Implemented")+(Recommendations[ImplStatus]="Compensated"))*ISNUMBER(MATCH(Recommendations[Id],H227:AU227,0)))/COUNTIF(H227:AU227,"&lt;&gt;"))</f>
        <v>0</v>
      </c>
      <c r="H227" s="243" t="s">
        <v>494</v>
      </c>
      <c r="I227" s="243" t="s">
        <v>508</v>
      </c>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5861</v>
      </c>
      <c r="B228" s="231" t="s">
        <v>5906</v>
      </c>
      <c r="C228" s="232" t="s">
        <v>5920</v>
      </c>
      <c r="D228" s="235" t="s">
        <v>5921</v>
      </c>
      <c r="E228" s="236" t="s">
        <v>5558</v>
      </c>
      <c r="F228" s="239" t="s">
        <v>5909</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5861</v>
      </c>
      <c r="B229" s="231" t="s">
        <v>5906</v>
      </c>
      <c r="C229" s="232" t="s">
        <v>5922</v>
      </c>
      <c r="D229" s="235" t="s">
        <v>5923</v>
      </c>
      <c r="E229" s="236" t="s">
        <v>5462</v>
      </c>
      <c r="F229" s="239" t="s">
        <v>5909</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5861</v>
      </c>
      <c r="B230" s="231" t="s">
        <v>5906</v>
      </c>
      <c r="C230" s="232" t="s">
        <v>5924</v>
      </c>
      <c r="D230" s="235" t="s">
        <v>5925</v>
      </c>
      <c r="E230" s="236" t="s">
        <v>5462</v>
      </c>
      <c r="F230" s="239" t="s">
        <v>5909</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5861</v>
      </c>
      <c r="B231" s="231" t="s">
        <v>5906</v>
      </c>
      <c r="C231" s="232" t="s">
        <v>5926</v>
      </c>
      <c r="D231" s="235" t="s">
        <v>5927</v>
      </c>
      <c r="E231" s="236" t="s">
        <v>5558</v>
      </c>
      <c r="F231" s="239" t="s">
        <v>5928</v>
      </c>
      <c r="G231" s="242">
        <f>IF(COUNTIF(H231:AU231,"&lt;&gt;")=0,"",SUMPRODUCT(((Recommendations[ImplStatus]="Implemented")+(Recommendations[ImplStatus]="Compensated"))*ISNUMBER(MATCH(Recommendations[Id],H231:AU231,0)))/COUNTIF(H231:AU231,"&lt;&gt;"))</f>
        <v>0</v>
      </c>
      <c r="H231" s="243" t="s">
        <v>46</v>
      </c>
      <c r="I231" s="243" t="s">
        <v>55</v>
      </c>
      <c r="J231" s="243" t="s">
        <v>61</v>
      </c>
      <c r="K231" s="243" t="s">
        <v>68</v>
      </c>
      <c r="L231" s="243" t="s">
        <v>75</v>
      </c>
      <c r="M231" s="243" t="s">
        <v>81</v>
      </c>
      <c r="N231" s="243" t="s">
        <v>88</v>
      </c>
      <c r="O231" s="243" t="s">
        <v>95</v>
      </c>
      <c r="P231" s="243" t="s">
        <v>101</v>
      </c>
      <c r="Q231" s="243" t="s">
        <v>107</v>
      </c>
      <c r="R231" s="243" t="s">
        <v>114</v>
      </c>
      <c r="S231" s="243" t="s">
        <v>121</v>
      </c>
      <c r="T231" s="243" t="s">
        <v>127</v>
      </c>
      <c r="U231" s="243" t="s">
        <v>134</v>
      </c>
      <c r="V231" s="243" t="s">
        <v>140</v>
      </c>
      <c r="W231" s="243" t="s">
        <v>147</v>
      </c>
      <c r="X231" s="243" t="s">
        <v>1297</v>
      </c>
      <c r="Y231" s="243" t="s">
        <v>1300</v>
      </c>
      <c r="Z231" s="243" t="s">
        <v>1303</v>
      </c>
      <c r="AA231" s="243" t="s">
        <v>1578</v>
      </c>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5861</v>
      </c>
      <c r="B232" s="231" t="s">
        <v>5906</v>
      </c>
      <c r="C232" s="232" t="s">
        <v>5929</v>
      </c>
      <c r="D232" s="235" t="s">
        <v>5930</v>
      </c>
      <c r="E232" s="236" t="s">
        <v>5558</v>
      </c>
      <c r="F232" s="239" t="s">
        <v>5928</v>
      </c>
      <c r="G232" s="242">
        <f>IF(COUNTIF(H232:AU232,"&lt;&gt;")=0,"",SUMPRODUCT(((Recommendations[ImplStatus]="Implemented")+(Recommendations[ImplStatus]="Compensated"))*ISNUMBER(MATCH(Recommendations[Id],H232:AU232,0)))/COUNTIF(H232:AU232,"&lt;&gt;"))</f>
        <v>0</v>
      </c>
      <c r="H232" s="243" t="s">
        <v>81</v>
      </c>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5861</v>
      </c>
      <c r="B233" s="231" t="s">
        <v>5906</v>
      </c>
      <c r="C233" s="232" t="s">
        <v>5931</v>
      </c>
      <c r="D233" s="235" t="s">
        <v>5932</v>
      </c>
      <c r="E233" s="236" t="s">
        <v>5491</v>
      </c>
      <c r="F233" s="239" t="s">
        <v>5928</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5861</v>
      </c>
      <c r="B234" s="231" t="s">
        <v>5906</v>
      </c>
      <c r="C234" s="232" t="s">
        <v>5933</v>
      </c>
      <c r="D234" s="235" t="s">
        <v>5934</v>
      </c>
      <c r="E234" s="236" t="s">
        <v>5491</v>
      </c>
      <c r="F234" s="239" t="s">
        <v>5928</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5861</v>
      </c>
      <c r="B235" s="231" t="s">
        <v>5906</v>
      </c>
      <c r="C235" s="232" t="s">
        <v>5935</v>
      </c>
      <c r="D235" s="235" t="s">
        <v>5936</v>
      </c>
      <c r="E235" s="236" t="s">
        <v>5558</v>
      </c>
      <c r="F235" s="239" t="s">
        <v>5928</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5861</v>
      </c>
      <c r="B236" s="231" t="s">
        <v>5906</v>
      </c>
      <c r="C236" s="232" t="s">
        <v>5937</v>
      </c>
      <c r="D236" s="235" t="s">
        <v>5938</v>
      </c>
      <c r="E236" s="236" t="s">
        <v>5491</v>
      </c>
      <c r="F236" s="239" t="s">
        <v>5928</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5861</v>
      </c>
      <c r="B237" s="230" t="s">
        <v>3774</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5861</v>
      </c>
      <c r="B238" s="231" t="s">
        <v>3774</v>
      </c>
      <c r="C238" s="232" t="s">
        <v>5939</v>
      </c>
      <c r="D238" s="235" t="s">
        <v>5940</v>
      </c>
      <c r="E238" s="236" t="s">
        <v>5462</v>
      </c>
      <c r="F238" s="239" t="s">
        <v>5941</v>
      </c>
      <c r="G238" s="242">
        <f>IF(COUNTIF(H238:AU238,"&lt;&gt;")=0,"",SUMPRODUCT(((Recommendations[ImplStatus]="Implemented")+(Recommendations[ImplStatus]="Compensated"))*ISNUMBER(MATCH(Recommendations[Id],H238:AU238,0)))/COUNTIF(H238:AU238,"&lt;&gt;"))</f>
        <v>0</v>
      </c>
      <c r="H238" s="243" t="s">
        <v>641</v>
      </c>
      <c r="I238" s="243" t="s">
        <v>644</v>
      </c>
      <c r="J238" s="243" t="s">
        <v>662</v>
      </c>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5861</v>
      </c>
      <c r="B239" s="231" t="s">
        <v>3774</v>
      </c>
      <c r="C239" s="232" t="s">
        <v>5942</v>
      </c>
      <c r="D239" s="235" t="s">
        <v>5943</v>
      </c>
      <c r="E239" s="236" t="s">
        <v>5462</v>
      </c>
      <c r="F239" s="239" t="s">
        <v>5941</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5861</v>
      </c>
      <c r="B240" s="231" t="s">
        <v>3774</v>
      </c>
      <c r="C240" s="232" t="s">
        <v>5944</v>
      </c>
      <c r="D240" s="235" t="s">
        <v>5945</v>
      </c>
      <c r="E240" s="236" t="s">
        <v>5462</v>
      </c>
      <c r="F240" s="239" t="s">
        <v>5941</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5861</v>
      </c>
      <c r="B241" s="231" t="s">
        <v>3774</v>
      </c>
      <c r="C241" s="232" t="s">
        <v>5946</v>
      </c>
      <c r="D241" s="235" t="s">
        <v>5947</v>
      </c>
      <c r="E241" s="236" t="s">
        <v>5462</v>
      </c>
      <c r="F241" s="239" t="s">
        <v>5941</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5861</v>
      </c>
      <c r="B242" s="231" t="s">
        <v>3774</v>
      </c>
      <c r="C242" s="232" t="s">
        <v>5948</v>
      </c>
      <c r="D242" s="235" t="s">
        <v>5949</v>
      </c>
      <c r="E242" s="236" t="s">
        <v>5462</v>
      </c>
      <c r="F242" s="239" t="s">
        <v>5941</v>
      </c>
      <c r="G242" s="242">
        <f>IF(COUNTIF(H242:AU242,"&lt;&gt;")=0,"",SUMPRODUCT(((Recommendations[ImplStatus]="Implemented")+(Recommendations[ImplStatus]="Compensated"))*ISNUMBER(MATCH(Recommendations[Id],H242:AU242,0)))/COUNTIF(H242:AU242,"&lt;&gt;"))</f>
        <v>0</v>
      </c>
      <c r="H242" s="243" t="s">
        <v>1968</v>
      </c>
      <c r="I242" s="243" t="s">
        <v>1976</v>
      </c>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5861</v>
      </c>
      <c r="B243" s="231" t="s">
        <v>3774</v>
      </c>
      <c r="C243" s="232" t="s">
        <v>5950</v>
      </c>
      <c r="D243" s="235" t="s">
        <v>5951</v>
      </c>
      <c r="E243" s="236" t="s">
        <v>5462</v>
      </c>
      <c r="F243" s="239" t="s">
        <v>5941</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5861</v>
      </c>
      <c r="B244" s="231" t="s">
        <v>3774</v>
      </c>
      <c r="C244" s="232" t="s">
        <v>5952</v>
      </c>
      <c r="D244" s="235" t="s">
        <v>5953</v>
      </c>
      <c r="E244" s="236" t="s">
        <v>5462</v>
      </c>
      <c r="F244" s="239" t="s">
        <v>5941</v>
      </c>
      <c r="G244" s="242">
        <f>IF(COUNTIF(H244:AU244,"&lt;&gt;")=0,"",SUMPRODUCT(((Recommendations[ImplStatus]="Implemented")+(Recommendations[ImplStatus]="Compensated"))*ISNUMBER(MATCH(Recommendations[Id],H244:AU244,0)))/COUNTIF(H244:AU244,"&lt;&gt;"))</f>
        <v>0</v>
      </c>
      <c r="H244" s="243" t="s">
        <v>183</v>
      </c>
      <c r="I244" s="243" t="s">
        <v>191</v>
      </c>
      <c r="J244" s="243" t="s">
        <v>199</v>
      </c>
      <c r="K244" s="243" t="s">
        <v>206</v>
      </c>
      <c r="L244" s="243" t="s">
        <v>214</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5861</v>
      </c>
      <c r="B245" s="231" t="s">
        <v>3774</v>
      </c>
      <c r="C245" s="232" t="s">
        <v>5954</v>
      </c>
      <c r="D245" s="235" t="s">
        <v>5955</v>
      </c>
      <c r="E245" s="236" t="s">
        <v>5462</v>
      </c>
      <c r="F245" s="239" t="s">
        <v>5941</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5861</v>
      </c>
      <c r="B246" s="231" t="s">
        <v>3774</v>
      </c>
      <c r="C246" s="232" t="s">
        <v>5956</v>
      </c>
      <c r="D246" s="235" t="s">
        <v>5957</v>
      </c>
      <c r="E246" s="236" t="s">
        <v>5462</v>
      </c>
      <c r="F246" s="239" t="s">
        <v>5941</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5861</v>
      </c>
      <c r="B247" s="231" t="s">
        <v>3774</v>
      </c>
      <c r="C247" s="232" t="s">
        <v>5958</v>
      </c>
      <c r="D247" s="235" t="s">
        <v>5959</v>
      </c>
      <c r="E247" s="236" t="s">
        <v>5462</v>
      </c>
      <c r="F247" s="239" t="s">
        <v>5941</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5861</v>
      </c>
      <c r="B248" s="231" t="s">
        <v>3774</v>
      </c>
      <c r="C248" s="232" t="s">
        <v>5960</v>
      </c>
      <c r="D248" s="235" t="s">
        <v>5961</v>
      </c>
      <c r="E248" s="236" t="s">
        <v>5491</v>
      </c>
      <c r="F248" s="239" t="s">
        <v>5941</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5861</v>
      </c>
      <c r="B249" s="231" t="s">
        <v>3774</v>
      </c>
      <c r="C249" s="232" t="s">
        <v>5962</v>
      </c>
      <c r="D249" s="235" t="s">
        <v>5963</v>
      </c>
      <c r="E249" s="236" t="s">
        <v>5491</v>
      </c>
      <c r="F249" s="239" t="s">
        <v>5964</v>
      </c>
      <c r="G249" s="242">
        <f>IF(COUNTIF(H249:AU249,"&lt;&gt;")=0,"",SUMPRODUCT(((Recommendations[ImplStatus]="Implemented")+(Recommendations[ImplStatus]="Compensated"))*ISNUMBER(MATCH(Recommendations[Id],H249:AU249,0)))/COUNTIF(H249:AU249,"&lt;&gt;"))</f>
        <v>0</v>
      </c>
      <c r="H249" s="243" t="s">
        <v>1249</v>
      </c>
      <c r="I249" s="243" t="s">
        <v>1252</v>
      </c>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5861</v>
      </c>
      <c r="B250" s="231" t="s">
        <v>3774</v>
      </c>
      <c r="C250" s="232" t="s">
        <v>5965</v>
      </c>
      <c r="D250" s="235" t="s">
        <v>5966</v>
      </c>
      <c r="E250" s="236" t="s">
        <v>5491</v>
      </c>
      <c r="F250" s="239" t="s">
        <v>5964</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5861</v>
      </c>
      <c r="B251" s="230" t="s">
        <v>5967</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5861</v>
      </c>
      <c r="B252" s="231" t="s">
        <v>5967</v>
      </c>
      <c r="C252" s="232" t="s">
        <v>5968</v>
      </c>
      <c r="D252" s="235" t="s">
        <v>5969</v>
      </c>
      <c r="E252" s="236" t="s">
        <v>5558</v>
      </c>
      <c r="F252" s="239" t="s">
        <v>5970</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5861</v>
      </c>
      <c r="B253" s="231" t="s">
        <v>5967</v>
      </c>
      <c r="C253" s="232" t="s">
        <v>5971</v>
      </c>
      <c r="D253" s="235" t="s">
        <v>5972</v>
      </c>
      <c r="E253" s="236" t="s">
        <v>5558</v>
      </c>
      <c r="F253" s="239" t="s">
        <v>5970</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5861</v>
      </c>
      <c r="B254" s="231" t="s">
        <v>5967</v>
      </c>
      <c r="C254" s="232" t="s">
        <v>5973</v>
      </c>
      <c r="D254" s="235" t="s">
        <v>5974</v>
      </c>
      <c r="E254" s="236" t="s">
        <v>5558</v>
      </c>
      <c r="F254" s="239" t="s">
        <v>5970</v>
      </c>
      <c r="G254" s="242">
        <f>IF(COUNTIF(H254:AU254,"&lt;&gt;")=0,"",SUMPRODUCT(((Recommendations[ImplStatus]="Implemented")+(Recommendations[ImplStatus]="Compensated"))*ISNUMBER(MATCH(Recommendations[Id],H254:AU254,0)))/COUNTIF(H254:AU254,"&lt;&gt;"))</f>
        <v>0</v>
      </c>
      <c r="H254" s="243" t="s">
        <v>494</v>
      </c>
      <c r="I254" s="243" t="s">
        <v>502</v>
      </c>
      <c r="J254" s="243" t="s">
        <v>505</v>
      </c>
      <c r="K254" s="243" t="s">
        <v>508</v>
      </c>
      <c r="L254" s="243" t="s">
        <v>511</v>
      </c>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5861</v>
      </c>
      <c r="B255" s="231" t="s">
        <v>5967</v>
      </c>
      <c r="C255" s="232" t="s">
        <v>5975</v>
      </c>
      <c r="D255" s="235" t="s">
        <v>5976</v>
      </c>
      <c r="E255" s="236" t="s">
        <v>5558</v>
      </c>
      <c r="F255" s="239" t="s">
        <v>5970</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5861</v>
      </c>
      <c r="B256" s="231" t="s">
        <v>5967</v>
      </c>
      <c r="C256" s="232" t="s">
        <v>5977</v>
      </c>
      <c r="D256" s="235" t="s">
        <v>5978</v>
      </c>
      <c r="E256" s="236" t="s">
        <v>5558</v>
      </c>
      <c r="F256" s="239" t="s">
        <v>5970</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5861</v>
      </c>
      <c r="B257" s="231" t="s">
        <v>5967</v>
      </c>
      <c r="C257" s="232" t="s">
        <v>5979</v>
      </c>
      <c r="D257" s="235" t="s">
        <v>5980</v>
      </c>
      <c r="E257" s="236" t="s">
        <v>5462</v>
      </c>
      <c r="F257" s="239" t="s">
        <v>5970</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5861</v>
      </c>
      <c r="B258" s="231" t="s">
        <v>5967</v>
      </c>
      <c r="C258" s="232" t="s">
        <v>5981</v>
      </c>
      <c r="D258" s="235" t="s">
        <v>5982</v>
      </c>
      <c r="E258" s="236" t="s">
        <v>5462</v>
      </c>
      <c r="F258" s="239" t="s">
        <v>5970</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5861</v>
      </c>
      <c r="B259" s="231" t="s">
        <v>5967</v>
      </c>
      <c r="C259" s="232" t="s">
        <v>5983</v>
      </c>
      <c r="D259" s="235" t="s">
        <v>5984</v>
      </c>
      <c r="E259" s="236" t="s">
        <v>5462</v>
      </c>
      <c r="F259" s="239" t="s">
        <v>5970</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5861</v>
      </c>
      <c r="B260" s="231" t="s">
        <v>5967</v>
      </c>
      <c r="C260" s="232" t="s">
        <v>5985</v>
      </c>
      <c r="D260" s="235" t="s">
        <v>5986</v>
      </c>
      <c r="E260" s="236" t="s">
        <v>5462</v>
      </c>
      <c r="F260" s="239" t="s">
        <v>5970</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5861</v>
      </c>
      <c r="B261" s="231" t="s">
        <v>5967</v>
      </c>
      <c r="C261" s="232" t="s">
        <v>5987</v>
      </c>
      <c r="D261" s="235" t="s">
        <v>5988</v>
      </c>
      <c r="E261" s="236" t="s">
        <v>5606</v>
      </c>
      <c r="F261" s="239" t="s">
        <v>5970</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5861</v>
      </c>
      <c r="B262" s="231" t="s">
        <v>5967</v>
      </c>
      <c r="C262" s="232" t="s">
        <v>5989</v>
      </c>
      <c r="D262" s="235" t="s">
        <v>5990</v>
      </c>
      <c r="E262" s="236" t="s">
        <v>5606</v>
      </c>
      <c r="F262" s="239" t="s">
        <v>5970</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5861</v>
      </c>
      <c r="B263" s="231" t="s">
        <v>5967</v>
      </c>
      <c r="C263" s="232" t="s">
        <v>5991</v>
      </c>
      <c r="D263" s="235" t="s">
        <v>5992</v>
      </c>
      <c r="E263" s="236" t="s">
        <v>5606</v>
      </c>
      <c r="F263" s="239" t="s">
        <v>5970</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5861</v>
      </c>
      <c r="B264" s="230" t="s">
        <v>5993</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5861</v>
      </c>
      <c r="B265" s="231" t="s">
        <v>5993</v>
      </c>
      <c r="C265" s="232" t="s">
        <v>5994</v>
      </c>
      <c r="D265" s="235" t="s">
        <v>5995</v>
      </c>
      <c r="E265" s="236" t="s">
        <v>5491</v>
      </c>
      <c r="F265" s="239" t="s">
        <v>5996</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5861</v>
      </c>
      <c r="B266" s="231" t="s">
        <v>5993</v>
      </c>
      <c r="C266" s="232" t="s">
        <v>5997</v>
      </c>
      <c r="D266" s="235" t="s">
        <v>5998</v>
      </c>
      <c r="E266" s="236" t="s">
        <v>5491</v>
      </c>
      <c r="F266" s="239" t="s">
        <v>5996</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5861</v>
      </c>
      <c r="B267" s="231" t="s">
        <v>5993</v>
      </c>
      <c r="C267" s="232" t="s">
        <v>5999</v>
      </c>
      <c r="D267" s="235" t="s">
        <v>6000</v>
      </c>
      <c r="E267" s="236" t="s">
        <v>5491</v>
      </c>
      <c r="F267" s="239" t="s">
        <v>5996</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5861</v>
      </c>
      <c r="B268" s="231" t="s">
        <v>5993</v>
      </c>
      <c r="C268" s="232" t="s">
        <v>6001</v>
      </c>
      <c r="D268" s="235" t="s">
        <v>6002</v>
      </c>
      <c r="E268" s="236" t="s">
        <v>5491</v>
      </c>
      <c r="F268" s="239" t="s">
        <v>5996</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5861</v>
      </c>
      <c r="B269" s="231" t="s">
        <v>5993</v>
      </c>
      <c r="C269" s="232" t="s">
        <v>6003</v>
      </c>
      <c r="D269" s="235" t="s">
        <v>6004</v>
      </c>
      <c r="E269" s="236" t="s">
        <v>5491</v>
      </c>
      <c r="F269" s="239" t="s">
        <v>5996</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5861</v>
      </c>
      <c r="B270" s="231" t="s">
        <v>5993</v>
      </c>
      <c r="C270" s="232" t="s">
        <v>6005</v>
      </c>
      <c r="D270" s="235" t="s">
        <v>6006</v>
      </c>
      <c r="E270" s="236" t="s">
        <v>5491</v>
      </c>
      <c r="F270" s="239" t="s">
        <v>5996</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5861</v>
      </c>
      <c r="B271" s="231" t="s">
        <v>5993</v>
      </c>
      <c r="C271" s="232" t="s">
        <v>6007</v>
      </c>
      <c r="D271" s="235" t="s">
        <v>6008</v>
      </c>
      <c r="E271" s="236" t="s">
        <v>5491</v>
      </c>
      <c r="F271" s="239" t="s">
        <v>5996</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5861</v>
      </c>
      <c r="B272" s="231" t="s">
        <v>5993</v>
      </c>
      <c r="C272" s="232" t="s">
        <v>6009</v>
      </c>
      <c r="D272" s="235" t="s">
        <v>6010</v>
      </c>
      <c r="E272" s="236" t="s">
        <v>5491</v>
      </c>
      <c r="F272" s="239" t="s">
        <v>5996</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5861</v>
      </c>
      <c r="B273" s="231" t="s">
        <v>5993</v>
      </c>
      <c r="C273" s="232" t="s">
        <v>6011</v>
      </c>
      <c r="D273" s="235" t="s">
        <v>6012</v>
      </c>
      <c r="E273" s="236" t="s">
        <v>5491</v>
      </c>
      <c r="F273" s="239" t="s">
        <v>5996</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6013</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6013</v>
      </c>
      <c r="B275" s="230" t="s">
        <v>6014</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6013</v>
      </c>
      <c r="B276" s="231" t="s">
        <v>6014</v>
      </c>
      <c r="C276" s="232" t="s">
        <v>6015</v>
      </c>
      <c r="D276" s="235" t="s">
        <v>6016</v>
      </c>
      <c r="E276" s="236" t="s">
        <v>5462</v>
      </c>
      <c r="F276" s="239" t="s">
        <v>6017</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6013</v>
      </c>
      <c r="B277" s="231" t="s">
        <v>6014</v>
      </c>
      <c r="C277" s="232" t="s">
        <v>6018</v>
      </c>
      <c r="D277" s="235" t="s">
        <v>6019</v>
      </c>
      <c r="E277" s="236" t="s">
        <v>5462</v>
      </c>
      <c r="F277" s="239" t="s">
        <v>6017</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6013</v>
      </c>
      <c r="B278" s="231" t="s">
        <v>6014</v>
      </c>
      <c r="C278" s="232" t="s">
        <v>6020</v>
      </c>
      <c r="D278" s="235" t="s">
        <v>6021</v>
      </c>
      <c r="E278" s="236" t="s">
        <v>5462</v>
      </c>
      <c r="F278" s="239" t="s">
        <v>6017</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6013</v>
      </c>
      <c r="B279" s="231" t="s">
        <v>6014</v>
      </c>
      <c r="C279" s="232" t="s">
        <v>6022</v>
      </c>
      <c r="D279" s="235" t="s">
        <v>6023</v>
      </c>
      <c r="E279" s="236" t="s">
        <v>5462</v>
      </c>
      <c r="F279" s="239" t="s">
        <v>6017</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6013</v>
      </c>
      <c r="B280" s="231" t="s">
        <v>6014</v>
      </c>
      <c r="C280" s="232" t="s">
        <v>6024</v>
      </c>
      <c r="D280" s="235" t="s">
        <v>6025</v>
      </c>
      <c r="E280" s="236" t="s">
        <v>5462</v>
      </c>
      <c r="F280" s="239" t="s">
        <v>6017</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6013</v>
      </c>
      <c r="B281" s="231" t="s">
        <v>6014</v>
      </c>
      <c r="C281" s="232" t="s">
        <v>6026</v>
      </c>
      <c r="D281" s="235" t="s">
        <v>6027</v>
      </c>
      <c r="E281" s="236" t="s">
        <v>5462</v>
      </c>
      <c r="F281" s="239" t="s">
        <v>6017</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6013</v>
      </c>
      <c r="B282" s="231" t="s">
        <v>6014</v>
      </c>
      <c r="C282" s="232" t="s">
        <v>6028</v>
      </c>
      <c r="D282" s="235" t="s">
        <v>6029</v>
      </c>
      <c r="E282" s="236" t="s">
        <v>5462</v>
      </c>
      <c r="F282" s="239" t="s">
        <v>6017</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6013</v>
      </c>
      <c r="B283" s="231" t="s">
        <v>6014</v>
      </c>
      <c r="C283" s="232" t="s">
        <v>6030</v>
      </c>
      <c r="D283" s="235" t="s">
        <v>6031</v>
      </c>
      <c r="E283" s="236" t="s">
        <v>5558</v>
      </c>
      <c r="F283" s="239" t="s">
        <v>6032</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6013</v>
      </c>
      <c r="B284" s="231" t="s">
        <v>6014</v>
      </c>
      <c r="C284" s="232" t="s">
        <v>6033</v>
      </c>
      <c r="D284" s="235" t="s">
        <v>6034</v>
      </c>
      <c r="E284" s="236" t="s">
        <v>5558</v>
      </c>
      <c r="F284" s="239" t="s">
        <v>6032</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6013</v>
      </c>
      <c r="B285" s="231" t="s">
        <v>6014</v>
      </c>
      <c r="C285" s="232" t="s">
        <v>6035</v>
      </c>
      <c r="D285" s="235" t="s">
        <v>6036</v>
      </c>
      <c r="E285" s="236" t="s">
        <v>5462</v>
      </c>
      <c r="F285" s="239" t="s">
        <v>6032</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6013</v>
      </c>
      <c r="B286" s="231" t="s">
        <v>6014</v>
      </c>
      <c r="C286" s="232" t="s">
        <v>6037</v>
      </c>
      <c r="D286" s="235" t="s">
        <v>6038</v>
      </c>
      <c r="E286" s="236" t="s">
        <v>5491</v>
      </c>
      <c r="F286" s="239" t="s">
        <v>6032</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6013</v>
      </c>
      <c r="B287" s="231" t="s">
        <v>6014</v>
      </c>
      <c r="C287" s="232" t="s">
        <v>6039</v>
      </c>
      <c r="D287" s="235" t="s">
        <v>6040</v>
      </c>
      <c r="E287" s="236" t="s">
        <v>5491</v>
      </c>
      <c r="F287" s="239" t="s">
        <v>6032</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6013</v>
      </c>
      <c r="B288" s="231" t="s">
        <v>6014</v>
      </c>
      <c r="C288" s="232" t="s">
        <v>6041</v>
      </c>
      <c r="D288" s="235" t="s">
        <v>6042</v>
      </c>
      <c r="E288" s="236" t="s">
        <v>5491</v>
      </c>
      <c r="F288" s="239" t="s">
        <v>6032</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6013</v>
      </c>
      <c r="B289" s="231" t="s">
        <v>6014</v>
      </c>
      <c r="C289" s="232" t="s">
        <v>6043</v>
      </c>
      <c r="D289" s="235" t="s">
        <v>6044</v>
      </c>
      <c r="E289" s="236" t="s">
        <v>5491</v>
      </c>
      <c r="F289" s="239" t="s">
        <v>6032</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6013</v>
      </c>
      <c r="B290" s="231" t="s">
        <v>6014</v>
      </c>
      <c r="C290" s="232" t="s">
        <v>6045</v>
      </c>
      <c r="D290" s="235" t="s">
        <v>6046</v>
      </c>
      <c r="E290" s="236" t="s">
        <v>5462</v>
      </c>
      <c r="F290" s="239" t="s">
        <v>6032</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6013</v>
      </c>
      <c r="B291" s="231" t="s">
        <v>6014</v>
      </c>
      <c r="C291" s="232" t="s">
        <v>6047</v>
      </c>
      <c r="D291" s="235" t="s">
        <v>6048</v>
      </c>
      <c r="E291" s="236" t="s">
        <v>5491</v>
      </c>
      <c r="F291" s="239" t="s">
        <v>6049</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6013</v>
      </c>
      <c r="B292" s="231" t="s">
        <v>6014</v>
      </c>
      <c r="C292" s="232" t="s">
        <v>6050</v>
      </c>
      <c r="D292" s="235" t="s">
        <v>6051</v>
      </c>
      <c r="E292" s="236" t="s">
        <v>5491</v>
      </c>
      <c r="F292" s="239" t="s">
        <v>6049</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6013</v>
      </c>
      <c r="B293" s="231" t="s">
        <v>6014</v>
      </c>
      <c r="C293" s="232" t="s">
        <v>6052</v>
      </c>
      <c r="D293" s="235" t="s">
        <v>6053</v>
      </c>
      <c r="E293" s="236" t="s">
        <v>5741</v>
      </c>
      <c r="F293" s="239" t="s">
        <v>6032</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6013</v>
      </c>
      <c r="B294" s="231" t="s">
        <v>6014</v>
      </c>
      <c r="C294" s="232" t="s">
        <v>6054</v>
      </c>
      <c r="D294" s="235" t="s">
        <v>6055</v>
      </c>
      <c r="E294" s="236" t="s">
        <v>5741</v>
      </c>
      <c r="F294" s="239" t="s">
        <v>6032</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6013</v>
      </c>
      <c r="B295" s="231" t="s">
        <v>6014</v>
      </c>
      <c r="C295" s="232" t="s">
        <v>6056</v>
      </c>
      <c r="D295" s="235" t="s">
        <v>6057</v>
      </c>
      <c r="E295" s="236" t="s">
        <v>5558</v>
      </c>
      <c r="F295" s="239" t="s">
        <v>6032</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6013</v>
      </c>
      <c r="B296" s="231" t="s">
        <v>6014</v>
      </c>
      <c r="C296" s="232" t="s">
        <v>6058</v>
      </c>
      <c r="D296" s="235" t="s">
        <v>6059</v>
      </c>
      <c r="E296" s="236" t="s">
        <v>5558</v>
      </c>
      <c r="F296" s="239" t="s">
        <v>6032</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6013</v>
      </c>
      <c r="B297" s="231" t="s">
        <v>6014</v>
      </c>
      <c r="C297" s="232" t="s">
        <v>6060</v>
      </c>
      <c r="D297" s="235" t="s">
        <v>6061</v>
      </c>
      <c r="E297" s="236" t="s">
        <v>5462</v>
      </c>
      <c r="F297" s="239" t="s">
        <v>6032</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6013</v>
      </c>
      <c r="B298" s="231" t="s">
        <v>6014</v>
      </c>
      <c r="C298" s="232" t="s">
        <v>6062</v>
      </c>
      <c r="D298" s="235" t="s">
        <v>6063</v>
      </c>
      <c r="E298" s="236" t="s">
        <v>5558</v>
      </c>
      <c r="F298" s="239" t="s">
        <v>6032</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6013</v>
      </c>
      <c r="B299" s="231" t="s">
        <v>6014</v>
      </c>
      <c r="C299" s="232" t="s">
        <v>6064</v>
      </c>
      <c r="D299" s="235" t="s">
        <v>6065</v>
      </c>
      <c r="E299" s="236" t="s">
        <v>5491</v>
      </c>
      <c r="F299" s="239" t="s">
        <v>6032</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6013</v>
      </c>
      <c r="B300" s="231" t="s">
        <v>6014</v>
      </c>
      <c r="C300" s="232" t="s">
        <v>6066</v>
      </c>
      <c r="D300" s="235" t="s">
        <v>6067</v>
      </c>
      <c r="E300" s="236" t="s">
        <v>5558</v>
      </c>
      <c r="F300" s="239" t="s">
        <v>6032</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6013</v>
      </c>
      <c r="B301" s="231" t="s">
        <v>6014</v>
      </c>
      <c r="C301" s="232" t="s">
        <v>6068</v>
      </c>
      <c r="D301" s="235" t="s">
        <v>6069</v>
      </c>
      <c r="E301" s="236" t="s">
        <v>5606</v>
      </c>
      <c r="F301" s="239" t="s">
        <v>6032</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6013</v>
      </c>
      <c r="B302" s="231" t="s">
        <v>6014</v>
      </c>
      <c r="C302" s="232" t="s">
        <v>6070</v>
      </c>
      <c r="D302" s="235" t="s">
        <v>6071</v>
      </c>
      <c r="E302" s="236" t="s">
        <v>5606</v>
      </c>
      <c r="F302" s="239" t="s">
        <v>6032</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6013</v>
      </c>
      <c r="B303" s="230" t="s">
        <v>3507</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6013</v>
      </c>
      <c r="B304" s="231" t="s">
        <v>3507</v>
      </c>
      <c r="C304" s="232" t="s">
        <v>6072</v>
      </c>
      <c r="D304" s="235" t="s">
        <v>6073</v>
      </c>
      <c r="E304" s="236" t="s">
        <v>5462</v>
      </c>
      <c r="F304" s="239" t="s">
        <v>6074</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6013</v>
      </c>
      <c r="B305" s="231" t="s">
        <v>3507</v>
      </c>
      <c r="C305" s="232" t="s">
        <v>6075</v>
      </c>
      <c r="D305" s="235" t="s">
        <v>6076</v>
      </c>
      <c r="E305" s="236" t="s">
        <v>5462</v>
      </c>
      <c r="F305" s="239" t="s">
        <v>6074</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6013</v>
      </c>
      <c r="B306" s="231" t="s">
        <v>3507</v>
      </c>
      <c r="C306" s="232" t="s">
        <v>6077</v>
      </c>
      <c r="D306" s="235" t="s">
        <v>6078</v>
      </c>
      <c r="E306" s="236" t="s">
        <v>5462</v>
      </c>
      <c r="F306" s="239" t="s">
        <v>6074</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6013</v>
      </c>
      <c r="B307" s="231" t="s">
        <v>3507</v>
      </c>
      <c r="C307" s="232" t="s">
        <v>6079</v>
      </c>
      <c r="D307" s="235" t="s">
        <v>6080</v>
      </c>
      <c r="E307" s="236" t="s">
        <v>5462</v>
      </c>
      <c r="F307" s="239" t="s">
        <v>6074</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6013</v>
      </c>
      <c r="B308" s="231" t="s">
        <v>3507</v>
      </c>
      <c r="C308" s="232" t="s">
        <v>6081</v>
      </c>
      <c r="D308" s="235" t="s">
        <v>6082</v>
      </c>
      <c r="E308" s="236" t="s">
        <v>5558</v>
      </c>
      <c r="F308" s="239" t="s">
        <v>6074</v>
      </c>
      <c r="G308" s="242">
        <f>IF(COUNTIF(H308:AU308,"&lt;&gt;")=0,"",SUMPRODUCT(((Recommendations[ImplStatus]="Implemented")+(Recommendations[ImplStatus]="Compensated"))*ISNUMBER(MATCH(Recommendations[Id],H308:AU308,0)))/COUNTIF(H308:AU308,"&lt;&gt;"))</f>
        <v>0</v>
      </c>
      <c r="H308" s="243" t="s">
        <v>330</v>
      </c>
      <c r="I308" s="243" t="s">
        <v>338</v>
      </c>
      <c r="J308" s="243" t="s">
        <v>346</v>
      </c>
      <c r="K308" s="243" t="s">
        <v>354</v>
      </c>
      <c r="L308" s="243" t="s">
        <v>362</v>
      </c>
      <c r="M308" s="243" t="s">
        <v>369</v>
      </c>
      <c r="N308" s="243" t="s">
        <v>377</v>
      </c>
      <c r="O308" s="243" t="s">
        <v>415</v>
      </c>
      <c r="P308" s="243" t="s">
        <v>434</v>
      </c>
      <c r="Q308" s="243" t="s">
        <v>535</v>
      </c>
      <c r="R308" s="243" t="s">
        <v>543</v>
      </c>
      <c r="S308" s="243" t="s">
        <v>550</v>
      </c>
      <c r="T308" s="243" t="s">
        <v>557</v>
      </c>
      <c r="U308" s="243" t="s">
        <v>1053</v>
      </c>
      <c r="V308" s="243" t="s">
        <v>1179</v>
      </c>
      <c r="W308" s="243" t="s">
        <v>1270</v>
      </c>
      <c r="X308" s="243" t="s">
        <v>1277</v>
      </c>
      <c r="Y308" s="243" t="s">
        <v>1284</v>
      </c>
      <c r="Z308" s="243" t="s">
        <v>1663</v>
      </c>
      <c r="AA308" s="243" t="s">
        <v>2172</v>
      </c>
      <c r="AB308" s="243" t="s">
        <v>2182</v>
      </c>
      <c r="AC308" s="243" t="s">
        <v>2193</v>
      </c>
      <c r="AD308" s="243" t="s">
        <v>2229</v>
      </c>
      <c r="AE308" s="243" t="s">
        <v>2235</v>
      </c>
      <c r="AF308" s="243" t="s">
        <v>2241</v>
      </c>
      <c r="AG308" s="243" t="s">
        <v>2252</v>
      </c>
      <c r="AH308" s="243" t="s">
        <v>2257</v>
      </c>
      <c r="AI308" s="243" t="s">
        <v>2262</v>
      </c>
      <c r="AJ308" s="243" t="s">
        <v>2267</v>
      </c>
      <c r="AK308" s="243"/>
      <c r="AL308" s="243"/>
      <c r="AM308" s="243"/>
      <c r="AN308" s="243"/>
      <c r="AO308" s="243"/>
      <c r="AP308" s="243"/>
      <c r="AQ308" s="243"/>
      <c r="AR308" s="243"/>
      <c r="AS308" s="243"/>
      <c r="AT308" s="243"/>
      <c r="AU308" s="257"/>
    </row>
    <row r="309" spans="1:47" ht="60" customHeight="1" x14ac:dyDescent="0.35">
      <c r="A309" s="253" t="s">
        <v>6013</v>
      </c>
      <c r="B309" s="231" t="s">
        <v>3507</v>
      </c>
      <c r="C309" s="232" t="s">
        <v>6083</v>
      </c>
      <c r="D309" s="235" t="s">
        <v>6084</v>
      </c>
      <c r="E309" s="236" t="s">
        <v>5558</v>
      </c>
      <c r="F309" s="239" t="s">
        <v>6074</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6013</v>
      </c>
      <c r="B310" s="231" t="s">
        <v>3507</v>
      </c>
      <c r="C310" s="232" t="s">
        <v>6085</v>
      </c>
      <c r="D310" s="235" t="s">
        <v>6086</v>
      </c>
      <c r="E310" s="236" t="s">
        <v>5558</v>
      </c>
      <c r="F310" s="239" t="s">
        <v>6074</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6013</v>
      </c>
      <c r="B311" s="231" t="s">
        <v>3507</v>
      </c>
      <c r="C311" s="232" t="s">
        <v>6087</v>
      </c>
      <c r="D311" s="235" t="s">
        <v>6088</v>
      </c>
      <c r="E311" s="236" t="s">
        <v>5558</v>
      </c>
      <c r="F311" s="239" t="s">
        <v>6074</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6013</v>
      </c>
      <c r="B312" s="231" t="s">
        <v>3507</v>
      </c>
      <c r="C312" s="232" t="s">
        <v>6089</v>
      </c>
      <c r="D312" s="235" t="s">
        <v>6090</v>
      </c>
      <c r="E312" s="236" t="s">
        <v>5558</v>
      </c>
      <c r="F312" s="239" t="s">
        <v>6074</v>
      </c>
      <c r="G312" s="242">
        <f>IF(COUNTIF(H312:AU312,"&lt;&gt;")=0,"",SUMPRODUCT(((Recommendations[ImplStatus]="Implemented")+(Recommendations[ImplStatus]="Compensated"))*ISNUMBER(MATCH(Recommendations[Id],H312:AU312,0)))/COUNTIF(H312:AU312,"&lt;&gt;"))</f>
        <v>0</v>
      </c>
      <c r="H312" s="243" t="s">
        <v>159</v>
      </c>
      <c r="I312" s="243" t="s">
        <v>167</v>
      </c>
      <c r="J312" s="243" t="s">
        <v>415</v>
      </c>
      <c r="K312" s="243" t="s">
        <v>434</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6013</v>
      </c>
      <c r="B313" s="231" t="s">
        <v>3507</v>
      </c>
      <c r="C313" s="232" t="s">
        <v>6091</v>
      </c>
      <c r="D313" s="235" t="s">
        <v>6092</v>
      </c>
      <c r="E313" s="236" t="s">
        <v>5491</v>
      </c>
      <c r="F313" s="239" t="s">
        <v>6074</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6013</v>
      </c>
      <c r="B314" s="231" t="s">
        <v>3507</v>
      </c>
      <c r="C314" s="232" t="s">
        <v>6093</v>
      </c>
      <c r="D314" s="235" t="s">
        <v>6094</v>
      </c>
      <c r="E314" s="236" t="s">
        <v>5491</v>
      </c>
      <c r="F314" s="239" t="s">
        <v>6074</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6013</v>
      </c>
      <c r="B315" s="231" t="s">
        <v>3507</v>
      </c>
      <c r="C315" s="232" t="s">
        <v>6095</v>
      </c>
      <c r="D315" s="235" t="s">
        <v>6096</v>
      </c>
      <c r="E315" s="236" t="s">
        <v>5491</v>
      </c>
      <c r="F315" s="239" t="s">
        <v>6074</v>
      </c>
      <c r="G315" s="242">
        <f>IF(COUNTIF(H315:AU315,"&lt;&gt;")=0,"",SUMPRODUCT(((Recommendations[ImplStatus]="Implemented")+(Recommendations[ImplStatus]="Compensated"))*ISNUMBER(MATCH(Recommendations[Id],H315:AU315,0)))/COUNTIF(H315:AU315,"&lt;&gt;"))</f>
        <v>0</v>
      </c>
      <c r="H315" s="243" t="s">
        <v>419</v>
      </c>
      <c r="I315" s="243" t="s">
        <v>427</v>
      </c>
      <c r="J315" s="243" t="s">
        <v>437</v>
      </c>
      <c r="K315" s="243" t="s">
        <v>1938</v>
      </c>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6013</v>
      </c>
      <c r="B316" s="231" t="s">
        <v>3507</v>
      </c>
      <c r="C316" s="232" t="s">
        <v>6097</v>
      </c>
      <c r="D316" s="235" t="s">
        <v>6098</v>
      </c>
      <c r="E316" s="236" t="s">
        <v>5491</v>
      </c>
      <c r="F316" s="239" t="s">
        <v>6074</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6013</v>
      </c>
      <c r="B317" s="231" t="s">
        <v>3507</v>
      </c>
      <c r="C317" s="232" t="s">
        <v>6099</v>
      </c>
      <c r="D317" s="235" t="s">
        <v>6100</v>
      </c>
      <c r="E317" s="236" t="s">
        <v>5558</v>
      </c>
      <c r="F317" s="239" t="s">
        <v>6032</v>
      </c>
      <c r="G317" s="242">
        <f>IF(COUNTIF(H317:AU317,"&lt;&gt;")=0,"",SUMPRODUCT(((Recommendations[ImplStatus]="Implemented")+(Recommendations[ImplStatus]="Compensated"))*ISNUMBER(MATCH(Recommendations[Id],H317:AU317,0)))/COUNTIF(H317:AU317,"&lt;&gt;"))</f>
        <v>0</v>
      </c>
      <c r="H317" s="243" t="s">
        <v>466</v>
      </c>
      <c r="I317" s="243" t="s">
        <v>469</v>
      </c>
      <c r="J317" s="243" t="s">
        <v>475</v>
      </c>
      <c r="K317" s="243" t="s">
        <v>478</v>
      </c>
      <c r="L317" s="243" t="s">
        <v>481</v>
      </c>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6013</v>
      </c>
      <c r="B318" s="231" t="s">
        <v>3507</v>
      </c>
      <c r="C318" s="232" t="s">
        <v>6101</v>
      </c>
      <c r="D318" s="235" t="s">
        <v>6102</v>
      </c>
      <c r="E318" s="236" t="s">
        <v>5606</v>
      </c>
      <c r="F318" s="239" t="s">
        <v>6032</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6013</v>
      </c>
      <c r="B319" s="231" t="s">
        <v>3507</v>
      </c>
      <c r="C319" s="232" t="s">
        <v>6103</v>
      </c>
      <c r="D319" s="235" t="s">
        <v>6104</v>
      </c>
      <c r="E319" s="236" t="s">
        <v>5606</v>
      </c>
      <c r="F319" s="239" t="s">
        <v>6032</v>
      </c>
      <c r="G319" s="242" t="str">
        <f>IF(COUNTIF(H319:AU319,"&lt;&gt;")=0,"",SUMPRODUCT(((Recommendations[ImplStatus]="Implemented")+(Recommendations[ImplStatus]="Compensated"))*ISNUMBER(MATCH(Recommendations[Id],H319:AU319,0)))/COUNTIF(H319:AU319,"&lt;&gt;"))</f>
        <v/>
      </c>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6013</v>
      </c>
      <c r="B320" s="230" t="s">
        <v>6105</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6013</v>
      </c>
      <c r="B321" s="231" t="s">
        <v>6105</v>
      </c>
      <c r="C321" s="232" t="s">
        <v>6106</v>
      </c>
      <c r="D321" s="235" t="s">
        <v>6107</v>
      </c>
      <c r="E321" s="236" t="s">
        <v>5491</v>
      </c>
      <c r="F321" s="239" t="s">
        <v>6108</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6013</v>
      </c>
      <c r="B322" s="231" t="s">
        <v>6105</v>
      </c>
      <c r="C322" s="232" t="s">
        <v>6109</v>
      </c>
      <c r="D322" s="235" t="s">
        <v>6110</v>
      </c>
      <c r="E322" s="236" t="s">
        <v>5491</v>
      </c>
      <c r="F322" s="239" t="s">
        <v>6108</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6013</v>
      </c>
      <c r="B323" s="231" t="s">
        <v>6105</v>
      </c>
      <c r="C323" s="232" t="s">
        <v>6111</v>
      </c>
      <c r="D323" s="235" t="s">
        <v>6112</v>
      </c>
      <c r="E323" s="236" t="s">
        <v>5491</v>
      </c>
      <c r="F323" s="239" t="s">
        <v>6108</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6013</v>
      </c>
      <c r="B324" s="231" t="s">
        <v>6105</v>
      </c>
      <c r="C324" s="232" t="s">
        <v>6113</v>
      </c>
      <c r="D324" s="235" t="s">
        <v>6114</v>
      </c>
      <c r="E324" s="236" t="s">
        <v>5491</v>
      </c>
      <c r="F324" s="239" t="s">
        <v>6108</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6013</v>
      </c>
      <c r="B325" s="231" t="s">
        <v>6105</v>
      </c>
      <c r="C325" s="232" t="s">
        <v>6115</v>
      </c>
      <c r="D325" s="235" t="s">
        <v>6116</v>
      </c>
      <c r="E325" s="236" t="s">
        <v>5491</v>
      </c>
      <c r="F325" s="239" t="s">
        <v>6108</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6013</v>
      </c>
      <c r="B326" s="231" t="s">
        <v>6105</v>
      </c>
      <c r="C326" s="232" t="s">
        <v>6117</v>
      </c>
      <c r="D326" s="235" t="s">
        <v>6118</v>
      </c>
      <c r="E326" s="236" t="s">
        <v>5491</v>
      </c>
      <c r="F326" s="239" t="s">
        <v>6108</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6013</v>
      </c>
      <c r="B327" s="231" t="s">
        <v>6105</v>
      </c>
      <c r="C327" s="232" t="s">
        <v>6119</v>
      </c>
      <c r="D327" s="235" t="s">
        <v>6120</v>
      </c>
      <c r="E327" s="236" t="s">
        <v>5491</v>
      </c>
      <c r="F327" s="239" t="s">
        <v>6108</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6013</v>
      </c>
      <c r="B328" s="231" t="s">
        <v>6105</v>
      </c>
      <c r="C328" s="232" t="s">
        <v>6121</v>
      </c>
      <c r="D328" s="235" t="s">
        <v>6122</v>
      </c>
      <c r="E328" s="236" t="s">
        <v>5491</v>
      </c>
      <c r="F328" s="239" t="s">
        <v>6108</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6013</v>
      </c>
      <c r="B329" s="231" t="s">
        <v>6105</v>
      </c>
      <c r="C329" s="232" t="s">
        <v>6123</v>
      </c>
      <c r="D329" s="235" t="s">
        <v>6124</v>
      </c>
      <c r="E329" s="236" t="s">
        <v>5491</v>
      </c>
      <c r="F329" s="239" t="s">
        <v>6108</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6013</v>
      </c>
      <c r="B330" s="231" t="s">
        <v>6105</v>
      </c>
      <c r="C330" s="232" t="s">
        <v>6125</v>
      </c>
      <c r="D330" s="235" t="s">
        <v>6126</v>
      </c>
      <c r="E330" s="236" t="s">
        <v>5491</v>
      </c>
      <c r="F330" s="239" t="s">
        <v>6108</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6013</v>
      </c>
      <c r="B331" s="231" t="s">
        <v>6105</v>
      </c>
      <c r="C331" s="232" t="s">
        <v>6127</v>
      </c>
      <c r="D331" s="235" t="s">
        <v>6128</v>
      </c>
      <c r="E331" s="236" t="s">
        <v>5491</v>
      </c>
      <c r="F331" s="239" t="s">
        <v>6108</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6013</v>
      </c>
      <c r="B332" s="231" t="s">
        <v>6105</v>
      </c>
      <c r="C332" s="232" t="s">
        <v>6129</v>
      </c>
      <c r="D332" s="235" t="s">
        <v>6130</v>
      </c>
      <c r="E332" s="236" t="s">
        <v>5491</v>
      </c>
      <c r="F332" s="239" t="s">
        <v>6108</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6013</v>
      </c>
      <c r="B333" s="231" t="s">
        <v>6105</v>
      </c>
      <c r="C333" s="232" t="s">
        <v>6131</v>
      </c>
      <c r="D333" s="235" t="s">
        <v>6132</v>
      </c>
      <c r="E333" s="236" t="s">
        <v>5491</v>
      </c>
      <c r="F333" s="239" t="s">
        <v>6108</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6013</v>
      </c>
      <c r="B334" s="231" t="s">
        <v>6105</v>
      </c>
      <c r="C334" s="232" t="s">
        <v>6133</v>
      </c>
      <c r="D334" s="235" t="s">
        <v>6134</v>
      </c>
      <c r="E334" s="236" t="s">
        <v>5491</v>
      </c>
      <c r="F334" s="239" t="s">
        <v>6108</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6013</v>
      </c>
      <c r="B335" s="231" t="s">
        <v>6105</v>
      </c>
      <c r="C335" s="232" t="s">
        <v>6135</v>
      </c>
      <c r="D335" s="235" t="s">
        <v>6136</v>
      </c>
      <c r="E335" s="236" t="s">
        <v>5491</v>
      </c>
      <c r="F335" s="239" t="s">
        <v>6108</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6013</v>
      </c>
      <c r="B336" s="231" t="s">
        <v>6105</v>
      </c>
      <c r="C336" s="232" t="s">
        <v>6137</v>
      </c>
      <c r="D336" s="235" t="s">
        <v>6138</v>
      </c>
      <c r="E336" s="236" t="s">
        <v>5606</v>
      </c>
      <c r="F336" s="239" t="s">
        <v>6108</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6013</v>
      </c>
      <c r="B337" s="231" t="s">
        <v>6105</v>
      </c>
      <c r="C337" s="232" t="s">
        <v>6139</v>
      </c>
      <c r="D337" s="235" t="s">
        <v>6140</v>
      </c>
      <c r="E337" s="236" t="s">
        <v>5606</v>
      </c>
      <c r="F337" s="239" t="s">
        <v>6108</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6013</v>
      </c>
      <c r="B338" s="231" t="s">
        <v>6105</v>
      </c>
      <c r="C338" s="232" t="s">
        <v>6141</v>
      </c>
      <c r="D338" s="235" t="s">
        <v>6142</v>
      </c>
      <c r="E338" s="236" t="s">
        <v>5491</v>
      </c>
      <c r="F338" s="239" t="s">
        <v>6108</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6013</v>
      </c>
      <c r="B339" s="231" t="s">
        <v>6105</v>
      </c>
      <c r="C339" s="232" t="s">
        <v>6143</v>
      </c>
      <c r="D339" s="235" t="s">
        <v>6144</v>
      </c>
      <c r="E339" s="236" t="s">
        <v>5491</v>
      </c>
      <c r="F339" s="239" t="s">
        <v>6108</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6013</v>
      </c>
      <c r="B340" s="230" t="s">
        <v>6145</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6013</v>
      </c>
      <c r="B341" s="231" t="s">
        <v>6145</v>
      </c>
      <c r="C341" s="232" t="s">
        <v>6146</v>
      </c>
      <c r="D341" s="235" t="s">
        <v>6147</v>
      </c>
      <c r="E341" s="236" t="s">
        <v>5462</v>
      </c>
      <c r="F341" s="239" t="s">
        <v>6032</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6013</v>
      </c>
      <c r="B342" s="231" t="s">
        <v>6145</v>
      </c>
      <c r="C342" s="232" t="s">
        <v>6148</v>
      </c>
      <c r="D342" s="235" t="s">
        <v>6149</v>
      </c>
      <c r="E342" s="236" t="s">
        <v>5462</v>
      </c>
      <c r="F342" s="239" t="s">
        <v>6032</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6013</v>
      </c>
      <c r="B343" s="231" t="s">
        <v>6145</v>
      </c>
      <c r="C343" s="232" t="s">
        <v>6150</v>
      </c>
      <c r="D343" s="235" t="s">
        <v>6151</v>
      </c>
      <c r="E343" s="236" t="s">
        <v>5558</v>
      </c>
      <c r="F343" s="239" t="s">
        <v>6152</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6013</v>
      </c>
      <c r="B344" s="231" t="s">
        <v>6145</v>
      </c>
      <c r="C344" s="232" t="s">
        <v>6153</v>
      </c>
      <c r="D344" s="235" t="s">
        <v>6154</v>
      </c>
      <c r="E344" s="236" t="s">
        <v>5491</v>
      </c>
      <c r="F344" s="239" t="s">
        <v>6152</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6013</v>
      </c>
      <c r="B345" s="231" t="s">
        <v>6145</v>
      </c>
      <c r="C345" s="232" t="s">
        <v>6155</v>
      </c>
      <c r="D345" s="235" t="s">
        <v>6156</v>
      </c>
      <c r="E345" s="236" t="s">
        <v>5491</v>
      </c>
      <c r="F345" s="239" t="s">
        <v>6152</v>
      </c>
      <c r="G345" s="242">
        <f>IF(COUNTIF(H345:AU345,"&lt;&gt;")=0,"",SUMPRODUCT(((Recommendations[ImplStatus]="Implemented")+(Recommendations[ImplStatus]="Compensated"))*ISNUMBER(MATCH(Recommendations[Id],H345:AU345,0)))/COUNTIF(H345:AU345,"&lt;&gt;"))</f>
        <v>0</v>
      </c>
      <c r="H345" s="243" t="s">
        <v>535</v>
      </c>
      <c r="I345" s="243" t="s">
        <v>543</v>
      </c>
      <c r="J345" s="243" t="s">
        <v>550</v>
      </c>
      <c r="K345" s="243" t="s">
        <v>557</v>
      </c>
      <c r="L345" s="243" t="s">
        <v>1179</v>
      </c>
      <c r="M345" s="243" t="s">
        <v>1460</v>
      </c>
      <c r="N345" s="243" t="s">
        <v>1467</v>
      </c>
      <c r="O345" s="243" t="s">
        <v>1475</v>
      </c>
      <c r="P345" s="243" t="s">
        <v>1482</v>
      </c>
      <c r="Q345" s="243" t="s">
        <v>1776</v>
      </c>
      <c r="R345" s="243" t="s">
        <v>1783</v>
      </c>
      <c r="S345" s="243" t="s">
        <v>2052</v>
      </c>
      <c r="T345" s="243" t="s">
        <v>2152</v>
      </c>
      <c r="U345" s="243" t="s">
        <v>2165</v>
      </c>
      <c r="V345" s="243" t="s">
        <v>2199</v>
      </c>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6013</v>
      </c>
      <c r="B346" s="231" t="s">
        <v>6145</v>
      </c>
      <c r="C346" s="232" t="s">
        <v>6157</v>
      </c>
      <c r="D346" s="235" t="s">
        <v>6158</v>
      </c>
      <c r="E346" s="236" t="s">
        <v>5491</v>
      </c>
      <c r="F346" s="239" t="s">
        <v>6152</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6013</v>
      </c>
      <c r="B347" s="231" t="s">
        <v>6145</v>
      </c>
      <c r="C347" s="232" t="s">
        <v>6159</v>
      </c>
      <c r="D347" s="235" t="s">
        <v>6160</v>
      </c>
      <c r="E347" s="236" t="s">
        <v>5491</v>
      </c>
      <c r="F347" s="239" t="s">
        <v>6152</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6013</v>
      </c>
      <c r="B348" s="231" t="s">
        <v>6145</v>
      </c>
      <c r="C348" s="232" t="s">
        <v>6161</v>
      </c>
      <c r="D348" s="235" t="s">
        <v>6162</v>
      </c>
      <c r="E348" s="236" t="s">
        <v>5491</v>
      </c>
      <c r="F348" s="239" t="s">
        <v>6152</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6013</v>
      </c>
      <c r="B349" s="231" t="s">
        <v>6145</v>
      </c>
      <c r="C349" s="232" t="s">
        <v>6163</v>
      </c>
      <c r="D349" s="235" t="s">
        <v>6164</v>
      </c>
      <c r="E349" s="236" t="s">
        <v>5491</v>
      </c>
      <c r="F349" s="239" t="s">
        <v>6152</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6013</v>
      </c>
      <c r="B350" s="231" t="s">
        <v>6145</v>
      </c>
      <c r="C350" s="232" t="s">
        <v>6165</v>
      </c>
      <c r="D350" s="235" t="s">
        <v>6166</v>
      </c>
      <c r="E350" s="236" t="s">
        <v>5462</v>
      </c>
      <c r="F350" s="239" t="s">
        <v>6152</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6013</v>
      </c>
      <c r="B351" s="231" t="s">
        <v>6145</v>
      </c>
      <c r="C351" s="232" t="s">
        <v>6167</v>
      </c>
      <c r="D351" s="235" t="s">
        <v>6168</v>
      </c>
      <c r="E351" s="236" t="s">
        <v>5462</v>
      </c>
      <c r="F351" s="239" t="s">
        <v>6152</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6013</v>
      </c>
      <c r="B352" s="231" t="s">
        <v>6145</v>
      </c>
      <c r="C352" s="232" t="s">
        <v>6169</v>
      </c>
      <c r="D352" s="235" t="s">
        <v>6170</v>
      </c>
      <c r="E352" s="236" t="s">
        <v>5462</v>
      </c>
      <c r="F352" s="239" t="s">
        <v>6152</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6013</v>
      </c>
      <c r="B353" s="231" t="s">
        <v>6145</v>
      </c>
      <c r="C353" s="232" t="s">
        <v>6171</v>
      </c>
      <c r="D353" s="235" t="s">
        <v>6172</v>
      </c>
      <c r="E353" s="236" t="s">
        <v>5558</v>
      </c>
      <c r="F353" s="239" t="s">
        <v>6032</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6013</v>
      </c>
      <c r="B354" s="230" t="s">
        <v>6173</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6013</v>
      </c>
      <c r="B355" s="231" t="s">
        <v>6173</v>
      </c>
      <c r="C355" s="232" t="s">
        <v>6174</v>
      </c>
      <c r="D355" s="235" t="s">
        <v>6175</v>
      </c>
      <c r="E355" s="236" t="s">
        <v>5558</v>
      </c>
      <c r="F355" s="239" t="s">
        <v>6176</v>
      </c>
      <c r="G355" s="242">
        <f>IF(COUNTIF(H355:AU355,"&lt;&gt;")=0,"",SUMPRODUCT(((Recommendations[ImplStatus]="Implemented")+(Recommendations[ImplStatus]="Compensated"))*ISNUMBER(MATCH(Recommendations[Id],H355:AU355,0)))/COUNTIF(H355:AU355,"&lt;&gt;"))</f>
        <v>0</v>
      </c>
      <c r="H355" s="243" t="s">
        <v>821</v>
      </c>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6013</v>
      </c>
      <c r="B356" s="231" t="s">
        <v>6173</v>
      </c>
      <c r="C356" s="232" t="s">
        <v>6177</v>
      </c>
      <c r="D356" s="235" t="s">
        <v>6178</v>
      </c>
      <c r="E356" s="236" t="s">
        <v>5558</v>
      </c>
      <c r="F356" s="239" t="s">
        <v>6176</v>
      </c>
      <c r="G356" s="242">
        <f>IF(COUNTIF(H356:AU356,"&lt;&gt;")=0,"",SUMPRODUCT(((Recommendations[ImplStatus]="Implemented")+(Recommendations[ImplStatus]="Compensated"))*ISNUMBER(MATCH(Recommendations[Id],H356:AU356,0)))/COUNTIF(H356:AU356,"&lt;&gt;"))</f>
        <v>0</v>
      </c>
      <c r="H356" s="243" t="s">
        <v>813</v>
      </c>
      <c r="I356" s="243" t="s">
        <v>838</v>
      </c>
      <c r="J356" s="243" t="s">
        <v>844</v>
      </c>
      <c r="K356" s="243" t="s">
        <v>852</v>
      </c>
      <c r="L356" s="243" t="s">
        <v>855</v>
      </c>
      <c r="M356" s="243" t="s">
        <v>858</v>
      </c>
      <c r="N356" s="243" t="s">
        <v>866</v>
      </c>
      <c r="O356" s="243" t="s">
        <v>871</v>
      </c>
      <c r="P356" s="243" t="s">
        <v>877</v>
      </c>
      <c r="Q356" s="243" t="s">
        <v>880</v>
      </c>
      <c r="R356" s="243" t="s">
        <v>885</v>
      </c>
      <c r="S356" s="243" t="s">
        <v>890</v>
      </c>
      <c r="T356" s="243" t="s">
        <v>895</v>
      </c>
      <c r="U356" s="243" t="s">
        <v>900</v>
      </c>
      <c r="V356" s="243" t="s">
        <v>905</v>
      </c>
      <c r="W356" s="243" t="s">
        <v>910</v>
      </c>
      <c r="X356" s="243" t="s">
        <v>916</v>
      </c>
      <c r="Y356" s="243" t="s">
        <v>919</v>
      </c>
      <c r="Z356" s="243" t="s">
        <v>922</v>
      </c>
      <c r="AA356" s="243" t="s">
        <v>928</v>
      </c>
      <c r="AB356" s="243" t="s">
        <v>931</v>
      </c>
      <c r="AC356" s="243" t="s">
        <v>936</v>
      </c>
      <c r="AD356" s="243" t="s">
        <v>942</v>
      </c>
      <c r="AE356" s="243" t="s">
        <v>1403</v>
      </c>
      <c r="AF356" s="243" t="s">
        <v>1406</v>
      </c>
      <c r="AG356" s="243" t="s">
        <v>1559</v>
      </c>
      <c r="AH356" s="243" t="s">
        <v>1562</v>
      </c>
      <c r="AI356" s="243" t="s">
        <v>1570</v>
      </c>
      <c r="AJ356" s="243"/>
      <c r="AK356" s="243"/>
      <c r="AL356" s="243"/>
      <c r="AM356" s="243"/>
      <c r="AN356" s="243"/>
      <c r="AO356" s="243"/>
      <c r="AP356" s="243"/>
      <c r="AQ356" s="243"/>
      <c r="AR356" s="243"/>
      <c r="AS356" s="243"/>
      <c r="AT356" s="243"/>
      <c r="AU356" s="257"/>
    </row>
    <row r="357" spans="1:47" ht="60" customHeight="1" x14ac:dyDescent="0.35">
      <c r="A357" s="253" t="s">
        <v>6013</v>
      </c>
      <c r="B357" s="231" t="s">
        <v>6173</v>
      </c>
      <c r="C357" s="232" t="s">
        <v>6179</v>
      </c>
      <c r="D357" s="235" t="s">
        <v>6180</v>
      </c>
      <c r="E357" s="236" t="s">
        <v>5606</v>
      </c>
      <c r="F357" s="239" t="s">
        <v>6176</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6013</v>
      </c>
      <c r="B358" s="231" t="s">
        <v>6173</v>
      </c>
      <c r="C358" s="232" t="s">
        <v>6181</v>
      </c>
      <c r="D358" s="235" t="s">
        <v>6182</v>
      </c>
      <c r="E358" s="236" t="s">
        <v>5606</v>
      </c>
      <c r="F358" s="239" t="s">
        <v>6176</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6013</v>
      </c>
      <c r="B359" s="231" t="s">
        <v>6173</v>
      </c>
      <c r="C359" s="232" t="s">
        <v>6183</v>
      </c>
      <c r="D359" s="235" t="s">
        <v>6184</v>
      </c>
      <c r="E359" s="236" t="s">
        <v>5606</v>
      </c>
      <c r="F359" s="239" t="s">
        <v>6176</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6013</v>
      </c>
      <c r="B360" s="231" t="s">
        <v>6173</v>
      </c>
      <c r="C360" s="232" t="s">
        <v>6185</v>
      </c>
      <c r="D360" s="235" t="s">
        <v>6186</v>
      </c>
      <c r="E360" s="236" t="s">
        <v>5558</v>
      </c>
      <c r="F360" s="239" t="s">
        <v>6176</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6013</v>
      </c>
      <c r="B361" s="231" t="s">
        <v>6173</v>
      </c>
      <c r="C361" s="232" t="s">
        <v>6187</v>
      </c>
      <c r="D361" s="235" t="s">
        <v>6188</v>
      </c>
      <c r="E361" s="236" t="s">
        <v>5491</v>
      </c>
      <c r="F361" s="239" t="s">
        <v>6176</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6013</v>
      </c>
      <c r="B362" s="231" t="s">
        <v>6173</v>
      </c>
      <c r="C362" s="232" t="s">
        <v>6189</v>
      </c>
      <c r="D362" s="235" t="s">
        <v>6190</v>
      </c>
      <c r="E362" s="236" t="s">
        <v>5606</v>
      </c>
      <c r="F362" s="239" t="s">
        <v>6176</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6013</v>
      </c>
      <c r="B363" s="231" t="s">
        <v>6173</v>
      </c>
      <c r="C363" s="232" t="s">
        <v>6191</v>
      </c>
      <c r="D363" s="235" t="s">
        <v>6192</v>
      </c>
      <c r="E363" s="236" t="s">
        <v>5606</v>
      </c>
      <c r="F363" s="239" t="s">
        <v>6176</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6013</v>
      </c>
      <c r="B364" s="231" t="s">
        <v>6173</v>
      </c>
      <c r="C364" s="232" t="s">
        <v>6193</v>
      </c>
      <c r="D364" s="235" t="s">
        <v>6194</v>
      </c>
      <c r="E364" s="236" t="s">
        <v>5606</v>
      </c>
      <c r="F364" s="239" t="s">
        <v>6176</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6013</v>
      </c>
      <c r="B365" s="231" t="s">
        <v>6173</v>
      </c>
      <c r="C365" s="232" t="s">
        <v>6195</v>
      </c>
      <c r="D365" s="235" t="s">
        <v>6196</v>
      </c>
      <c r="E365" s="236" t="s">
        <v>5606</v>
      </c>
      <c r="F365" s="239" t="s">
        <v>6176</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6013</v>
      </c>
      <c r="B366" s="231" t="s">
        <v>6173</v>
      </c>
      <c r="C366" s="232" t="s">
        <v>6197</v>
      </c>
      <c r="D366" s="235" t="s">
        <v>6198</v>
      </c>
      <c r="E366" s="236" t="s">
        <v>5606</v>
      </c>
      <c r="F366" s="239" t="s">
        <v>6176</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6013</v>
      </c>
      <c r="B367" s="231" t="s">
        <v>6173</v>
      </c>
      <c r="C367" s="232" t="s">
        <v>6199</v>
      </c>
      <c r="D367" s="235" t="s">
        <v>6200</v>
      </c>
      <c r="E367" s="236" t="s">
        <v>5606</v>
      </c>
      <c r="F367" s="239" t="s">
        <v>6176</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6013</v>
      </c>
      <c r="B368" s="231" t="s">
        <v>6173</v>
      </c>
      <c r="C368" s="232" t="s">
        <v>6201</v>
      </c>
      <c r="D368" s="235" t="s">
        <v>6202</v>
      </c>
      <c r="E368" s="236" t="s">
        <v>5606</v>
      </c>
      <c r="F368" s="239" t="s">
        <v>6176</v>
      </c>
      <c r="G368" s="242">
        <f>IF(COUNTIF(H368:AU368,"&lt;&gt;")=0,"",SUMPRODUCT(((Recommendations[ImplStatus]="Implemented")+(Recommendations[ImplStatus]="Compensated"))*ISNUMBER(MATCH(Recommendations[Id],H368:AU368,0)))/COUNTIF(H368:AU368,"&lt;&gt;"))</f>
        <v>0</v>
      </c>
      <c r="H368" s="243" t="s">
        <v>824</v>
      </c>
      <c r="I368" s="243" t="s">
        <v>832</v>
      </c>
      <c r="J368" s="243" t="s">
        <v>835</v>
      </c>
      <c r="K368" s="243"/>
      <c r="L368" s="243"/>
      <c r="M368" s="243"/>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6013</v>
      </c>
      <c r="B369" s="231" t="s">
        <v>6173</v>
      </c>
      <c r="C369" s="232" t="s">
        <v>6203</v>
      </c>
      <c r="D369" s="235" t="s">
        <v>6204</v>
      </c>
      <c r="E369" s="236" t="s">
        <v>5606</v>
      </c>
      <c r="F369" s="239" t="s">
        <v>6176</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6205</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6205</v>
      </c>
      <c r="B371" s="230" t="s">
        <v>6206</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6205</v>
      </c>
      <c r="B372" s="231" t="s">
        <v>6206</v>
      </c>
      <c r="C372" s="232" t="s">
        <v>6207</v>
      </c>
      <c r="D372" s="235" t="s">
        <v>6208</v>
      </c>
      <c r="E372" s="236" t="s">
        <v>5462</v>
      </c>
      <c r="F372" s="239" t="s">
        <v>6209</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6205</v>
      </c>
      <c r="B373" s="231" t="s">
        <v>6206</v>
      </c>
      <c r="C373" s="232" t="s">
        <v>6210</v>
      </c>
      <c r="D373" s="235" t="s">
        <v>6211</v>
      </c>
      <c r="E373" s="236" t="s">
        <v>5462</v>
      </c>
      <c r="F373" s="239" t="s">
        <v>6212</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6205</v>
      </c>
      <c r="B374" s="231" t="s">
        <v>6206</v>
      </c>
      <c r="C374" s="232" t="s">
        <v>6213</v>
      </c>
      <c r="D374" s="235" t="s">
        <v>6214</v>
      </c>
      <c r="E374" s="236" t="s">
        <v>5491</v>
      </c>
      <c r="F374" s="239" t="s">
        <v>6212</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6205</v>
      </c>
      <c r="B375" s="231" t="s">
        <v>6206</v>
      </c>
      <c r="C375" s="232" t="s">
        <v>6215</v>
      </c>
      <c r="D375" s="235" t="s">
        <v>6216</v>
      </c>
      <c r="E375" s="236" t="s">
        <v>5491</v>
      </c>
      <c r="F375" s="239" t="s">
        <v>6212</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6205</v>
      </c>
      <c r="B376" s="231" t="s">
        <v>6206</v>
      </c>
      <c r="C376" s="232" t="s">
        <v>6217</v>
      </c>
      <c r="D376" s="235" t="s">
        <v>6218</v>
      </c>
      <c r="E376" s="236" t="s">
        <v>5491</v>
      </c>
      <c r="F376" s="239" t="s">
        <v>6074</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6205</v>
      </c>
      <c r="B377" s="231" t="s">
        <v>6206</v>
      </c>
      <c r="C377" s="232" t="s">
        <v>6219</v>
      </c>
      <c r="D377" s="235" t="s">
        <v>6220</v>
      </c>
      <c r="E377" s="236" t="s">
        <v>5558</v>
      </c>
      <c r="F377" s="239" t="s">
        <v>6032</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6205</v>
      </c>
      <c r="B378" s="231" t="s">
        <v>6206</v>
      </c>
      <c r="C378" s="232" t="s">
        <v>6221</v>
      </c>
      <c r="D378" s="235" t="s">
        <v>6222</v>
      </c>
      <c r="E378" s="236" t="s">
        <v>5558</v>
      </c>
      <c r="F378" s="239" t="s">
        <v>6212</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6205</v>
      </c>
      <c r="B379" s="231" t="s">
        <v>6206</v>
      </c>
      <c r="C379" s="232" t="s">
        <v>6223</v>
      </c>
      <c r="D379" s="235" t="s">
        <v>6224</v>
      </c>
      <c r="E379" s="236" t="s">
        <v>5558</v>
      </c>
      <c r="F379" s="239" t="s">
        <v>6209</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6205</v>
      </c>
      <c r="B380" s="231" t="s">
        <v>6206</v>
      </c>
      <c r="C380" s="232" t="s">
        <v>6225</v>
      </c>
      <c r="D380" s="235" t="s">
        <v>6226</v>
      </c>
      <c r="E380" s="236" t="s">
        <v>5558</v>
      </c>
      <c r="F380" s="239" t="s">
        <v>6209</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6205</v>
      </c>
      <c r="B381" s="231" t="s">
        <v>6206</v>
      </c>
      <c r="C381" s="232" t="s">
        <v>6227</v>
      </c>
      <c r="D381" s="235" t="s">
        <v>6228</v>
      </c>
      <c r="E381" s="236" t="s">
        <v>5558</v>
      </c>
      <c r="F381" s="239" t="s">
        <v>6209</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6205</v>
      </c>
      <c r="B382" s="231" t="s">
        <v>6206</v>
      </c>
      <c r="C382" s="232" t="s">
        <v>6229</v>
      </c>
      <c r="D382" s="235" t="s">
        <v>6230</v>
      </c>
      <c r="E382" s="236" t="s">
        <v>5606</v>
      </c>
      <c r="F382" s="239" t="s">
        <v>6209</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6205</v>
      </c>
      <c r="B383" s="231" t="s">
        <v>6206</v>
      </c>
      <c r="C383" s="232" t="s">
        <v>6231</v>
      </c>
      <c r="D383" s="235" t="s">
        <v>6232</v>
      </c>
      <c r="E383" s="236" t="s">
        <v>5606</v>
      </c>
      <c r="F383" s="239" t="s">
        <v>6209</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6205</v>
      </c>
      <c r="B384" s="231" t="s">
        <v>6206</v>
      </c>
      <c r="C384" s="232" t="s">
        <v>6233</v>
      </c>
      <c r="D384" s="235" t="s">
        <v>6234</v>
      </c>
      <c r="E384" s="236" t="s">
        <v>5606</v>
      </c>
      <c r="F384" s="239" t="s">
        <v>6209</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6205</v>
      </c>
      <c r="B385" s="231" t="s">
        <v>6206</v>
      </c>
      <c r="C385" s="232" t="s">
        <v>6235</v>
      </c>
      <c r="D385" s="235" t="s">
        <v>6236</v>
      </c>
      <c r="E385" s="236" t="s">
        <v>5558</v>
      </c>
      <c r="F385" s="239" t="s">
        <v>6209</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6205</v>
      </c>
      <c r="B386" s="230" t="s">
        <v>6237</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6205</v>
      </c>
      <c r="B387" s="231" t="s">
        <v>6237</v>
      </c>
      <c r="C387" s="232" t="s">
        <v>6238</v>
      </c>
      <c r="D387" s="235" t="s">
        <v>6239</v>
      </c>
      <c r="E387" s="236" t="s">
        <v>5462</v>
      </c>
      <c r="F387" s="239" t="s">
        <v>6240</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6205</v>
      </c>
      <c r="B388" s="231" t="s">
        <v>6237</v>
      </c>
      <c r="C388" s="232" t="s">
        <v>6241</v>
      </c>
      <c r="D388" s="235" t="s">
        <v>6242</v>
      </c>
      <c r="E388" s="236" t="s">
        <v>5462</v>
      </c>
      <c r="F388" s="239" t="s">
        <v>6240</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6205</v>
      </c>
      <c r="B389" s="231" t="s">
        <v>6237</v>
      </c>
      <c r="C389" s="232" t="s">
        <v>6243</v>
      </c>
      <c r="D389" s="235" t="s">
        <v>6244</v>
      </c>
      <c r="E389" s="236" t="s">
        <v>5741</v>
      </c>
      <c r="F389" s="239" t="s">
        <v>6240</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6205</v>
      </c>
      <c r="B390" s="231" t="s">
        <v>6237</v>
      </c>
      <c r="C390" s="232" t="s">
        <v>6245</v>
      </c>
      <c r="D390" s="235" t="s">
        <v>6246</v>
      </c>
      <c r="E390" s="236" t="s">
        <v>5558</v>
      </c>
      <c r="F390" s="239" t="s">
        <v>6240</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6205</v>
      </c>
      <c r="B391" s="231" t="s">
        <v>6237</v>
      </c>
      <c r="C391" s="232" t="s">
        <v>6247</v>
      </c>
      <c r="D391" s="235" t="s">
        <v>6248</v>
      </c>
      <c r="E391" s="236" t="s">
        <v>5741</v>
      </c>
      <c r="F391" s="239" t="s">
        <v>6240</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6205</v>
      </c>
      <c r="B392" s="231" t="s">
        <v>6237</v>
      </c>
      <c r="C392" s="232" t="s">
        <v>6249</v>
      </c>
      <c r="D392" s="235" t="s">
        <v>6250</v>
      </c>
      <c r="E392" s="236" t="s">
        <v>5491</v>
      </c>
      <c r="F392" s="239" t="s">
        <v>6240</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6205</v>
      </c>
      <c r="B393" s="231" t="s">
        <v>6237</v>
      </c>
      <c r="C393" s="232" t="s">
        <v>6251</v>
      </c>
      <c r="D393" s="235" t="s">
        <v>6252</v>
      </c>
      <c r="E393" s="236" t="s">
        <v>5491</v>
      </c>
      <c r="F393" s="239" t="s">
        <v>6240</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6205</v>
      </c>
      <c r="B394" s="231" t="s">
        <v>6237</v>
      </c>
      <c r="C394" s="232" t="s">
        <v>6253</v>
      </c>
      <c r="D394" s="235" t="s">
        <v>6254</v>
      </c>
      <c r="E394" s="236" t="s">
        <v>5741</v>
      </c>
      <c r="F394" s="239" t="s">
        <v>6240</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6205</v>
      </c>
      <c r="B395" s="231" t="s">
        <v>6237</v>
      </c>
      <c r="C395" s="232" t="s">
        <v>6255</v>
      </c>
      <c r="D395" s="235" t="s">
        <v>6256</v>
      </c>
      <c r="E395" s="236" t="s">
        <v>5558</v>
      </c>
      <c r="F395" s="239" t="s">
        <v>6240</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6205</v>
      </c>
      <c r="B396" s="231" t="s">
        <v>6237</v>
      </c>
      <c r="C396" s="232" t="s">
        <v>6257</v>
      </c>
      <c r="D396" s="235" t="s">
        <v>6258</v>
      </c>
      <c r="E396" s="236" t="s">
        <v>5741</v>
      </c>
      <c r="F396" s="239" t="s">
        <v>6240</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6205</v>
      </c>
      <c r="B397" s="231" t="s">
        <v>6237</v>
      </c>
      <c r="C397" s="232" t="s">
        <v>6259</v>
      </c>
      <c r="D397" s="235" t="s">
        <v>6260</v>
      </c>
      <c r="E397" s="236" t="s">
        <v>5491</v>
      </c>
      <c r="F397" s="239" t="s">
        <v>6240</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6205</v>
      </c>
      <c r="B398" s="231" t="s">
        <v>6237</v>
      </c>
      <c r="C398" s="232" t="s">
        <v>6261</v>
      </c>
      <c r="D398" s="235" t="s">
        <v>6262</v>
      </c>
      <c r="E398" s="236" t="s">
        <v>5606</v>
      </c>
      <c r="F398" s="239" t="s">
        <v>6240</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6205</v>
      </c>
      <c r="B399" s="231" t="s">
        <v>6237</v>
      </c>
      <c r="C399" s="232" t="s">
        <v>6263</v>
      </c>
      <c r="D399" s="235" t="s">
        <v>6264</v>
      </c>
      <c r="E399" s="236" t="s">
        <v>5741</v>
      </c>
      <c r="F399" s="239" t="s">
        <v>6240</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6205</v>
      </c>
      <c r="B400" s="231" t="s">
        <v>6237</v>
      </c>
      <c r="C400" s="232" t="s">
        <v>6265</v>
      </c>
      <c r="D400" s="235" t="s">
        <v>6266</v>
      </c>
      <c r="E400" s="236" t="s">
        <v>5741</v>
      </c>
      <c r="F400" s="239" t="s">
        <v>6240</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6205</v>
      </c>
      <c r="B401" s="231" t="s">
        <v>6237</v>
      </c>
      <c r="C401" s="232" t="s">
        <v>6267</v>
      </c>
      <c r="D401" s="235" t="s">
        <v>6268</v>
      </c>
      <c r="E401" s="236" t="s">
        <v>5491</v>
      </c>
      <c r="F401" s="239" t="s">
        <v>6240</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6205</v>
      </c>
      <c r="B402" s="231" t="s">
        <v>6237</v>
      </c>
      <c r="C402" s="232" t="s">
        <v>6269</v>
      </c>
      <c r="D402" s="235" t="s">
        <v>6270</v>
      </c>
      <c r="E402" s="236" t="s">
        <v>5491</v>
      </c>
      <c r="F402" s="239" t="s">
        <v>6240</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6205</v>
      </c>
      <c r="B403" s="231" t="s">
        <v>6237</v>
      </c>
      <c r="C403" s="232" t="s">
        <v>6271</v>
      </c>
      <c r="D403" s="235" t="s">
        <v>6272</v>
      </c>
      <c r="E403" s="236" t="s">
        <v>5491</v>
      </c>
      <c r="F403" s="239" t="s">
        <v>6240</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6205</v>
      </c>
      <c r="B404" s="231" t="s">
        <v>6237</v>
      </c>
      <c r="C404" s="232" t="s">
        <v>6273</v>
      </c>
      <c r="D404" s="235" t="s">
        <v>6274</v>
      </c>
      <c r="E404" s="236" t="s">
        <v>5606</v>
      </c>
      <c r="F404" s="239" t="s">
        <v>6240</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6205</v>
      </c>
      <c r="B405" s="231" t="s">
        <v>6237</v>
      </c>
      <c r="C405" s="232" t="s">
        <v>6275</v>
      </c>
      <c r="D405" s="235" t="s">
        <v>6276</v>
      </c>
      <c r="E405" s="236" t="s">
        <v>5606</v>
      </c>
      <c r="F405" s="239" t="s">
        <v>6240</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6205</v>
      </c>
      <c r="B406" s="231" t="s">
        <v>6237</v>
      </c>
      <c r="C406" s="232" t="s">
        <v>6277</v>
      </c>
      <c r="D406" s="235" t="s">
        <v>6278</v>
      </c>
      <c r="E406" s="236" t="s">
        <v>5606</v>
      </c>
      <c r="F406" s="239" t="s">
        <v>6279</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6205</v>
      </c>
      <c r="B407" s="231" t="s">
        <v>6237</v>
      </c>
      <c r="C407" s="232" t="s">
        <v>6280</v>
      </c>
      <c r="D407" s="235" t="s">
        <v>6281</v>
      </c>
      <c r="E407" s="236" t="s">
        <v>5606</v>
      </c>
      <c r="F407" s="239" t="s">
        <v>6240</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6205</v>
      </c>
      <c r="B408" s="231" t="s">
        <v>6237</v>
      </c>
      <c r="C408" s="232" t="s">
        <v>6282</v>
      </c>
      <c r="D408" s="235" t="s">
        <v>6283</v>
      </c>
      <c r="E408" s="236" t="s">
        <v>5606</v>
      </c>
      <c r="F408" s="239" t="s">
        <v>6240</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6205</v>
      </c>
      <c r="B409" s="231" t="s">
        <v>6237</v>
      </c>
      <c r="C409" s="232" t="s">
        <v>6284</v>
      </c>
      <c r="D409" s="235" t="s">
        <v>6285</v>
      </c>
      <c r="E409" s="236" t="s">
        <v>5606</v>
      </c>
      <c r="F409" s="239" t="s">
        <v>6286</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6205</v>
      </c>
      <c r="B410" s="230" t="s">
        <v>6287</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6205</v>
      </c>
      <c r="B411" s="231" t="s">
        <v>6287</v>
      </c>
      <c r="C411" s="232" t="s">
        <v>6288</v>
      </c>
      <c r="D411" s="235" t="s">
        <v>6289</v>
      </c>
      <c r="E411" s="236" t="s">
        <v>5462</v>
      </c>
      <c r="F411" s="239" t="s">
        <v>6212</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6205</v>
      </c>
      <c r="B412" s="231" t="s">
        <v>6287</v>
      </c>
      <c r="C412" s="232" t="s">
        <v>6290</v>
      </c>
      <c r="D412" s="235" t="s">
        <v>6291</v>
      </c>
      <c r="E412" s="236" t="s">
        <v>5462</v>
      </c>
      <c r="F412" s="239" t="s">
        <v>6212</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6205</v>
      </c>
      <c r="B413" s="231" t="s">
        <v>6287</v>
      </c>
      <c r="C413" s="232" t="s">
        <v>6292</v>
      </c>
      <c r="D413" s="235" t="s">
        <v>6293</v>
      </c>
      <c r="E413" s="236" t="s">
        <v>5462</v>
      </c>
      <c r="F413" s="239" t="s">
        <v>6212</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6205</v>
      </c>
      <c r="B414" s="231" t="s">
        <v>6287</v>
      </c>
      <c r="C414" s="232" t="s">
        <v>6294</v>
      </c>
      <c r="D414" s="235" t="s">
        <v>6295</v>
      </c>
      <c r="E414" s="236" t="s">
        <v>5462</v>
      </c>
      <c r="F414" s="239" t="s">
        <v>6212</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6205</v>
      </c>
      <c r="B415" s="231" t="s">
        <v>6287</v>
      </c>
      <c r="C415" s="232" t="s">
        <v>6296</v>
      </c>
      <c r="D415" s="235" t="s">
        <v>6297</v>
      </c>
      <c r="E415" s="236" t="s">
        <v>5491</v>
      </c>
      <c r="F415" s="239" t="s">
        <v>6212</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6205</v>
      </c>
      <c r="B416" s="231" t="s">
        <v>6287</v>
      </c>
      <c r="C416" s="232" t="s">
        <v>6298</v>
      </c>
      <c r="D416" s="235" t="s">
        <v>6299</v>
      </c>
      <c r="E416" s="236" t="s">
        <v>5491</v>
      </c>
      <c r="F416" s="239" t="s">
        <v>6300</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6205</v>
      </c>
      <c r="B417" s="231" t="s">
        <v>6287</v>
      </c>
      <c r="C417" s="232" t="s">
        <v>6301</v>
      </c>
      <c r="D417" s="235" t="s">
        <v>6302</v>
      </c>
      <c r="E417" s="236" t="s">
        <v>5491</v>
      </c>
      <c r="F417" s="239" t="s">
        <v>6300</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6205</v>
      </c>
      <c r="B418" s="231" t="s">
        <v>6287</v>
      </c>
      <c r="C418" s="232" t="s">
        <v>6303</v>
      </c>
      <c r="D418" s="235" t="s">
        <v>6304</v>
      </c>
      <c r="E418" s="236" t="s">
        <v>5741</v>
      </c>
      <c r="F418" s="239" t="s">
        <v>6300</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6205</v>
      </c>
      <c r="B419" s="231" t="s">
        <v>6287</v>
      </c>
      <c r="C419" s="232" t="s">
        <v>6305</v>
      </c>
      <c r="D419" s="235" t="s">
        <v>6306</v>
      </c>
      <c r="E419" s="236" t="s">
        <v>5491</v>
      </c>
      <c r="F419" s="239" t="s">
        <v>6300</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6205</v>
      </c>
      <c r="B420" s="231" t="s">
        <v>6287</v>
      </c>
      <c r="C420" s="232" t="s">
        <v>6307</v>
      </c>
      <c r="D420" s="235" t="s">
        <v>6308</v>
      </c>
      <c r="E420" s="236" t="s">
        <v>5741</v>
      </c>
      <c r="F420" s="239" t="s">
        <v>6300</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6205</v>
      </c>
      <c r="B421" s="231" t="s">
        <v>6287</v>
      </c>
      <c r="C421" s="232" t="s">
        <v>6309</v>
      </c>
      <c r="D421" s="235" t="s">
        <v>6310</v>
      </c>
      <c r="E421" s="236" t="s">
        <v>5741</v>
      </c>
      <c r="F421" s="239" t="s">
        <v>6300</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6205</v>
      </c>
      <c r="B422" s="231" t="s">
        <v>6287</v>
      </c>
      <c r="C422" s="232" t="s">
        <v>6311</v>
      </c>
      <c r="D422" s="235" t="s">
        <v>6312</v>
      </c>
      <c r="E422" s="236" t="s">
        <v>5491</v>
      </c>
      <c r="F422" s="239" t="s">
        <v>6300</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6205</v>
      </c>
      <c r="B423" s="231" t="s">
        <v>6287</v>
      </c>
      <c r="C423" s="232" t="s">
        <v>6313</v>
      </c>
      <c r="D423" s="235" t="s">
        <v>6314</v>
      </c>
      <c r="E423" s="236" t="s">
        <v>5491</v>
      </c>
      <c r="F423" s="239" t="s">
        <v>6300</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6315</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6315</v>
      </c>
      <c r="B425" s="230" t="s">
        <v>6316</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6315</v>
      </c>
      <c r="B426" s="231" t="s">
        <v>6316</v>
      </c>
      <c r="C426" s="232" t="s">
        <v>6317</v>
      </c>
      <c r="D426" s="235" t="s">
        <v>6318</v>
      </c>
      <c r="E426" s="236" t="s">
        <v>5462</v>
      </c>
      <c r="F426" s="239" t="s">
        <v>6279</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6315</v>
      </c>
      <c r="B427" s="231" t="s">
        <v>6316</v>
      </c>
      <c r="C427" s="232" t="s">
        <v>6319</v>
      </c>
      <c r="D427" s="235" t="s">
        <v>6320</v>
      </c>
      <c r="E427" s="236" t="s">
        <v>5462</v>
      </c>
      <c r="F427" s="239" t="s">
        <v>6279</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6315</v>
      </c>
      <c r="B428" s="231" t="s">
        <v>6316</v>
      </c>
      <c r="C428" s="232" t="s">
        <v>6321</v>
      </c>
      <c r="D428" s="235" t="s">
        <v>6322</v>
      </c>
      <c r="E428" s="236" t="s">
        <v>5741</v>
      </c>
      <c r="F428" s="239" t="s">
        <v>6279</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6315</v>
      </c>
      <c r="B429" s="231" t="s">
        <v>6316</v>
      </c>
      <c r="C429" s="232" t="s">
        <v>6323</v>
      </c>
      <c r="D429" s="235" t="s">
        <v>6324</v>
      </c>
      <c r="E429" s="236" t="s">
        <v>5491</v>
      </c>
      <c r="F429" s="239" t="s">
        <v>6279</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6315</v>
      </c>
      <c r="B430" s="231" t="s">
        <v>6316</v>
      </c>
      <c r="C430" s="232" t="s">
        <v>6325</v>
      </c>
      <c r="D430" s="235" t="s">
        <v>6326</v>
      </c>
      <c r="E430" s="236" t="s">
        <v>5491</v>
      </c>
      <c r="F430" s="239" t="s">
        <v>6279</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6315</v>
      </c>
      <c r="B431" s="231" t="s">
        <v>6316</v>
      </c>
      <c r="C431" s="232" t="s">
        <v>6327</v>
      </c>
      <c r="D431" s="235" t="s">
        <v>6328</v>
      </c>
      <c r="E431" s="236" t="s">
        <v>5741</v>
      </c>
      <c r="F431" s="239" t="s">
        <v>6279</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6315</v>
      </c>
      <c r="B432" s="231" t="s">
        <v>6316</v>
      </c>
      <c r="C432" s="232" t="s">
        <v>6329</v>
      </c>
      <c r="D432" s="235" t="s">
        <v>6330</v>
      </c>
      <c r="E432" s="236" t="s">
        <v>5741</v>
      </c>
      <c r="F432" s="239" t="s">
        <v>6279</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6315</v>
      </c>
      <c r="B433" s="231" t="s">
        <v>6316</v>
      </c>
      <c r="C433" s="232" t="s">
        <v>6331</v>
      </c>
      <c r="D433" s="235" t="s">
        <v>6332</v>
      </c>
      <c r="E433" s="236" t="s">
        <v>5558</v>
      </c>
      <c r="F433" s="239" t="s">
        <v>6279</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6315</v>
      </c>
      <c r="B434" s="231" t="s">
        <v>6316</v>
      </c>
      <c r="C434" s="232" t="s">
        <v>6333</v>
      </c>
      <c r="D434" s="235" t="s">
        <v>6334</v>
      </c>
      <c r="E434" s="236" t="s">
        <v>5558</v>
      </c>
      <c r="F434" s="239" t="s">
        <v>6279</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6315</v>
      </c>
      <c r="B435" s="231" t="s">
        <v>6316</v>
      </c>
      <c r="C435" s="232" t="s">
        <v>6335</v>
      </c>
      <c r="D435" s="235" t="s">
        <v>6336</v>
      </c>
      <c r="E435" s="236" t="s">
        <v>5491</v>
      </c>
      <c r="F435" s="239" t="s">
        <v>6279</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6315</v>
      </c>
      <c r="B436" s="231" t="s">
        <v>6316</v>
      </c>
      <c r="C436" s="232" t="s">
        <v>6337</v>
      </c>
      <c r="D436" s="235" t="s">
        <v>6338</v>
      </c>
      <c r="E436" s="236" t="s">
        <v>5558</v>
      </c>
      <c r="F436" s="239" t="s">
        <v>6279</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6315</v>
      </c>
      <c r="B437" s="231" t="s">
        <v>6316</v>
      </c>
      <c r="C437" s="232" t="s">
        <v>6339</v>
      </c>
      <c r="D437" s="235" t="s">
        <v>6340</v>
      </c>
      <c r="E437" s="236" t="s">
        <v>5491</v>
      </c>
      <c r="F437" s="239" t="s">
        <v>6279</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6315</v>
      </c>
      <c r="B438" s="230" t="s">
        <v>6341</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6315</v>
      </c>
      <c r="B439" s="231" t="s">
        <v>6341</v>
      </c>
      <c r="C439" s="232" t="s">
        <v>6342</v>
      </c>
      <c r="D439" s="235" t="s">
        <v>6343</v>
      </c>
      <c r="E439" s="236" t="s">
        <v>5462</v>
      </c>
      <c r="F439" s="239" t="s">
        <v>6344</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6315</v>
      </c>
      <c r="B440" s="231" t="s">
        <v>6341</v>
      </c>
      <c r="C440" s="232" t="s">
        <v>6345</v>
      </c>
      <c r="D440" s="235" t="s">
        <v>6346</v>
      </c>
      <c r="E440" s="236" t="s">
        <v>5462</v>
      </c>
      <c r="F440" s="239" t="s">
        <v>6344</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6315</v>
      </c>
      <c r="B441" s="231" t="s">
        <v>6341</v>
      </c>
      <c r="C441" s="232" t="s">
        <v>6347</v>
      </c>
      <c r="D441" s="235" t="s">
        <v>6348</v>
      </c>
      <c r="E441" s="236" t="s">
        <v>5462</v>
      </c>
      <c r="F441" s="239" t="s">
        <v>6344</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6315</v>
      </c>
      <c r="B442" s="231" t="s">
        <v>6341</v>
      </c>
      <c r="C442" s="232" t="s">
        <v>6349</v>
      </c>
      <c r="D442" s="235" t="s">
        <v>6350</v>
      </c>
      <c r="E442" s="236" t="s">
        <v>5462</v>
      </c>
      <c r="F442" s="239" t="s">
        <v>6344</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6315</v>
      </c>
      <c r="B443" s="231" t="s">
        <v>6341</v>
      </c>
      <c r="C443" s="232" t="s">
        <v>6351</v>
      </c>
      <c r="D443" s="235" t="s">
        <v>6352</v>
      </c>
      <c r="E443" s="236" t="s">
        <v>5491</v>
      </c>
      <c r="F443" s="239" t="s">
        <v>6344</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6315</v>
      </c>
      <c r="B444" s="231" t="s">
        <v>6341</v>
      </c>
      <c r="C444" s="232" t="s">
        <v>6353</v>
      </c>
      <c r="D444" s="235" t="s">
        <v>6354</v>
      </c>
      <c r="E444" s="236" t="s">
        <v>5491</v>
      </c>
      <c r="F444" s="239" t="s">
        <v>6344</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6315</v>
      </c>
      <c r="B445" s="231" t="s">
        <v>6341</v>
      </c>
      <c r="C445" s="232" t="s">
        <v>6355</v>
      </c>
      <c r="D445" s="235" t="s">
        <v>6356</v>
      </c>
      <c r="E445" s="236" t="s">
        <v>5491</v>
      </c>
      <c r="F445" s="239" t="s">
        <v>6344</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6315</v>
      </c>
      <c r="B446" s="231" t="s">
        <v>6341</v>
      </c>
      <c r="C446" s="232" t="s">
        <v>6357</v>
      </c>
      <c r="D446" s="235" t="s">
        <v>6358</v>
      </c>
      <c r="E446" s="236" t="s">
        <v>5606</v>
      </c>
      <c r="F446" s="239" t="s">
        <v>6344</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6315</v>
      </c>
      <c r="B447" s="231" t="s">
        <v>6341</v>
      </c>
      <c r="C447" s="232" t="s">
        <v>6359</v>
      </c>
      <c r="D447" s="235" t="s">
        <v>6360</v>
      </c>
      <c r="E447" s="236" t="s">
        <v>5491</v>
      </c>
      <c r="F447" s="239" t="s">
        <v>6344</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6315</v>
      </c>
      <c r="B448" s="231" t="s">
        <v>6341</v>
      </c>
      <c r="C448" s="232" t="s">
        <v>6361</v>
      </c>
      <c r="D448" s="235" t="s">
        <v>6362</v>
      </c>
      <c r="E448" s="236" t="s">
        <v>5606</v>
      </c>
      <c r="F448" s="239" t="s">
        <v>6344</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6315</v>
      </c>
      <c r="B449" s="231" t="s">
        <v>6341</v>
      </c>
      <c r="C449" s="232" t="s">
        <v>6363</v>
      </c>
      <c r="D449" s="235" t="s">
        <v>6364</v>
      </c>
      <c r="E449" s="236" t="s">
        <v>5606</v>
      </c>
      <c r="F449" s="239" t="s">
        <v>6344</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6365</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6365</v>
      </c>
      <c r="B451" s="230" t="s">
        <v>6366</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6365</v>
      </c>
      <c r="B452" s="231" t="s">
        <v>6366</v>
      </c>
      <c r="C452" s="232" t="s">
        <v>6367</v>
      </c>
      <c r="D452" s="235" t="s">
        <v>6368</v>
      </c>
      <c r="E452" s="236" t="s">
        <v>5462</v>
      </c>
      <c r="F452" s="239" t="s">
        <v>6369</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6365</v>
      </c>
      <c r="B453" s="231" t="s">
        <v>6366</v>
      </c>
      <c r="C453" s="232" t="s">
        <v>6370</v>
      </c>
      <c r="D453" s="235" t="s">
        <v>6371</v>
      </c>
      <c r="E453" s="236" t="s">
        <v>5462</v>
      </c>
      <c r="F453" s="239" t="s">
        <v>6369</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6365</v>
      </c>
      <c r="B454" s="231" t="s">
        <v>6366</v>
      </c>
      <c r="C454" s="232" t="s">
        <v>6372</v>
      </c>
      <c r="D454" s="235" t="s">
        <v>6373</v>
      </c>
      <c r="E454" s="236" t="s">
        <v>5462</v>
      </c>
      <c r="F454" s="239" t="s">
        <v>6369</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6365</v>
      </c>
      <c r="B455" s="231" t="s">
        <v>6366</v>
      </c>
      <c r="C455" s="232" t="s">
        <v>6374</v>
      </c>
      <c r="D455" s="235" t="s">
        <v>6375</v>
      </c>
      <c r="E455" s="236" t="s">
        <v>5462</v>
      </c>
      <c r="F455" s="239" t="s">
        <v>6369</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6365</v>
      </c>
      <c r="B456" s="231" t="s">
        <v>6366</v>
      </c>
      <c r="C456" s="232" t="s">
        <v>6376</v>
      </c>
      <c r="D456" s="235" t="s">
        <v>6377</v>
      </c>
      <c r="E456" s="236" t="s">
        <v>5462</v>
      </c>
      <c r="F456" s="239" t="s">
        <v>6369</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6365</v>
      </c>
      <c r="B457" s="231" t="s">
        <v>6366</v>
      </c>
      <c r="C457" s="232" t="s">
        <v>6378</v>
      </c>
      <c r="D457" s="235" t="s">
        <v>6379</v>
      </c>
      <c r="E457" s="236" t="s">
        <v>5491</v>
      </c>
      <c r="F457" s="239" t="s">
        <v>6369</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6365</v>
      </c>
      <c r="B458" s="231" t="s">
        <v>6366</v>
      </c>
      <c r="C458" s="232" t="s">
        <v>6380</v>
      </c>
      <c r="D458" s="235" t="s">
        <v>6381</v>
      </c>
      <c r="E458" s="236" t="s">
        <v>5491</v>
      </c>
      <c r="F458" s="239" t="s">
        <v>6369</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6365</v>
      </c>
      <c r="B459" s="231" t="s">
        <v>6366</v>
      </c>
      <c r="C459" s="232" t="s">
        <v>6382</v>
      </c>
      <c r="D459" s="235" t="s">
        <v>6383</v>
      </c>
      <c r="E459" s="236" t="s">
        <v>5491</v>
      </c>
      <c r="F459" s="239" t="s">
        <v>6369</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6365</v>
      </c>
      <c r="B460" s="231" t="s">
        <v>6366</v>
      </c>
      <c r="C460" s="232" t="s">
        <v>6384</v>
      </c>
      <c r="D460" s="235" t="s">
        <v>6385</v>
      </c>
      <c r="E460" s="236" t="s">
        <v>5491</v>
      </c>
      <c r="F460" s="239" t="s">
        <v>6369</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6365</v>
      </c>
      <c r="B461" s="231" t="s">
        <v>6366</v>
      </c>
      <c r="C461" s="232" t="s">
        <v>6386</v>
      </c>
      <c r="D461" s="235" t="s">
        <v>6387</v>
      </c>
      <c r="E461" s="236" t="s">
        <v>5491</v>
      </c>
      <c r="F461" s="239" t="s">
        <v>6369</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6365</v>
      </c>
      <c r="B462" s="231" t="s">
        <v>6366</v>
      </c>
      <c r="C462" s="232" t="s">
        <v>6388</v>
      </c>
      <c r="D462" s="235" t="s">
        <v>6389</v>
      </c>
      <c r="E462" s="236" t="s">
        <v>5491</v>
      </c>
      <c r="F462" s="239" t="s">
        <v>6369</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6365</v>
      </c>
      <c r="B463" s="231" t="s">
        <v>6366</v>
      </c>
      <c r="C463" s="232" t="s">
        <v>6390</v>
      </c>
      <c r="D463" s="235" t="s">
        <v>6391</v>
      </c>
      <c r="E463" s="236" t="s">
        <v>5491</v>
      </c>
      <c r="F463" s="239" t="s">
        <v>6369</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6365</v>
      </c>
      <c r="B464" s="231" t="s">
        <v>6366</v>
      </c>
      <c r="C464" s="232" t="s">
        <v>6392</v>
      </c>
      <c r="D464" s="235" t="s">
        <v>6393</v>
      </c>
      <c r="E464" s="236" t="s">
        <v>5491</v>
      </c>
      <c r="F464" s="239" t="s">
        <v>6369</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6365</v>
      </c>
      <c r="B465" s="231" t="s">
        <v>6366</v>
      </c>
      <c r="C465" s="232" t="s">
        <v>6394</v>
      </c>
      <c r="D465" s="235" t="s">
        <v>6395</v>
      </c>
      <c r="E465" s="236" t="s">
        <v>5491</v>
      </c>
      <c r="F465" s="239" t="s">
        <v>6369</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6365</v>
      </c>
      <c r="B466" s="230" t="s">
        <v>6396</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6365</v>
      </c>
      <c r="B467" s="231" t="s">
        <v>6396</v>
      </c>
      <c r="C467" s="232" t="s">
        <v>6397</v>
      </c>
      <c r="D467" s="235" t="s">
        <v>6398</v>
      </c>
      <c r="E467" s="236" t="s">
        <v>5462</v>
      </c>
      <c r="F467" s="239" t="s">
        <v>5601</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6365</v>
      </c>
      <c r="B468" s="231" t="s">
        <v>6396</v>
      </c>
      <c r="C468" s="232" t="s">
        <v>6399</v>
      </c>
      <c r="D468" s="235" t="s">
        <v>6400</v>
      </c>
      <c r="E468" s="236" t="s">
        <v>5462</v>
      </c>
      <c r="F468" s="239" t="s">
        <v>5601</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6365</v>
      </c>
      <c r="B469" s="231" t="s">
        <v>6396</v>
      </c>
      <c r="C469" s="232" t="s">
        <v>6401</v>
      </c>
      <c r="D469" s="235" t="s">
        <v>6402</v>
      </c>
      <c r="E469" s="236" t="s">
        <v>5462</v>
      </c>
      <c r="F469" s="239" t="s">
        <v>5601</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6365</v>
      </c>
      <c r="B470" s="231" t="s">
        <v>6396</v>
      </c>
      <c r="C470" s="232" t="s">
        <v>6403</v>
      </c>
      <c r="D470" s="235" t="s">
        <v>6404</v>
      </c>
      <c r="E470" s="236" t="s">
        <v>5558</v>
      </c>
      <c r="F470" s="239" t="s">
        <v>5970</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6365</v>
      </c>
      <c r="B471" s="231" t="s">
        <v>6396</v>
      </c>
      <c r="C471" s="232" t="s">
        <v>6405</v>
      </c>
      <c r="D471" s="235" t="s">
        <v>6406</v>
      </c>
      <c r="E471" s="236" t="s">
        <v>5558</v>
      </c>
      <c r="F471" s="239" t="s">
        <v>5970</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6365</v>
      </c>
      <c r="B472" s="231" t="s">
        <v>6396</v>
      </c>
      <c r="C472" s="232" t="s">
        <v>6407</v>
      </c>
      <c r="D472" s="235" t="s">
        <v>6408</v>
      </c>
      <c r="E472" s="236" t="s">
        <v>5462</v>
      </c>
      <c r="F472" s="239" t="s">
        <v>5970</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6365</v>
      </c>
      <c r="B473" s="231" t="s">
        <v>6396</v>
      </c>
      <c r="C473" s="232" t="s">
        <v>6409</v>
      </c>
      <c r="D473" s="235" t="s">
        <v>6410</v>
      </c>
      <c r="E473" s="236" t="s">
        <v>5462</v>
      </c>
      <c r="F473" s="239" t="s">
        <v>5909</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6365</v>
      </c>
      <c r="B474" s="231" t="s">
        <v>6396</v>
      </c>
      <c r="C474" s="232" t="s">
        <v>6411</v>
      </c>
      <c r="D474" s="235" t="s">
        <v>6412</v>
      </c>
      <c r="E474" s="236" t="s">
        <v>5491</v>
      </c>
      <c r="F474" s="239" t="s">
        <v>5909</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6365</v>
      </c>
      <c r="B475" s="231" t="s">
        <v>6396</v>
      </c>
      <c r="C475" s="232" t="s">
        <v>6413</v>
      </c>
      <c r="D475" s="235" t="s">
        <v>6414</v>
      </c>
      <c r="E475" s="236" t="s">
        <v>5491</v>
      </c>
      <c r="F475" s="239" t="s">
        <v>5909</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6365</v>
      </c>
      <c r="B476" s="231" t="s">
        <v>6396</v>
      </c>
      <c r="C476" s="232" t="s">
        <v>6415</v>
      </c>
      <c r="D476" s="235" t="s">
        <v>6416</v>
      </c>
      <c r="E476" s="236" t="s">
        <v>5491</v>
      </c>
      <c r="F476" s="239" t="s">
        <v>5909</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6365</v>
      </c>
      <c r="B477" s="231" t="s">
        <v>6396</v>
      </c>
      <c r="C477" s="232" t="s">
        <v>6417</v>
      </c>
      <c r="D477" s="235" t="s">
        <v>6418</v>
      </c>
      <c r="E477" s="236" t="s">
        <v>5491</v>
      </c>
      <c r="F477" s="239" t="s">
        <v>5909</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6365</v>
      </c>
      <c r="B478" s="231" t="s">
        <v>6396</v>
      </c>
      <c r="C478" s="232" t="s">
        <v>6419</v>
      </c>
      <c r="D478" s="235" t="s">
        <v>6420</v>
      </c>
      <c r="E478" s="236" t="s">
        <v>5491</v>
      </c>
      <c r="F478" s="239" t="s">
        <v>5970</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6365</v>
      </c>
      <c r="B479" s="231" t="s">
        <v>6396</v>
      </c>
      <c r="C479" s="232" t="s">
        <v>6421</v>
      </c>
      <c r="D479" s="235" t="s">
        <v>6422</v>
      </c>
      <c r="E479" s="236" t="s">
        <v>5606</v>
      </c>
      <c r="F479" s="239" t="s">
        <v>5970</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6365</v>
      </c>
      <c r="B480" s="231" t="s">
        <v>6396</v>
      </c>
      <c r="C480" s="232" t="s">
        <v>6423</v>
      </c>
      <c r="D480" s="235" t="s">
        <v>6424</v>
      </c>
      <c r="E480" s="236" t="s">
        <v>5606</v>
      </c>
      <c r="F480" s="239" t="s">
        <v>5970</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6365</v>
      </c>
      <c r="B481" s="244" t="s">
        <v>6396</v>
      </c>
      <c r="C481" s="245" t="s">
        <v>6425</v>
      </c>
      <c r="D481" s="246" t="s">
        <v>6426</v>
      </c>
      <c r="E481" s="247" t="s">
        <v>5606</v>
      </c>
      <c r="F481" s="248" t="s">
        <v>5601</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2415</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IFERROR(INDEX('Recommendations'!$J$2:$J$419, MATCH(H2,'Recommendations'!$B$2:$B$419,0))="Implemented", FALSE))</xm:f>
            <x14:dxf>
              <font>
                <color rgb="FF000000"/>
              </font>
              <fill>
                <patternFill>
                  <bgColor rgb="FF3C7D22"/>
                </patternFill>
              </fill>
            </x14:dxf>
          </x14:cfRule>
          <x14:cfRule type="expression" priority="2" id="{00000000-000E-0000-0A00-000002000000}">
            <xm:f>AND(H2&lt;&gt;"", IFERROR(INDEX('Recommendations'!$J$2:$J$419, MATCH(H2,'Recommendations'!$B$2:$B$419,0))="Compensated", FALSE))</xm:f>
            <x14:dxf>
              <font>
                <color rgb="FF000000"/>
              </font>
              <fill>
                <patternFill>
                  <bgColor rgb="FFC6E0B4"/>
                </patternFill>
              </fill>
            </x14:dxf>
          </x14:cfRule>
          <x14:cfRule type="expression" priority="3" id="{00000000-000E-0000-0A00-000003000000}">
            <xm:f>AND(H2&lt;&gt;"", IFERROR(INDEX('Recommendations'!$J$2:$J$419, MATCH(H2,'Recommendations'!$B$2:$B$419,0))="Testing", FALSE))</xm:f>
            <x14:dxf>
              <font>
                <color rgb="FF000000"/>
              </font>
              <fill>
                <patternFill>
                  <bgColor rgb="FFFFC000"/>
                </patternFill>
              </fill>
            </x14:dxf>
          </x14:cfRule>
          <x14:cfRule type="expression" priority="4" id="{00000000-000E-0000-0A00-000004000000}">
            <xm:f>AND(H2&lt;&gt;"", IFERROR(INDEX('Recommendations'!$J$2:$J$419, MATCH(H2,'Recommendations'!$B$2:$B$419,0))="Failed", FALSE))</xm:f>
            <x14:dxf>
              <font>
                <color rgb="FF000000"/>
              </font>
              <fill>
                <patternFill>
                  <bgColor rgb="FFD82891"/>
                </patternFill>
              </fill>
            </x14:dxf>
          </x14:cfRule>
          <x14:cfRule type="expression" priority="5" id="{00000000-000E-0000-0A00-000005000000}">
            <xm:f>AND(H2&lt;&gt;"", IFERROR(INDEX('Recommendations'!$J$2:$J$419, MATCH(H2,'Recommendations'!$B$2:$B$419,0))="Risk Accepted", FALSE))</xm:f>
            <x14:dxf>
              <font>
                <color rgb="FF000000"/>
              </font>
              <fill>
                <patternFill>
                  <bgColor rgb="FFD9D9D9"/>
                </patternFill>
              </fill>
            </x14:dxf>
          </x14:cfRule>
          <x14:cfRule type="expression" priority="6" id="{00000000-000E-0000-0A00-000006000000}">
            <xm:f>AND(H2&lt;&gt;"", IFERROR(INDEX('Recommendations'!$J$2:$J$419, MATCH(H2,'Recommendations'!$B$2:$B$419,0))="N/A",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2487</v>
      </c>
      <c r="C2" s="264"/>
      <c r="D2" s="264"/>
      <c r="E2" s="264"/>
      <c r="F2" s="264"/>
      <c r="G2" s="264"/>
      <c r="H2" s="264"/>
      <c r="I2" s="264"/>
    </row>
    <row r="4" spans="2:15" ht="18.5" x14ac:dyDescent="0.45">
      <c r="B4" s="36" t="s">
        <v>2488</v>
      </c>
    </row>
    <row r="5" spans="2:15" x14ac:dyDescent="0.35">
      <c r="B5" s="38" t="s">
        <v>28</v>
      </c>
      <c r="C5" s="38" t="s">
        <v>2489</v>
      </c>
      <c r="D5" s="38" t="s">
        <v>2490</v>
      </c>
      <c r="F5" s="265" t="s">
        <v>2491</v>
      </c>
      <c r="G5" s="265"/>
      <c r="H5" s="265"/>
      <c r="I5" s="266" t="s">
        <v>2492</v>
      </c>
      <c r="J5" s="266"/>
      <c r="K5" s="266"/>
      <c r="L5" s="266"/>
      <c r="M5" s="266"/>
      <c r="N5" s="266"/>
      <c r="O5" s="266"/>
    </row>
    <row r="6" spans="2:15" x14ac:dyDescent="0.35">
      <c r="B6" s="44" t="s">
        <v>2493</v>
      </c>
      <c r="C6" s="45">
        <v>418</v>
      </c>
      <c r="D6" s="46" t="s">
        <v>28</v>
      </c>
      <c r="F6" s="265" t="s">
        <v>2494</v>
      </c>
      <c r="G6" s="265"/>
      <c r="H6" s="265"/>
      <c r="I6" s="267" t="s">
        <v>2495</v>
      </c>
      <c r="J6" s="267"/>
      <c r="K6" s="267"/>
      <c r="L6" s="267"/>
      <c r="M6" s="267"/>
      <c r="N6" s="267"/>
      <c r="O6" s="267"/>
    </row>
    <row r="7" spans="2:15" x14ac:dyDescent="0.35">
      <c r="B7" s="47" t="s">
        <v>2496</v>
      </c>
      <c r="C7" s="48">
        <f>C6-C8-C9</f>
        <v>418</v>
      </c>
      <c r="D7" s="49">
        <f>IF(C6&gt;0,C7/C6,0)</f>
        <v>1</v>
      </c>
      <c r="F7" s="265" t="s">
        <v>2497</v>
      </c>
      <c r="G7" s="265"/>
      <c r="H7" s="265"/>
      <c r="I7" s="267" t="s">
        <v>2495</v>
      </c>
      <c r="J7" s="267"/>
      <c r="K7" s="267"/>
      <c r="L7" s="267"/>
      <c r="M7" s="267"/>
      <c r="N7" s="267"/>
      <c r="O7" s="267"/>
    </row>
    <row r="8" spans="2:15" x14ac:dyDescent="0.35">
      <c r="B8" s="40" t="s">
        <v>2498</v>
      </c>
      <c r="C8" s="41">
        <f>COUNTIF('Recommendations'!J:J,"Risk Accepted")</f>
        <v>0</v>
      </c>
      <c r="D8" s="42">
        <f>IF(C6&gt;0,C8/C6,0)</f>
        <v>0</v>
      </c>
      <c r="F8" s="265" t="s">
        <v>2499</v>
      </c>
      <c r="G8" s="265"/>
      <c r="H8" s="265"/>
      <c r="I8" s="267" t="s">
        <v>2495</v>
      </c>
      <c r="J8" s="267"/>
      <c r="K8" s="267"/>
      <c r="L8" s="267"/>
      <c r="M8" s="267"/>
      <c r="N8" s="267"/>
      <c r="O8" s="267"/>
    </row>
    <row r="9" spans="2:15" x14ac:dyDescent="0.35">
      <c r="B9" s="40" t="s">
        <v>2500</v>
      </c>
      <c r="C9" s="41">
        <f>COUNTIF('Recommendations'!J:J,"N/A")</f>
        <v>0</v>
      </c>
      <c r="D9" s="42">
        <f>IF(C6&gt;0,C9/C6,0)</f>
        <v>0</v>
      </c>
      <c r="F9" s="265" t="s">
        <v>2501</v>
      </c>
      <c r="G9" s="265"/>
      <c r="H9" s="265"/>
      <c r="I9" s="267" t="s">
        <v>2495</v>
      </c>
      <c r="J9" s="267"/>
      <c r="K9" s="267"/>
      <c r="L9" s="267"/>
      <c r="M9" s="267"/>
      <c r="N9" s="267"/>
      <c r="O9" s="267"/>
    </row>
    <row r="12" spans="2:15" ht="18.5" x14ac:dyDescent="0.45">
      <c r="B12" s="36" t="s">
        <v>2502</v>
      </c>
    </row>
    <row r="14" spans="2:15" x14ac:dyDescent="0.35">
      <c r="B14" s="50" t="s">
        <v>2503</v>
      </c>
    </row>
    <row r="15" spans="2:15" x14ac:dyDescent="0.35">
      <c r="B15" s="38" t="s">
        <v>28</v>
      </c>
      <c r="C15" s="38" t="s">
        <v>2504</v>
      </c>
      <c r="D15" s="38" t="s">
        <v>2505</v>
      </c>
      <c r="E15" s="38" t="s">
        <v>2506</v>
      </c>
      <c r="F15" s="38" t="s">
        <v>2507</v>
      </c>
    </row>
    <row r="16" spans="2:15" x14ac:dyDescent="0.35">
      <c r="B16" s="40" t="s">
        <v>2508</v>
      </c>
      <c r="C16" s="41">
        <f>COUNTIF('Recommendations'!R:R,"Resolved")</f>
        <v>0</v>
      </c>
      <c r="D16" s="41">
        <f>COUNTIF('Recommendations'!R:R,"Testing")</f>
        <v>0</v>
      </c>
      <c r="E16" s="41">
        <f>COUNTIF('Recommendations'!R:R,"Outstanding")</f>
        <v>418</v>
      </c>
      <c r="F16" s="41">
        <f>SUM(C16:E16)</f>
        <v>418</v>
      </c>
    </row>
    <row r="18" spans="2:6" x14ac:dyDescent="0.35">
      <c r="B18" s="50" t="s">
        <v>2509</v>
      </c>
    </row>
    <row r="19" spans="2:6" x14ac:dyDescent="0.35">
      <c r="B19" s="51" t="s">
        <v>28</v>
      </c>
      <c r="C19" s="51" t="s">
        <v>2504</v>
      </c>
      <c r="D19" s="51" t="s">
        <v>2505</v>
      </c>
      <c r="E19" s="51" t="s">
        <v>2506</v>
      </c>
      <c r="F19" s="51" t="s">
        <v>28</v>
      </c>
    </row>
    <row r="20" spans="2:6" x14ac:dyDescent="0.35">
      <c r="B20" s="40" t="s">
        <v>2508</v>
      </c>
      <c r="C20" s="42">
        <f>IF(F16&gt;0, C16/F16, 0)</f>
        <v>0</v>
      </c>
      <c r="D20" s="42">
        <f>IF(F16&gt;0, D16/F16, 0)</f>
        <v>0</v>
      </c>
      <c r="E20" s="42">
        <f>IF(F16&gt;0, E16/F16, 0)</f>
        <v>1</v>
      </c>
      <c r="F20" s="43" t="s">
        <v>28</v>
      </c>
    </row>
    <row r="25" spans="2:6" ht="18.5" x14ac:dyDescent="0.45">
      <c r="B25" s="36" t="s">
        <v>2510</v>
      </c>
    </row>
    <row r="27" spans="2:6" x14ac:dyDescent="0.35">
      <c r="B27" s="50" t="s">
        <v>2503</v>
      </c>
    </row>
    <row r="28" spans="2:6" x14ac:dyDescent="0.35">
      <c r="B28" s="38" t="s">
        <v>3</v>
      </c>
      <c r="C28" s="38" t="s">
        <v>2504</v>
      </c>
      <c r="D28" s="38" t="s">
        <v>2505</v>
      </c>
      <c r="E28" s="38" t="s">
        <v>2506</v>
      </c>
      <c r="F28" s="38" t="s">
        <v>2507</v>
      </c>
    </row>
    <row r="29" spans="2:6" x14ac:dyDescent="0.35">
      <c r="B29" s="40" t="s">
        <v>22</v>
      </c>
      <c r="C29" s="41">
        <f>COUNTIFS('Recommendations'!D:D,"High",'Recommendations'!R:R,"=Resolved")</f>
        <v>0</v>
      </c>
      <c r="D29" s="41">
        <f>COUNTIFS('Recommendations'!D:D,"=High",'Recommendations'!R:R,"=Testing")</f>
        <v>0</v>
      </c>
      <c r="E29" s="41">
        <f>COUNTIFS('Recommendations'!D:D,"=High",'Recommendations'!R:R,"=Outstanding")</f>
        <v>86</v>
      </c>
      <c r="F29" s="41">
        <f>SUM(C29:E29)</f>
        <v>86</v>
      </c>
    </row>
    <row r="30" spans="2:6" x14ac:dyDescent="0.35">
      <c r="B30" s="40" t="s">
        <v>2350</v>
      </c>
      <c r="C30" s="41">
        <f>COUNTIFS('Recommendations'!D:D,"Low",'Recommendations'!R:R,"=Resolved")</f>
        <v>0</v>
      </c>
      <c r="D30" s="41">
        <f>COUNTIFS('Recommendations'!D:D,"=Low",'Recommendations'!R:R,"=Testing")</f>
        <v>0</v>
      </c>
      <c r="E30" s="41">
        <f>COUNTIFS('Recommendations'!D:D,"=Low",'Recommendations'!R:R,"=Outstanding")</f>
        <v>14</v>
      </c>
      <c r="F30" s="41">
        <f>SUM(C30:E30)</f>
        <v>14</v>
      </c>
    </row>
    <row r="31" spans="2:6" x14ac:dyDescent="0.35">
      <c r="B31" s="40" t="s">
        <v>532</v>
      </c>
      <c r="C31" s="41">
        <f>COUNTIFS('Recommendations'!D:D,"Medium",'Recommendations'!R:R,"=Resolved")</f>
        <v>0</v>
      </c>
      <c r="D31" s="41">
        <f>COUNTIFS('Recommendations'!D:D,"=Medium",'Recommendations'!R:R,"=Testing")</f>
        <v>0</v>
      </c>
      <c r="E31" s="41">
        <f>COUNTIFS('Recommendations'!D:D,"=Medium",'Recommendations'!R:R,"=Outstanding")</f>
        <v>318</v>
      </c>
      <c r="F31" s="41">
        <f>SUM(C31:E31)</f>
        <v>318</v>
      </c>
    </row>
    <row r="33" spans="2:6" x14ac:dyDescent="0.35">
      <c r="B33" s="50" t="s">
        <v>2509</v>
      </c>
    </row>
    <row r="34" spans="2:6" x14ac:dyDescent="0.35">
      <c r="B34" s="51" t="s">
        <v>3</v>
      </c>
      <c r="C34" s="51" t="s">
        <v>2504</v>
      </c>
      <c r="D34" s="51" t="s">
        <v>2505</v>
      </c>
      <c r="E34" s="51" t="s">
        <v>2506</v>
      </c>
      <c r="F34" s="51" t="s">
        <v>28</v>
      </c>
    </row>
    <row r="35" spans="2:6" x14ac:dyDescent="0.35">
      <c r="B35" s="40" t="s">
        <v>22</v>
      </c>
      <c r="C35" s="42">
        <f>IF(F29&gt;0, C29/F29, 0)</f>
        <v>0</v>
      </c>
      <c r="D35" s="42">
        <f>IF(F29&gt;0, D29/F29, 0)</f>
        <v>0</v>
      </c>
      <c r="E35" s="42">
        <f>IF(F29&gt;0, E29/F29, 0)</f>
        <v>1</v>
      </c>
      <c r="F35" s="43" t="s">
        <v>28</v>
      </c>
    </row>
    <row r="36" spans="2:6" x14ac:dyDescent="0.35">
      <c r="B36" s="40" t="s">
        <v>2350</v>
      </c>
      <c r="C36" s="42">
        <f>IF(F30&gt;0, C30/F30, 0)</f>
        <v>0</v>
      </c>
      <c r="D36" s="42">
        <f>IF(F30&gt;0, D30/F30, 0)</f>
        <v>0</v>
      </c>
      <c r="E36" s="42">
        <f>IF(F30&gt;0, E30/F30, 0)</f>
        <v>1</v>
      </c>
      <c r="F36" s="43" t="s">
        <v>28</v>
      </c>
    </row>
    <row r="37" spans="2:6" x14ac:dyDescent="0.35">
      <c r="B37" s="40" t="s">
        <v>532</v>
      </c>
      <c r="C37" s="42">
        <f>IF(F31&gt;0, C31/F31, 0)</f>
        <v>0</v>
      </c>
      <c r="D37" s="42">
        <f>IF(F31&gt;0, D31/F31, 0)</f>
        <v>0</v>
      </c>
      <c r="E37" s="42">
        <f>IF(F31&gt;0, E31/F31, 0)</f>
        <v>1</v>
      </c>
      <c r="F37" s="43" t="s">
        <v>28</v>
      </c>
    </row>
    <row r="42" spans="2:6" ht="18.5" x14ac:dyDescent="0.45">
      <c r="B42" s="36" t="s">
        <v>2511</v>
      </c>
    </row>
    <row r="44" spans="2:6" x14ac:dyDescent="0.35">
      <c r="B44" s="50" t="s">
        <v>2503</v>
      </c>
    </row>
    <row r="45" spans="2:6" x14ac:dyDescent="0.35">
      <c r="B45" s="38" t="s">
        <v>4</v>
      </c>
      <c r="C45" s="38" t="s">
        <v>2504</v>
      </c>
      <c r="D45" s="38" t="s">
        <v>2505</v>
      </c>
      <c r="E45" s="38" t="s">
        <v>2506</v>
      </c>
      <c r="F45" s="38" t="s">
        <v>2507</v>
      </c>
    </row>
    <row r="46" spans="2:6" x14ac:dyDescent="0.35">
      <c r="B46" s="40" t="s">
        <v>23</v>
      </c>
      <c r="C46" s="41">
        <f>COUNTIFS('Recommendations'!E:E,"Computer",'Recommendations'!R:R,"=Resolved")</f>
        <v>0</v>
      </c>
      <c r="D46" s="41">
        <f>COUNTIFS('Recommendations'!E:E,"=Computer",'Recommendations'!R:R,"=Testing")</f>
        <v>0</v>
      </c>
      <c r="E46" s="41">
        <f>COUNTIFS('Recommendations'!E:E,"=Computer",'Recommendations'!R:R,"=Outstanding")</f>
        <v>408</v>
      </c>
      <c r="F46" s="41">
        <f>SUM(C46:E46)</f>
        <v>408</v>
      </c>
    </row>
    <row r="47" spans="2:6" x14ac:dyDescent="0.35">
      <c r="B47" s="40" t="s">
        <v>806</v>
      </c>
      <c r="C47" s="41">
        <f>COUNTIFS('Recommendations'!E:E,"User",'Recommendations'!R:R,"=Resolved")</f>
        <v>0</v>
      </c>
      <c r="D47" s="41">
        <f>COUNTIFS('Recommendations'!E:E,"=User",'Recommendations'!R:R,"=Testing")</f>
        <v>0</v>
      </c>
      <c r="E47" s="41">
        <f>COUNTIFS('Recommendations'!E:E,"=User",'Recommendations'!R:R,"=Outstanding")</f>
        <v>10</v>
      </c>
      <c r="F47" s="41">
        <f>SUM(C47:E47)</f>
        <v>10</v>
      </c>
    </row>
    <row r="49" spans="2:6" x14ac:dyDescent="0.35">
      <c r="B49" s="50" t="s">
        <v>2509</v>
      </c>
    </row>
    <row r="50" spans="2:6" x14ac:dyDescent="0.35">
      <c r="B50" s="51" t="s">
        <v>4</v>
      </c>
      <c r="C50" s="51" t="s">
        <v>2504</v>
      </c>
      <c r="D50" s="51" t="s">
        <v>2505</v>
      </c>
      <c r="E50" s="51" t="s">
        <v>2506</v>
      </c>
      <c r="F50" s="51" t="s">
        <v>28</v>
      </c>
    </row>
    <row r="51" spans="2:6" x14ac:dyDescent="0.35">
      <c r="B51" s="40" t="s">
        <v>23</v>
      </c>
      <c r="C51" s="42">
        <f>IF(F46&gt;0, C46/F46, 0)</f>
        <v>0</v>
      </c>
      <c r="D51" s="42">
        <f>IF(F46&gt;0, D46/F46, 0)</f>
        <v>0</v>
      </c>
      <c r="E51" s="42">
        <f>IF(F46&gt;0, E46/F46, 0)</f>
        <v>1</v>
      </c>
      <c r="F51" s="43" t="s">
        <v>28</v>
      </c>
    </row>
    <row r="52" spans="2:6" x14ac:dyDescent="0.35">
      <c r="B52" s="40" t="s">
        <v>806</v>
      </c>
      <c r="C52" s="42">
        <f>IF(F47&gt;0, C47/F47, 0)</f>
        <v>0</v>
      </c>
      <c r="D52" s="42">
        <f>IF(F47&gt;0, D47/F47, 0)</f>
        <v>0</v>
      </c>
      <c r="E52" s="42">
        <f>IF(F47&gt;0, E47/F47, 0)</f>
        <v>1</v>
      </c>
      <c r="F52" s="43" t="s">
        <v>28</v>
      </c>
    </row>
    <row r="57" spans="2:6" ht="18.5" x14ac:dyDescent="0.45">
      <c r="B57" s="36" t="s">
        <v>2512</v>
      </c>
    </row>
    <row r="59" spans="2:6" x14ac:dyDescent="0.35">
      <c r="B59" s="50" t="s">
        <v>2503</v>
      </c>
    </row>
    <row r="60" spans="2:6" x14ac:dyDescent="0.35">
      <c r="B60" s="38" t="s">
        <v>5</v>
      </c>
      <c r="C60" s="38" t="s">
        <v>2504</v>
      </c>
      <c r="D60" s="38" t="s">
        <v>2505</v>
      </c>
      <c r="E60" s="38" t="s">
        <v>2506</v>
      </c>
      <c r="F60" s="38" t="s">
        <v>2507</v>
      </c>
    </row>
    <row r="61" spans="2:6" x14ac:dyDescent="0.35">
      <c r="B61" s="40" t="s">
        <v>48</v>
      </c>
      <c r="C61" s="41">
        <f>COUNTIFS('Recommendations'!F:F,"Automated",'Recommendations'!R:R,"=Resolved")</f>
        <v>0</v>
      </c>
      <c r="D61" s="41">
        <f>COUNTIFS('Recommendations'!F:F,"=Automated",'Recommendations'!R:R,"=Testing")</f>
        <v>0</v>
      </c>
      <c r="E61" s="41">
        <f>COUNTIFS('Recommendations'!F:F,"=Automated",'Recommendations'!R:R,"=Outstanding")</f>
        <v>334</v>
      </c>
      <c r="F61" s="41">
        <f>SUM(C61:E61)</f>
        <v>334</v>
      </c>
    </row>
    <row r="62" spans="2:6" x14ac:dyDescent="0.35">
      <c r="B62" s="40" t="s">
        <v>24</v>
      </c>
      <c r="C62" s="41">
        <f>COUNTIFS('Recommendations'!F:F,"Manual",'Recommendations'!R:R,"=Resolved")</f>
        <v>0</v>
      </c>
      <c r="D62" s="41">
        <f>COUNTIFS('Recommendations'!F:F,"=Manual",'Recommendations'!R:R,"=Testing")</f>
        <v>0</v>
      </c>
      <c r="E62" s="41">
        <f>COUNTIFS('Recommendations'!F:F,"=Manual",'Recommendations'!R:R,"=Outstanding")</f>
        <v>84</v>
      </c>
      <c r="F62" s="41">
        <f>SUM(C62:E62)</f>
        <v>84</v>
      </c>
    </row>
    <row r="64" spans="2:6" x14ac:dyDescent="0.35">
      <c r="B64" s="50" t="s">
        <v>2509</v>
      </c>
    </row>
    <row r="65" spans="2:6" x14ac:dyDescent="0.35">
      <c r="B65" s="51" t="s">
        <v>5</v>
      </c>
      <c r="C65" s="51" t="s">
        <v>2504</v>
      </c>
      <c r="D65" s="51" t="s">
        <v>2505</v>
      </c>
      <c r="E65" s="51" t="s">
        <v>2506</v>
      </c>
      <c r="F65" s="51" t="s">
        <v>28</v>
      </c>
    </row>
    <row r="66" spans="2:6" x14ac:dyDescent="0.35">
      <c r="B66" s="40" t="s">
        <v>48</v>
      </c>
      <c r="C66" s="42">
        <f>IF(F61&gt;0, C61/F61, 0)</f>
        <v>0</v>
      </c>
      <c r="D66" s="42">
        <f>IF(F61&gt;0, D61/F61, 0)</f>
        <v>0</v>
      </c>
      <c r="E66" s="42">
        <f>IF(F61&gt;0, E61/F61, 0)</f>
        <v>1</v>
      </c>
      <c r="F66" s="43" t="s">
        <v>28</v>
      </c>
    </row>
    <row r="67" spans="2:6" x14ac:dyDescent="0.35">
      <c r="B67" s="40" t="s">
        <v>24</v>
      </c>
      <c r="C67" s="42">
        <f>IF(F62&gt;0, C62/F62, 0)</f>
        <v>0</v>
      </c>
      <c r="D67" s="42">
        <f>IF(F62&gt;0, D62/F62, 0)</f>
        <v>0</v>
      </c>
      <c r="E67" s="42">
        <f>IF(F62&gt;0, E62/F62, 0)</f>
        <v>1</v>
      </c>
      <c r="F67" s="43" t="s">
        <v>28</v>
      </c>
    </row>
    <row r="72" spans="2:6" ht="18.5" x14ac:dyDescent="0.45">
      <c r="B72" s="36" t="s">
        <v>2513</v>
      </c>
    </row>
    <row r="74" spans="2:6" x14ac:dyDescent="0.35">
      <c r="B74" s="50" t="s">
        <v>2503</v>
      </c>
    </row>
    <row r="75" spans="2:6" x14ac:dyDescent="0.35">
      <c r="B75" s="38" t="s">
        <v>8</v>
      </c>
      <c r="C75" s="38" t="s">
        <v>2504</v>
      </c>
      <c r="D75" s="38" t="s">
        <v>2505</v>
      </c>
      <c r="E75" s="38" t="s">
        <v>2506</v>
      </c>
      <c r="F75" s="38" t="s">
        <v>2507</v>
      </c>
    </row>
    <row r="76" spans="2:6" x14ac:dyDescent="0.35">
      <c r="B76" s="40" t="s">
        <v>2514</v>
      </c>
      <c r="C76" s="41">
        <f>COUNTIFS('Recommendations'!I:I,"Phase1",'Recommendations'!R:R,"=Resolved")</f>
        <v>0</v>
      </c>
      <c r="D76" s="41">
        <f>COUNTIFS('Recommendations'!I:I,"=Phase1",'Recommendations'!R:R,"=Testing")</f>
        <v>0</v>
      </c>
      <c r="E76" s="41">
        <f>COUNTIFS('Recommendations'!I:I,"=Phase1",'Recommendations'!R:R,"=Outstanding")</f>
        <v>0</v>
      </c>
      <c r="F76" s="41">
        <f t="shared" ref="F76:F81" si="0">SUM(C76:E76)</f>
        <v>0</v>
      </c>
    </row>
    <row r="77" spans="2:6" x14ac:dyDescent="0.35">
      <c r="B77" s="40" t="s">
        <v>2515</v>
      </c>
      <c r="C77" s="41">
        <f>COUNTIFS('Recommendations'!I:I,"Phase2",'Recommendations'!R:R,"=Resolved")</f>
        <v>0</v>
      </c>
      <c r="D77" s="41">
        <f>COUNTIFS('Recommendations'!I:I,"=Phase2",'Recommendations'!R:R,"=Testing")</f>
        <v>0</v>
      </c>
      <c r="E77" s="41">
        <f>COUNTIFS('Recommendations'!I:I,"=Phase2",'Recommendations'!R:R,"=Outstanding")</f>
        <v>0</v>
      </c>
      <c r="F77" s="41">
        <f t="shared" si="0"/>
        <v>0</v>
      </c>
    </row>
    <row r="78" spans="2:6" x14ac:dyDescent="0.35">
      <c r="B78" s="40" t="s">
        <v>2516</v>
      </c>
      <c r="C78" s="41">
        <f>COUNTIFS('Recommendations'!I:I,"Phase3",'Recommendations'!R:R,"=Resolved")</f>
        <v>0</v>
      </c>
      <c r="D78" s="41">
        <f>COUNTIFS('Recommendations'!I:I,"=Phase3",'Recommendations'!R:R,"=Testing")</f>
        <v>0</v>
      </c>
      <c r="E78" s="41">
        <f>COUNTIFS('Recommendations'!I:I,"=Phase3",'Recommendations'!R:R,"=Outstanding")</f>
        <v>0</v>
      </c>
      <c r="F78" s="41">
        <f t="shared" si="0"/>
        <v>0</v>
      </c>
    </row>
    <row r="79" spans="2:6" x14ac:dyDescent="0.35">
      <c r="B79" s="40" t="s">
        <v>2517</v>
      </c>
      <c r="C79" s="41">
        <f>COUNTIFS('Recommendations'!I:I,"Phase4",'Recommendations'!R:R,"=Resolved")</f>
        <v>0</v>
      </c>
      <c r="D79" s="41">
        <f>COUNTIFS('Recommendations'!I:I,"=Phase4",'Recommendations'!R:R,"=Testing")</f>
        <v>0</v>
      </c>
      <c r="E79" s="41">
        <f>COUNTIFS('Recommendations'!I:I,"=Phase4",'Recommendations'!R:R,"=Outstanding")</f>
        <v>0</v>
      </c>
      <c r="F79" s="41">
        <f t="shared" si="0"/>
        <v>0</v>
      </c>
    </row>
    <row r="80" spans="2:6" x14ac:dyDescent="0.35">
      <c r="B80" s="40" t="s">
        <v>2518</v>
      </c>
      <c r="C80" s="41">
        <f>COUNTIFS('Recommendations'!I:I,"Phase5",'Recommendations'!R:R,"=Resolved")</f>
        <v>0</v>
      </c>
      <c r="D80" s="41">
        <f>COUNTIFS('Recommendations'!I:I,"=Phase5",'Recommendations'!R:R,"=Testing")</f>
        <v>0</v>
      </c>
      <c r="E80" s="41">
        <f>COUNTIFS('Recommendations'!I:I,"=Phase5",'Recommendations'!R:R,"=Outstanding")</f>
        <v>0</v>
      </c>
      <c r="F80" s="41">
        <f t="shared" si="0"/>
        <v>0</v>
      </c>
    </row>
    <row r="81" spans="2:6" x14ac:dyDescent="0.35">
      <c r="B81" s="40" t="s">
        <v>27</v>
      </c>
      <c r="C81" s="41">
        <f>COUNTIFS('Recommendations'!I:I,"Pending",'Recommendations'!R:R,"=Resolved")</f>
        <v>0</v>
      </c>
      <c r="D81" s="41">
        <f>COUNTIFS('Recommendations'!I:I,"=Pending",'Recommendations'!R:R,"=Testing")</f>
        <v>0</v>
      </c>
      <c r="E81" s="41">
        <f>COUNTIFS('Recommendations'!I:I,"=Pending",'Recommendations'!R:R,"=Outstanding")</f>
        <v>418</v>
      </c>
      <c r="F81" s="41">
        <f t="shared" si="0"/>
        <v>418</v>
      </c>
    </row>
    <row r="83" spans="2:6" x14ac:dyDescent="0.35">
      <c r="B83" s="50" t="s">
        <v>2509</v>
      </c>
    </row>
    <row r="84" spans="2:6" x14ac:dyDescent="0.35">
      <c r="B84" s="51" t="s">
        <v>8</v>
      </c>
      <c r="C84" s="51" t="s">
        <v>2504</v>
      </c>
      <c r="D84" s="51" t="s">
        <v>2505</v>
      </c>
      <c r="E84" s="51" t="s">
        <v>2506</v>
      </c>
      <c r="F84" s="51" t="s">
        <v>28</v>
      </c>
    </row>
    <row r="85" spans="2:6" x14ac:dyDescent="0.35">
      <c r="B85" s="40" t="s">
        <v>2514</v>
      </c>
      <c r="C85" s="42">
        <f t="shared" ref="C85:C90" si="1">IF(F76&gt;0, C76/F76, 0)</f>
        <v>0</v>
      </c>
      <c r="D85" s="42">
        <f t="shared" ref="D85:D90" si="2">IF(F76&gt;0, D76/F76, 0)</f>
        <v>0</v>
      </c>
      <c r="E85" s="42">
        <f t="shared" ref="E85:E90" si="3">IF(F76&gt;0, E76/F76, 0)</f>
        <v>0</v>
      </c>
      <c r="F85" s="43" t="s">
        <v>28</v>
      </c>
    </row>
    <row r="86" spans="2:6" x14ac:dyDescent="0.35">
      <c r="B86" s="40" t="s">
        <v>2515</v>
      </c>
      <c r="C86" s="42">
        <f t="shared" si="1"/>
        <v>0</v>
      </c>
      <c r="D86" s="42">
        <f t="shared" si="2"/>
        <v>0</v>
      </c>
      <c r="E86" s="42">
        <f t="shared" si="3"/>
        <v>0</v>
      </c>
      <c r="F86" s="43" t="s">
        <v>28</v>
      </c>
    </row>
    <row r="87" spans="2:6" x14ac:dyDescent="0.35">
      <c r="B87" s="40" t="s">
        <v>2516</v>
      </c>
      <c r="C87" s="42">
        <f t="shared" si="1"/>
        <v>0</v>
      </c>
      <c r="D87" s="42">
        <f t="shared" si="2"/>
        <v>0</v>
      </c>
      <c r="E87" s="42">
        <f t="shared" si="3"/>
        <v>0</v>
      </c>
      <c r="F87" s="43" t="s">
        <v>28</v>
      </c>
    </row>
    <row r="88" spans="2:6" x14ac:dyDescent="0.35">
      <c r="B88" s="40" t="s">
        <v>2517</v>
      </c>
      <c r="C88" s="42">
        <f t="shared" si="1"/>
        <v>0</v>
      </c>
      <c r="D88" s="42">
        <f t="shared" si="2"/>
        <v>0</v>
      </c>
      <c r="E88" s="42">
        <f t="shared" si="3"/>
        <v>0</v>
      </c>
      <c r="F88" s="43" t="s">
        <v>28</v>
      </c>
    </row>
    <row r="89" spans="2:6" x14ac:dyDescent="0.35">
      <c r="B89" s="40" t="s">
        <v>2518</v>
      </c>
      <c r="C89" s="42">
        <f t="shared" si="1"/>
        <v>0</v>
      </c>
      <c r="D89" s="42">
        <f t="shared" si="2"/>
        <v>0</v>
      </c>
      <c r="E89" s="42">
        <f t="shared" si="3"/>
        <v>0</v>
      </c>
      <c r="F89" s="43" t="s">
        <v>28</v>
      </c>
    </row>
    <row r="90" spans="2:6" x14ac:dyDescent="0.35">
      <c r="B90" s="40" t="s">
        <v>27</v>
      </c>
      <c r="C90" s="42">
        <f t="shared" si="1"/>
        <v>0</v>
      </c>
      <c r="D90" s="42">
        <f t="shared" si="2"/>
        <v>0</v>
      </c>
      <c r="E90" s="42">
        <f t="shared" si="3"/>
        <v>1</v>
      </c>
      <c r="F90" s="43" t="s">
        <v>28</v>
      </c>
    </row>
    <row r="95" spans="2:6" ht="18.5" x14ac:dyDescent="0.45">
      <c r="B95" s="36" t="s">
        <v>2519</v>
      </c>
    </row>
    <row r="97" spans="2:6" x14ac:dyDescent="0.35">
      <c r="B97" s="50" t="s">
        <v>2503</v>
      </c>
    </row>
    <row r="98" spans="2:6" x14ac:dyDescent="0.35">
      <c r="B98" s="38" t="s">
        <v>6</v>
      </c>
      <c r="C98" s="38" t="s">
        <v>2504</v>
      </c>
      <c r="D98" s="38" t="s">
        <v>2505</v>
      </c>
      <c r="E98" s="38" t="s">
        <v>2506</v>
      </c>
      <c r="F98" s="38" t="s">
        <v>2507</v>
      </c>
    </row>
    <row r="99" spans="2:6" x14ac:dyDescent="0.35">
      <c r="B99" s="40" t="s">
        <v>2520</v>
      </c>
      <c r="C99" s="41">
        <f>COUNTIFS('Recommendations'!G:G,"Must",'Recommendations'!R:R,"=Resolved")</f>
        <v>0</v>
      </c>
      <c r="D99" s="41">
        <f>COUNTIFS('Recommendations'!G:G,"=Must",'Recommendations'!R:R,"=Testing")</f>
        <v>0</v>
      </c>
      <c r="E99" s="41">
        <f>COUNTIFS('Recommendations'!G:G,"=Must",'Recommendations'!R:R,"=Outstanding")</f>
        <v>0</v>
      </c>
      <c r="F99" s="41">
        <f>SUM(C99:E99)</f>
        <v>0</v>
      </c>
    </row>
    <row r="100" spans="2:6" x14ac:dyDescent="0.35">
      <c r="B100" s="40" t="s">
        <v>2521</v>
      </c>
      <c r="C100" s="41">
        <f>COUNTIFS('Recommendations'!G:G,"Should",'Recommendations'!R:R,"=Resolved")</f>
        <v>0</v>
      </c>
      <c r="D100" s="41">
        <f>COUNTIFS('Recommendations'!G:G,"=Should",'Recommendations'!R:R,"=Testing")</f>
        <v>0</v>
      </c>
      <c r="E100" s="41">
        <f>COUNTIFS('Recommendations'!G:G,"=Should",'Recommendations'!R:R,"=Outstanding")</f>
        <v>0</v>
      </c>
      <c r="F100" s="41">
        <f>SUM(C100:E100)</f>
        <v>0</v>
      </c>
    </row>
    <row r="101" spans="2:6" x14ac:dyDescent="0.35">
      <c r="B101" s="40" t="s">
        <v>2522</v>
      </c>
      <c r="C101" s="41">
        <f>COUNTIFS('Recommendations'!G:G,"Could",'Recommendations'!R:R,"=Resolved")</f>
        <v>0</v>
      </c>
      <c r="D101" s="41">
        <f>COUNTIFS('Recommendations'!G:G,"=Could",'Recommendations'!R:R,"=Testing")</f>
        <v>0</v>
      </c>
      <c r="E101" s="41">
        <f>COUNTIFS('Recommendations'!G:G,"=Could",'Recommendations'!R:R,"=Outstanding")</f>
        <v>0</v>
      </c>
      <c r="F101" s="41">
        <f>SUM(C101:E101)</f>
        <v>0</v>
      </c>
    </row>
    <row r="102" spans="2:6" x14ac:dyDescent="0.35">
      <c r="B102" s="40" t="s">
        <v>2523</v>
      </c>
      <c r="C102" s="41">
        <f>COUNTIFS('Recommendations'!G:G,"Won't",'Recommendations'!R:R,"=Resolved")</f>
        <v>0</v>
      </c>
      <c r="D102" s="41">
        <f>COUNTIFS('Recommendations'!G:G,"=Won't",'Recommendations'!R:R,"=Testing")</f>
        <v>0</v>
      </c>
      <c r="E102" s="41">
        <f>COUNTIFS('Recommendations'!G:G,"=Won't",'Recommendations'!R:R,"=Outstanding")</f>
        <v>0</v>
      </c>
      <c r="F102" s="41">
        <f>SUM(C102:E102)</f>
        <v>0</v>
      </c>
    </row>
    <row r="103" spans="2:6" x14ac:dyDescent="0.35">
      <c r="B103" s="40" t="s">
        <v>25</v>
      </c>
      <c r="C103" s="41">
        <f>COUNTIFS('Recommendations'!G:G,"Unassigned",'Recommendations'!R:R,"=Resolved")</f>
        <v>0</v>
      </c>
      <c r="D103" s="41">
        <f>COUNTIFS('Recommendations'!G:G,"=Unassigned",'Recommendations'!R:R,"=Testing")</f>
        <v>0</v>
      </c>
      <c r="E103" s="41">
        <f>COUNTIFS('Recommendations'!G:G,"=Unassigned",'Recommendations'!R:R,"=Outstanding")</f>
        <v>418</v>
      </c>
      <c r="F103" s="41">
        <f>SUM(C103:E103)</f>
        <v>418</v>
      </c>
    </row>
    <row r="105" spans="2:6" x14ac:dyDescent="0.35">
      <c r="B105" s="50" t="s">
        <v>2509</v>
      </c>
    </row>
    <row r="106" spans="2:6" x14ac:dyDescent="0.35">
      <c r="B106" s="51" t="s">
        <v>6</v>
      </c>
      <c r="C106" s="51" t="s">
        <v>2504</v>
      </c>
      <c r="D106" s="51" t="s">
        <v>2505</v>
      </c>
      <c r="E106" s="51" t="s">
        <v>2506</v>
      </c>
      <c r="F106" s="51" t="s">
        <v>28</v>
      </c>
    </row>
    <row r="107" spans="2:6" x14ac:dyDescent="0.35">
      <c r="B107" s="40" t="s">
        <v>2520</v>
      </c>
      <c r="C107" s="42">
        <f>IF(F99&gt;0, C99/F99, 0)</f>
        <v>0</v>
      </c>
      <c r="D107" s="42">
        <f>IF(F99&gt;0, D99/F99, 0)</f>
        <v>0</v>
      </c>
      <c r="E107" s="42">
        <f>IF(F99&gt;0, E99/F99, 0)</f>
        <v>0</v>
      </c>
      <c r="F107" s="43" t="s">
        <v>28</v>
      </c>
    </row>
    <row r="108" spans="2:6" x14ac:dyDescent="0.35">
      <c r="B108" s="40" t="s">
        <v>2521</v>
      </c>
      <c r="C108" s="42">
        <f>IF(F100&gt;0, C100/F100, 0)</f>
        <v>0</v>
      </c>
      <c r="D108" s="42">
        <f>IF(F100&gt;0, D100/F100, 0)</f>
        <v>0</v>
      </c>
      <c r="E108" s="42">
        <f>IF(F100&gt;0, E100/F100, 0)</f>
        <v>0</v>
      </c>
      <c r="F108" s="43" t="s">
        <v>28</v>
      </c>
    </row>
    <row r="109" spans="2:6" x14ac:dyDescent="0.35">
      <c r="B109" s="40" t="s">
        <v>2522</v>
      </c>
      <c r="C109" s="42">
        <f>IF(F101&gt;0, C101/F101, 0)</f>
        <v>0</v>
      </c>
      <c r="D109" s="42">
        <f>IF(F101&gt;0, D101/F101, 0)</f>
        <v>0</v>
      </c>
      <c r="E109" s="42">
        <f>IF(F101&gt;0, E101/F101, 0)</f>
        <v>0</v>
      </c>
      <c r="F109" s="43" t="s">
        <v>28</v>
      </c>
    </row>
    <row r="110" spans="2:6" x14ac:dyDescent="0.35">
      <c r="B110" s="40" t="s">
        <v>2523</v>
      </c>
      <c r="C110" s="42">
        <f>IF(F102&gt;0, C102/F102, 0)</f>
        <v>0</v>
      </c>
      <c r="D110" s="42">
        <f>IF(F102&gt;0, D102/F102, 0)</f>
        <v>0</v>
      </c>
      <c r="E110" s="42">
        <f>IF(F102&gt;0, E102/F102, 0)</f>
        <v>0</v>
      </c>
      <c r="F110" s="43" t="s">
        <v>28</v>
      </c>
    </row>
    <row r="111" spans="2:6" x14ac:dyDescent="0.35">
      <c r="B111" s="40" t="s">
        <v>25</v>
      </c>
      <c r="C111" s="42">
        <f>IF(F103&gt;0, C103/F103, 0)</f>
        <v>0</v>
      </c>
      <c r="D111" s="42">
        <f>IF(F103&gt;0, D103/F103, 0)</f>
        <v>0</v>
      </c>
      <c r="E111" s="42">
        <f>IF(F103&gt;0, E103/F103, 0)</f>
        <v>1</v>
      </c>
      <c r="F111" s="43" t="s">
        <v>28</v>
      </c>
    </row>
    <row r="116" spans="2:6" ht="18.5" x14ac:dyDescent="0.45">
      <c r="B116" s="36" t="s">
        <v>2524</v>
      </c>
    </row>
    <row r="118" spans="2:6" x14ac:dyDescent="0.35">
      <c r="B118" s="50" t="s">
        <v>2503</v>
      </c>
    </row>
    <row r="119" spans="2:6" x14ac:dyDescent="0.35">
      <c r="B119" s="38" t="s">
        <v>2525</v>
      </c>
      <c r="C119" s="38" t="s">
        <v>2504</v>
      </c>
      <c r="D119" s="38" t="s">
        <v>2505</v>
      </c>
      <c r="E119" s="38" t="s">
        <v>2506</v>
      </c>
      <c r="F119" s="38" t="s">
        <v>2507</v>
      </c>
    </row>
    <row r="120" spans="2:6" x14ac:dyDescent="0.35">
      <c r="B120" s="40" t="s">
        <v>2350</v>
      </c>
      <c r="C120" s="41">
        <f>COUNTIFS('Recommendations'!H:H,"Low",'Recommendations'!R:R,"=Resolved")</f>
        <v>0</v>
      </c>
      <c r="D120" s="41">
        <f>COUNTIFS('Recommendations'!H:H,"=Low",'Recommendations'!R:R,"=Testing")</f>
        <v>0</v>
      </c>
      <c r="E120" s="41">
        <f>COUNTIFS('Recommendations'!H:H,"=Low",'Recommendations'!R:R,"=Outstanding")</f>
        <v>0</v>
      </c>
      <c r="F120" s="41">
        <f>SUM(C120:E120)</f>
        <v>0</v>
      </c>
    </row>
    <row r="121" spans="2:6" x14ac:dyDescent="0.35">
      <c r="B121" s="40" t="s">
        <v>532</v>
      </c>
      <c r="C121" s="41">
        <f>COUNTIFS('Recommendations'!H:H,"Medium",'Recommendations'!R:R,"=Resolved")</f>
        <v>0</v>
      </c>
      <c r="D121" s="41">
        <f>COUNTIFS('Recommendations'!H:H,"=Medium",'Recommendations'!R:R,"=Testing")</f>
        <v>0</v>
      </c>
      <c r="E121" s="41">
        <f>COUNTIFS('Recommendations'!H:H,"=Medium",'Recommendations'!R:R,"=Outstanding")</f>
        <v>0</v>
      </c>
      <c r="F121" s="41">
        <f>SUM(C121:E121)</f>
        <v>0</v>
      </c>
    </row>
    <row r="122" spans="2:6" x14ac:dyDescent="0.35">
      <c r="B122" s="40" t="s">
        <v>22</v>
      </c>
      <c r="C122" s="41">
        <f>COUNTIFS('Recommendations'!H:H,"High",'Recommendations'!R:R,"=Resolved")</f>
        <v>0</v>
      </c>
      <c r="D122" s="41">
        <f>COUNTIFS('Recommendations'!H:H,"=High",'Recommendations'!R:R,"=Testing")</f>
        <v>0</v>
      </c>
      <c r="E122" s="41">
        <f>COUNTIFS('Recommendations'!H:H,"=High",'Recommendations'!R:R,"=Outstanding")</f>
        <v>0</v>
      </c>
      <c r="F122" s="41">
        <f>SUM(C122:E122)</f>
        <v>0</v>
      </c>
    </row>
    <row r="123" spans="2:6" x14ac:dyDescent="0.35">
      <c r="B123" s="40" t="s">
        <v>26</v>
      </c>
      <c r="C123" s="41">
        <f>COUNTIFS('Recommendations'!H:H,"Unassessed",'Recommendations'!R:R,"=Resolved")</f>
        <v>0</v>
      </c>
      <c r="D123" s="41">
        <f>COUNTIFS('Recommendations'!H:H,"=Unassessed",'Recommendations'!R:R,"=Testing")</f>
        <v>0</v>
      </c>
      <c r="E123" s="41">
        <f>COUNTIFS('Recommendations'!H:H,"=Unassessed",'Recommendations'!R:R,"=Outstanding")</f>
        <v>418</v>
      </c>
      <c r="F123" s="41">
        <f>SUM(C123:E123)</f>
        <v>418</v>
      </c>
    </row>
    <row r="125" spans="2:6" x14ac:dyDescent="0.35">
      <c r="B125" s="50" t="s">
        <v>2509</v>
      </c>
    </row>
    <row r="126" spans="2:6" x14ac:dyDescent="0.35">
      <c r="B126" s="51" t="s">
        <v>2525</v>
      </c>
      <c r="C126" s="51" t="s">
        <v>2504</v>
      </c>
      <c r="D126" s="51" t="s">
        <v>2505</v>
      </c>
      <c r="E126" s="51" t="s">
        <v>2506</v>
      </c>
      <c r="F126" s="51" t="s">
        <v>28</v>
      </c>
    </row>
    <row r="127" spans="2:6" x14ac:dyDescent="0.35">
      <c r="B127" s="40" t="s">
        <v>2350</v>
      </c>
      <c r="C127" s="42">
        <f>IF(F120&gt;0, C120/F120, 0)</f>
        <v>0</v>
      </c>
      <c r="D127" s="42">
        <f>IF(F120&gt;0, D120/F120, 0)</f>
        <v>0</v>
      </c>
      <c r="E127" s="42">
        <f>IF(F120&gt;0, E120/F120, 0)</f>
        <v>0</v>
      </c>
      <c r="F127" s="43" t="s">
        <v>28</v>
      </c>
    </row>
    <row r="128" spans="2:6" x14ac:dyDescent="0.35">
      <c r="B128" s="40" t="s">
        <v>532</v>
      </c>
      <c r="C128" s="42">
        <f>IF(F121&gt;0, C121/F121, 0)</f>
        <v>0</v>
      </c>
      <c r="D128" s="42">
        <f>IF(F121&gt;0, D121/F121, 0)</f>
        <v>0</v>
      </c>
      <c r="E128" s="42">
        <f>IF(F121&gt;0, E121/F121, 0)</f>
        <v>0</v>
      </c>
      <c r="F128" s="43" t="s">
        <v>28</v>
      </c>
    </row>
    <row r="129" spans="2:15" x14ac:dyDescent="0.35">
      <c r="B129" s="40" t="s">
        <v>22</v>
      </c>
      <c r="C129" s="42">
        <f>IF(F122&gt;0, C122/F122, 0)</f>
        <v>0</v>
      </c>
      <c r="D129" s="42">
        <f>IF(F122&gt;0, D122/F122, 0)</f>
        <v>0</v>
      </c>
      <c r="E129" s="42">
        <f>IF(F122&gt;0, E122/F122, 0)</f>
        <v>0</v>
      </c>
      <c r="F129" s="43" t="s">
        <v>28</v>
      </c>
    </row>
    <row r="130" spans="2:15" x14ac:dyDescent="0.35">
      <c r="B130" s="40" t="s">
        <v>26</v>
      </c>
      <c r="C130" s="42">
        <f>IF(F123&gt;0, C123/F123, 0)</f>
        <v>0</v>
      </c>
      <c r="D130" s="42">
        <f>IF(F123&gt;0, D123/F123, 0)</f>
        <v>0</v>
      </c>
      <c r="E130" s="42">
        <f>IF(F123&gt;0, E123/F123, 0)</f>
        <v>1</v>
      </c>
      <c r="F130" s="43" t="s">
        <v>28</v>
      </c>
    </row>
    <row r="135" spans="2:15" ht="18.5" x14ac:dyDescent="0.45">
      <c r="B135" s="36" t="s">
        <v>2526</v>
      </c>
      <c r="J135" s="36" t="s">
        <v>2527</v>
      </c>
    </row>
    <row r="136" spans="2:15" x14ac:dyDescent="0.35">
      <c r="B136" s="38" t="s">
        <v>8</v>
      </c>
      <c r="C136" s="268" t="s">
        <v>2528</v>
      </c>
      <c r="D136" s="268"/>
      <c r="E136" s="38" t="s">
        <v>2496</v>
      </c>
      <c r="F136" s="38" t="s">
        <v>2504</v>
      </c>
      <c r="G136" s="268" t="s">
        <v>2529</v>
      </c>
      <c r="H136" s="268"/>
      <c r="J136" s="38" t="s">
        <v>8</v>
      </c>
      <c r="K136" s="38" t="s">
        <v>2520</v>
      </c>
      <c r="L136" s="38" t="s">
        <v>2521</v>
      </c>
      <c r="M136" s="38" t="s">
        <v>2522</v>
      </c>
      <c r="N136" s="38" t="s">
        <v>2523</v>
      </c>
      <c r="O136" s="38" t="s">
        <v>25</v>
      </c>
    </row>
    <row r="137" spans="2:15" x14ac:dyDescent="0.35">
      <c r="B137" s="44" t="s">
        <v>2514</v>
      </c>
      <c r="C137" s="269" t="s">
        <v>28</v>
      </c>
      <c r="D137" s="269"/>
      <c r="E137" s="41">
        <f>COUNTIF('Recommendations'!I:I,"Phase1")-COUNTIFS('Recommendations'!I:I,"Phase1",'Recommendations'!J:J,"Risk Accepted")-COUNTIFS('Recommendations'!I:I,"Phase1",'Recommendations'!J:J,"N/A")</f>
        <v>0</v>
      </c>
      <c r="F137" s="41">
        <f>COUNTIFS('Recommendations'!I:I,"Phase1",'Recommendations'!R:R,"Resolved")</f>
        <v>0</v>
      </c>
      <c r="G137" s="270">
        <f t="shared" ref="G137:G142" si="4">IF(E137&gt;0,F137/E137,0)</f>
        <v>0</v>
      </c>
      <c r="H137" s="270"/>
      <c r="J137" s="44" t="s">
        <v>2514</v>
      </c>
      <c r="K137" s="41">
        <f>COUNTIFS('Recommendations'!I:I,"Phase1",'Recommendations'!G:G,"Must")</f>
        <v>0</v>
      </c>
      <c r="L137" s="41">
        <f>COUNTIFS('Recommendations'!I:I,"Phase1",'Recommendations'!G:G,"Should")</f>
        <v>0</v>
      </c>
      <c r="M137" s="41">
        <f>COUNTIFS('Recommendations'!I:I,"Phase1",'Recommendations'!G:G,"Could")</f>
        <v>0</v>
      </c>
      <c r="N137" s="41">
        <f>COUNTIFS('Recommendations'!I:I,"Phase1",'Recommendations'!G:G,"Won't")</f>
        <v>0</v>
      </c>
      <c r="O137" s="41">
        <f>COUNTIFS('Recommendations'!I:I,"Phase1",'Recommendations'!G:G,"Unassigned")</f>
        <v>0</v>
      </c>
    </row>
    <row r="138" spans="2:15" x14ac:dyDescent="0.35">
      <c r="B138" s="44" t="s">
        <v>2515</v>
      </c>
      <c r="C138" s="269" t="s">
        <v>28</v>
      </c>
      <c r="D138" s="269"/>
      <c r="E138" s="41">
        <f>COUNTIF('Recommendations'!I:I,"Phase2")-COUNTIFS('Recommendations'!I:I,"Phase2",'Recommendations'!J:J,"Risk Accepted")-COUNTIFS('Recommendations'!I:I,"Phase2",'Recommendations'!J:J,"N/A")</f>
        <v>0</v>
      </c>
      <c r="F138" s="41">
        <f>COUNTIFS('Recommendations'!I:I,"Phase2",'Recommendations'!R:R,"Resolved")</f>
        <v>0</v>
      </c>
      <c r="G138" s="270">
        <f t="shared" si="4"/>
        <v>0</v>
      </c>
      <c r="H138" s="270"/>
      <c r="J138" s="44" t="s">
        <v>2515</v>
      </c>
      <c r="K138" s="41">
        <f>COUNTIFS('Recommendations'!I:I,"Phase2",'Recommendations'!G:G,"Must")</f>
        <v>0</v>
      </c>
      <c r="L138" s="41">
        <f>COUNTIFS('Recommendations'!I:I,"Phase2",'Recommendations'!G:G,"Should")</f>
        <v>0</v>
      </c>
      <c r="M138" s="41">
        <f>COUNTIFS('Recommendations'!I:I,"Phase2",'Recommendations'!G:G,"Could")</f>
        <v>0</v>
      </c>
      <c r="N138" s="41">
        <f>COUNTIFS('Recommendations'!I:I,"Phase2",'Recommendations'!G:G,"Won't")</f>
        <v>0</v>
      </c>
      <c r="O138" s="41">
        <f>COUNTIFS('Recommendations'!I:I,"Phase2",'Recommendations'!G:G,"Unassigned")</f>
        <v>0</v>
      </c>
    </row>
    <row r="139" spans="2:15" x14ac:dyDescent="0.35">
      <c r="B139" s="44" t="s">
        <v>2516</v>
      </c>
      <c r="C139" s="269" t="s">
        <v>28</v>
      </c>
      <c r="D139" s="269"/>
      <c r="E139" s="41">
        <f>COUNTIF('Recommendations'!I:I,"Phase3")-COUNTIFS('Recommendations'!I:I,"Phase3",'Recommendations'!J:J,"Risk Accepted")-COUNTIFS('Recommendations'!I:I,"Phase3",'Recommendations'!J:J,"N/A")</f>
        <v>0</v>
      </c>
      <c r="F139" s="41">
        <f>COUNTIFS('Recommendations'!I:I,"Phase3",'Recommendations'!R:R,"Resolved")</f>
        <v>0</v>
      </c>
      <c r="G139" s="270">
        <f t="shared" si="4"/>
        <v>0</v>
      </c>
      <c r="H139" s="270"/>
      <c r="J139" s="44" t="s">
        <v>2516</v>
      </c>
      <c r="K139" s="41">
        <f>COUNTIFS('Recommendations'!I:I,"Phase3",'Recommendations'!G:G,"Must")</f>
        <v>0</v>
      </c>
      <c r="L139" s="41">
        <f>COUNTIFS('Recommendations'!I:I,"Phase3",'Recommendations'!G:G,"Should")</f>
        <v>0</v>
      </c>
      <c r="M139" s="41">
        <f>COUNTIFS('Recommendations'!I:I,"Phase3",'Recommendations'!G:G,"Could")</f>
        <v>0</v>
      </c>
      <c r="N139" s="41">
        <f>COUNTIFS('Recommendations'!I:I,"Phase3",'Recommendations'!G:G,"Won't")</f>
        <v>0</v>
      </c>
      <c r="O139" s="41">
        <f>COUNTIFS('Recommendations'!I:I,"Phase3",'Recommendations'!G:G,"Unassigned")</f>
        <v>0</v>
      </c>
    </row>
    <row r="140" spans="2:15" x14ac:dyDescent="0.35">
      <c r="B140" s="44" t="s">
        <v>2517</v>
      </c>
      <c r="C140" s="269" t="s">
        <v>28</v>
      </c>
      <c r="D140" s="269"/>
      <c r="E140" s="41">
        <f>COUNTIF('Recommendations'!I:I,"Phase4")-COUNTIFS('Recommendations'!I:I,"Phase4",'Recommendations'!J:J,"Risk Accepted")-COUNTIFS('Recommendations'!I:I,"Phase4",'Recommendations'!J:J,"N/A")</f>
        <v>0</v>
      </c>
      <c r="F140" s="41">
        <f>COUNTIFS('Recommendations'!I:I,"Phase4",'Recommendations'!R:R,"Resolved")</f>
        <v>0</v>
      </c>
      <c r="G140" s="270">
        <f t="shared" si="4"/>
        <v>0</v>
      </c>
      <c r="H140" s="270"/>
      <c r="J140" s="44" t="s">
        <v>2517</v>
      </c>
      <c r="K140" s="41">
        <f>COUNTIFS('Recommendations'!I:I,"Phase4",'Recommendations'!G:G,"Must")</f>
        <v>0</v>
      </c>
      <c r="L140" s="41">
        <f>COUNTIFS('Recommendations'!I:I,"Phase4",'Recommendations'!G:G,"Should")</f>
        <v>0</v>
      </c>
      <c r="M140" s="41">
        <f>COUNTIFS('Recommendations'!I:I,"Phase4",'Recommendations'!G:G,"Could")</f>
        <v>0</v>
      </c>
      <c r="N140" s="41">
        <f>COUNTIFS('Recommendations'!I:I,"Phase4",'Recommendations'!G:G,"Won't")</f>
        <v>0</v>
      </c>
      <c r="O140" s="41">
        <f>COUNTIFS('Recommendations'!I:I,"Phase4",'Recommendations'!G:G,"Unassigned")</f>
        <v>0</v>
      </c>
    </row>
    <row r="141" spans="2:15" x14ac:dyDescent="0.35">
      <c r="B141" s="44" t="s">
        <v>2518</v>
      </c>
      <c r="C141" s="269" t="s">
        <v>28</v>
      </c>
      <c r="D141" s="269"/>
      <c r="E141" s="41">
        <f>COUNTIF('Recommendations'!I:I,"Phase5")-COUNTIFS('Recommendations'!I:I,"Phase5",'Recommendations'!J:J,"Risk Accepted")-COUNTIFS('Recommendations'!I:I,"Phase5",'Recommendations'!J:J,"N/A")</f>
        <v>0</v>
      </c>
      <c r="F141" s="41">
        <f>COUNTIFS('Recommendations'!I:I,"Phase5",'Recommendations'!R:R,"Resolved")</f>
        <v>0</v>
      </c>
      <c r="G141" s="270">
        <f t="shared" si="4"/>
        <v>0</v>
      </c>
      <c r="H141" s="270"/>
      <c r="J141" s="44" t="s">
        <v>2518</v>
      </c>
      <c r="K141" s="41">
        <f>COUNTIFS('Recommendations'!I:I,"Phase5",'Recommendations'!G:G,"Must")</f>
        <v>0</v>
      </c>
      <c r="L141" s="41">
        <f>COUNTIFS('Recommendations'!I:I,"Phase5",'Recommendations'!G:G,"Should")</f>
        <v>0</v>
      </c>
      <c r="M141" s="41">
        <f>COUNTIFS('Recommendations'!I:I,"Phase5",'Recommendations'!G:G,"Could")</f>
        <v>0</v>
      </c>
      <c r="N141" s="41">
        <f>COUNTIFS('Recommendations'!I:I,"Phase5",'Recommendations'!G:G,"Won't")</f>
        <v>0</v>
      </c>
      <c r="O141" s="41">
        <f>COUNTIFS('Recommendations'!I:I,"Phase5",'Recommendations'!G:G,"Unassigned")</f>
        <v>0</v>
      </c>
    </row>
    <row r="142" spans="2:15" x14ac:dyDescent="0.35">
      <c r="B142" s="44" t="s">
        <v>27</v>
      </c>
      <c r="C142" s="269" t="s">
        <v>28</v>
      </c>
      <c r="D142" s="269"/>
      <c r="E142" s="41">
        <f>COUNTIF('Recommendations'!I:I,"Pending")-COUNTIFS('Recommendations'!I:I,"Pending",'Recommendations'!J:J,"Risk Accepted")-COUNTIFS('Recommendations'!I:I,"Pending",'Recommendations'!J:J,"N/A")</f>
        <v>418</v>
      </c>
      <c r="F142" s="41">
        <f>COUNTIFS('Recommendations'!I:I,"Pending",'Recommendations'!R:R,"Resolved")</f>
        <v>0</v>
      </c>
      <c r="G142" s="270">
        <f t="shared" si="4"/>
        <v>0</v>
      </c>
      <c r="H142" s="270"/>
      <c r="J142" s="44" t="s">
        <v>27</v>
      </c>
      <c r="K142" s="41">
        <f>COUNTIFS('Recommendations'!I:I,"Pending",'Recommendations'!G:G,"Must")</f>
        <v>0</v>
      </c>
      <c r="L142" s="41">
        <f>COUNTIFS('Recommendations'!I:I,"Pending",'Recommendations'!G:G,"Should")</f>
        <v>0</v>
      </c>
      <c r="M142" s="41">
        <f>COUNTIFS('Recommendations'!I:I,"Pending",'Recommendations'!G:G,"Could")</f>
        <v>0</v>
      </c>
      <c r="N142" s="41">
        <f>COUNTIFS('Recommendations'!I:I,"Pending",'Recommendations'!G:G,"Won't")</f>
        <v>0</v>
      </c>
      <c r="O142" s="41">
        <f>COUNTIFS('Recommendations'!I:I,"Pending",'Recommendations'!G:G,"Unassigned")</f>
        <v>418</v>
      </c>
    </row>
    <row r="149" spans="2:24" ht="21" x14ac:dyDescent="0.5">
      <c r="B149" s="36" t="s">
        <v>2530</v>
      </c>
      <c r="P149" s="53" t="s">
        <v>2531</v>
      </c>
    </row>
    <row r="151" spans="2:24" ht="60" customHeight="1" x14ac:dyDescent="0.35">
      <c r="B151" s="271" t="s">
        <v>2532</v>
      </c>
      <c r="C151" s="264"/>
      <c r="D151" s="264"/>
      <c r="E151" s="264"/>
      <c r="F151" s="264"/>
      <c r="P151" s="271" t="s">
        <v>2533</v>
      </c>
      <c r="Q151" s="264"/>
      <c r="R151" s="264"/>
      <c r="S151" s="264"/>
      <c r="T151" s="264"/>
      <c r="U151" s="264"/>
      <c r="V151" s="264"/>
      <c r="W151" s="264"/>
    </row>
    <row r="153" spans="2:24" ht="30" customHeight="1" x14ac:dyDescent="0.35">
      <c r="P153" s="54" t="s">
        <v>2534</v>
      </c>
      <c r="Q153" s="55">
        <f>C16</f>
        <v>0</v>
      </c>
      <c r="R153" s="56"/>
      <c r="S153" s="55">
        <f>C99</f>
        <v>0</v>
      </c>
      <c r="T153" s="56"/>
      <c r="U153" s="55">
        <f>C100</f>
        <v>0</v>
      </c>
      <c r="V153" s="56"/>
      <c r="W153" s="55">
        <f>C101</f>
        <v>0</v>
      </c>
      <c r="X153" s="56"/>
    </row>
    <row r="154" spans="2:24" ht="35" customHeight="1" x14ac:dyDescent="0.35">
      <c r="P154" s="57" t="s">
        <v>2535</v>
      </c>
      <c r="Q154" s="57" t="s">
        <v>2536</v>
      </c>
      <c r="R154" s="57" t="s">
        <v>2537</v>
      </c>
      <c r="S154" s="57" t="s">
        <v>2538</v>
      </c>
      <c r="T154" s="57" t="s">
        <v>2539</v>
      </c>
      <c r="U154" s="57" t="s">
        <v>2540</v>
      </c>
      <c r="V154" s="57" t="s">
        <v>2541</v>
      </c>
      <c r="W154" s="57" t="s">
        <v>2542</v>
      </c>
      <c r="X154" s="57" t="s">
        <v>2543</v>
      </c>
    </row>
    <row r="155" spans="2:24" x14ac:dyDescent="0.35">
      <c r="O155" s="58" t="s">
        <v>2544</v>
      </c>
      <c r="P155" s="59" t="s">
        <v>2545</v>
      </c>
      <c r="Q155" s="60">
        <v>0</v>
      </c>
      <c r="R155" s="61">
        <f>IF(Dashboard!F16&gt;0, Q155/Dashboard!F16, "")</f>
        <v>0</v>
      </c>
      <c r="S155" s="60">
        <v>0</v>
      </c>
      <c r="T155" s="61" t="str">
        <f>IF(AND(NOT(ISBLANK(S155)),Dashboard!F99&gt;0), S155/Dashboard!F99, "")</f>
        <v/>
      </c>
      <c r="U155" s="60">
        <v>0</v>
      </c>
      <c r="V155" s="61" t="str">
        <f>IF(AND(NOT(ISBLANK(U155)),Dashboard!F100&gt;0), U155/Dashboard!F100, "")</f>
        <v/>
      </c>
      <c r="W155" s="60">
        <v>0</v>
      </c>
      <c r="X155" s="61" t="str">
        <f>IF(AND(NOT(ISBLANK(W155)),Dashboard!F101&gt;0), W155/Dashboard!F101, "")</f>
        <v/>
      </c>
    </row>
    <row r="156" spans="2:24" x14ac:dyDescent="0.35">
      <c r="P156" s="52"/>
      <c r="Q156" s="39"/>
      <c r="R156" s="42" t="str">
        <f>IF(AND(NOT(ISBLANK(Q156)),Dashboard!F16&gt;0), Q156/Dashboard!F16, "")</f>
        <v/>
      </c>
      <c r="S156" s="39"/>
      <c r="T156" s="42" t="str">
        <f>IF(AND(NOT(ISBLANK(S156)),Dashboard!F99&gt;0), S156/Dashboard!F99, "")</f>
        <v/>
      </c>
      <c r="U156" s="39"/>
      <c r="V156" s="42" t="str">
        <f>IF(AND(NOT(ISBLANK(U156)),Dashboard!F100&gt;0), U156/Dashboard!F100, "")</f>
        <v/>
      </c>
      <c r="W156" s="39"/>
      <c r="X156" s="42" t="str">
        <f>IF(AND(NOT(ISBLANK(W156)),Dashboard!F101&gt;0), W156/Dashboard!F101, "")</f>
        <v/>
      </c>
    </row>
    <row r="157" spans="2:24" x14ac:dyDescent="0.35">
      <c r="P157" s="52"/>
      <c r="Q157" s="39"/>
      <c r="R157" s="42" t="str">
        <f>IF(AND(NOT(ISBLANK(Q157)),Dashboard!F16&gt;0), Q157/Dashboard!F16, "")</f>
        <v/>
      </c>
      <c r="S157" s="39"/>
      <c r="T157" s="42" t="str">
        <f>IF(AND(NOT(ISBLANK(S157)),Dashboard!F99&gt;0), S157/Dashboard!F99, "")</f>
        <v/>
      </c>
      <c r="U157" s="39"/>
      <c r="V157" s="42" t="str">
        <f>IF(AND(NOT(ISBLANK(U157)),Dashboard!F100&gt;0), U157/Dashboard!F100, "")</f>
        <v/>
      </c>
      <c r="W157" s="39"/>
      <c r="X157" s="42" t="str">
        <f>IF(AND(NOT(ISBLANK(W157)),Dashboard!F101&gt;0), W157/Dashboard!F101, "")</f>
        <v/>
      </c>
    </row>
    <row r="158" spans="2:24" x14ac:dyDescent="0.35">
      <c r="P158" s="52"/>
      <c r="Q158" s="39"/>
      <c r="R158" s="42" t="str">
        <f>IF(AND(NOT(ISBLANK(Q158)),Dashboard!F16&gt;0), Q158/Dashboard!F16, "")</f>
        <v/>
      </c>
      <c r="S158" s="39"/>
      <c r="T158" s="42" t="str">
        <f>IF(AND(NOT(ISBLANK(S158)),Dashboard!F99&gt;0), S158/Dashboard!F99, "")</f>
        <v/>
      </c>
      <c r="U158" s="39"/>
      <c r="V158" s="42" t="str">
        <f>IF(AND(NOT(ISBLANK(U158)),Dashboard!F100&gt;0), U158/Dashboard!F100, "")</f>
        <v/>
      </c>
      <c r="W158" s="39"/>
      <c r="X158" s="42" t="str">
        <f>IF(AND(NOT(ISBLANK(W158)),Dashboard!F101&gt;0), W158/Dashboard!F101, "")</f>
        <v/>
      </c>
    </row>
    <row r="159" spans="2:24" x14ac:dyDescent="0.35">
      <c r="P159" s="52"/>
      <c r="Q159" s="39"/>
      <c r="R159" s="42" t="str">
        <f>IF(AND(NOT(ISBLANK(Q159)),Dashboard!F16&gt;0), Q159/Dashboard!F16, "")</f>
        <v/>
      </c>
      <c r="S159" s="39"/>
      <c r="T159" s="42" t="str">
        <f>IF(AND(NOT(ISBLANK(S159)),Dashboard!F99&gt;0), S159/Dashboard!F99, "")</f>
        <v/>
      </c>
      <c r="U159" s="39"/>
      <c r="V159" s="42" t="str">
        <f>IF(AND(NOT(ISBLANK(U159)),Dashboard!F100&gt;0), U159/Dashboard!F100, "")</f>
        <v/>
      </c>
      <c r="W159" s="39"/>
      <c r="X159" s="42" t="str">
        <f>IF(AND(NOT(ISBLANK(W159)),Dashboard!F101&gt;0), W159/Dashboard!F101, "")</f>
        <v/>
      </c>
    </row>
    <row r="160" spans="2:24" x14ac:dyDescent="0.35">
      <c r="P160" s="52"/>
      <c r="Q160" s="39"/>
      <c r="R160" s="42" t="str">
        <f>IF(AND(NOT(ISBLANK(Q160)),Dashboard!F16&gt;0), Q160/Dashboard!F16, "")</f>
        <v/>
      </c>
      <c r="S160" s="39"/>
      <c r="T160" s="42" t="str">
        <f>IF(AND(NOT(ISBLANK(S160)),Dashboard!F99&gt;0), S160/Dashboard!F99, "")</f>
        <v/>
      </c>
      <c r="U160" s="39"/>
      <c r="V160" s="42" t="str">
        <f>IF(AND(NOT(ISBLANK(U160)),Dashboard!F100&gt;0), U160/Dashboard!F100, "")</f>
        <v/>
      </c>
      <c r="W160" s="39"/>
      <c r="X160" s="42" t="str">
        <f>IF(AND(NOT(ISBLANK(W160)),Dashboard!F101&gt;0), W160/Dashboard!F101, "")</f>
        <v/>
      </c>
    </row>
    <row r="161" spans="16:24" x14ac:dyDescent="0.35">
      <c r="P161" s="52"/>
      <c r="Q161" s="39"/>
      <c r="R161" s="42" t="str">
        <f>IF(AND(NOT(ISBLANK(Q161)),Dashboard!F16&gt;0), Q161/Dashboard!F16, "")</f>
        <v/>
      </c>
      <c r="S161" s="39"/>
      <c r="T161" s="42" t="str">
        <f>IF(AND(NOT(ISBLANK(S161)),Dashboard!F99&gt;0), S161/Dashboard!F99, "")</f>
        <v/>
      </c>
      <c r="U161" s="39"/>
      <c r="V161" s="42" t="str">
        <f>IF(AND(NOT(ISBLANK(U161)),Dashboard!F100&gt;0), U161/Dashboard!F100, "")</f>
        <v/>
      </c>
      <c r="W161" s="39"/>
      <c r="X161" s="42" t="str">
        <f>IF(AND(NOT(ISBLANK(W161)),Dashboard!F101&gt;0), W161/Dashboard!F101, "")</f>
        <v/>
      </c>
    </row>
    <row r="162" spans="16:24" x14ac:dyDescent="0.35">
      <c r="P162" s="52"/>
      <c r="Q162" s="39"/>
      <c r="R162" s="42" t="str">
        <f>IF(AND(NOT(ISBLANK(Q162)),Dashboard!F16&gt;0), Q162/Dashboard!F16, "")</f>
        <v/>
      </c>
      <c r="S162" s="39"/>
      <c r="T162" s="42" t="str">
        <f>IF(AND(NOT(ISBLANK(S162)),Dashboard!F99&gt;0), S162/Dashboard!F99, "")</f>
        <v/>
      </c>
      <c r="U162" s="39"/>
      <c r="V162" s="42" t="str">
        <f>IF(AND(NOT(ISBLANK(U162)),Dashboard!F100&gt;0), U162/Dashboard!F100, "")</f>
        <v/>
      </c>
      <c r="W162" s="39"/>
      <c r="X162" s="42" t="str">
        <f>IF(AND(NOT(ISBLANK(W162)),Dashboard!F101&gt;0), W162/Dashboard!F101, "")</f>
        <v/>
      </c>
    </row>
    <row r="163" spans="16:24" x14ac:dyDescent="0.35">
      <c r="P163" s="52"/>
      <c r="Q163" s="39"/>
      <c r="R163" s="42" t="str">
        <f>IF(AND(NOT(ISBLANK(Q163)),Dashboard!F16&gt;0), Q163/Dashboard!F16, "")</f>
        <v/>
      </c>
      <c r="S163" s="39"/>
      <c r="T163" s="42" t="str">
        <f>IF(AND(NOT(ISBLANK(S163)),Dashboard!F99&gt;0), S163/Dashboard!F99, "")</f>
        <v/>
      </c>
      <c r="U163" s="39"/>
      <c r="V163" s="42" t="str">
        <f>IF(AND(NOT(ISBLANK(U163)),Dashboard!F100&gt;0), U163/Dashboard!F100, "")</f>
        <v/>
      </c>
      <c r="W163" s="39"/>
      <c r="X163" s="42" t="str">
        <f>IF(AND(NOT(ISBLANK(W163)),Dashboard!F101&gt;0), W163/Dashboard!F101, "")</f>
        <v/>
      </c>
    </row>
    <row r="164" spans="16:24" x14ac:dyDescent="0.35">
      <c r="P164" s="52"/>
      <c r="Q164" s="39"/>
      <c r="R164" s="42" t="str">
        <f>IF(AND(NOT(ISBLANK(Q164)),Dashboard!F16&gt;0), Q164/Dashboard!F16, "")</f>
        <v/>
      </c>
      <c r="S164" s="39"/>
      <c r="T164" s="42" t="str">
        <f>IF(AND(NOT(ISBLANK(S164)),Dashboard!F99&gt;0), S164/Dashboard!F99, "")</f>
        <v/>
      </c>
      <c r="U164" s="39"/>
      <c r="V164" s="42" t="str">
        <f>IF(AND(NOT(ISBLANK(U164)),Dashboard!F100&gt;0), U164/Dashboard!F100, "")</f>
        <v/>
      </c>
      <c r="W164" s="39"/>
      <c r="X164" s="42" t="str">
        <f>IF(AND(NOT(ISBLANK(W164)),Dashboard!F101&gt;0), W164/Dashboard!F101, "")</f>
        <v/>
      </c>
    </row>
    <row r="165" spans="16:24" x14ac:dyDescent="0.35">
      <c r="P165" s="52"/>
      <c r="Q165" s="39"/>
      <c r="R165" s="42" t="str">
        <f>IF(AND(NOT(ISBLANK(Q165)),Dashboard!F16&gt;0), Q165/Dashboard!F16, "")</f>
        <v/>
      </c>
      <c r="S165" s="39"/>
      <c r="T165" s="42" t="str">
        <f>IF(AND(NOT(ISBLANK(S165)),Dashboard!F99&gt;0), S165/Dashboard!F99, "")</f>
        <v/>
      </c>
      <c r="U165" s="39"/>
      <c r="V165" s="42" t="str">
        <f>IF(AND(NOT(ISBLANK(U165)),Dashboard!F100&gt;0), U165/Dashboard!F100, "")</f>
        <v/>
      </c>
      <c r="W165" s="39"/>
      <c r="X165" s="42" t="str">
        <f>IF(AND(NOT(ISBLANK(W165)),Dashboard!F101&gt;0), W165/Dashboard!F101, "")</f>
        <v/>
      </c>
    </row>
    <row r="166" spans="16:24" x14ac:dyDescent="0.35">
      <c r="P166" s="52"/>
      <c r="Q166" s="39"/>
      <c r="R166" s="42" t="str">
        <f>IF(AND(NOT(ISBLANK(Q166)),Dashboard!F16&gt;0), Q166/Dashboard!F16, "")</f>
        <v/>
      </c>
      <c r="S166" s="39"/>
      <c r="T166" s="42" t="str">
        <f>IF(AND(NOT(ISBLANK(S166)),Dashboard!F99&gt;0), S166/Dashboard!F99, "")</f>
        <v/>
      </c>
      <c r="U166" s="39"/>
      <c r="V166" s="42" t="str">
        <f>IF(AND(NOT(ISBLANK(U166)),Dashboard!F100&gt;0), U166/Dashboard!F100, "")</f>
        <v/>
      </c>
      <c r="W166" s="39"/>
      <c r="X166" s="42" t="str">
        <f>IF(AND(NOT(ISBLANK(W166)),Dashboard!F101&gt;0), W166/Dashboard!F101, "")</f>
        <v/>
      </c>
    </row>
    <row r="167" spans="16:24" x14ac:dyDescent="0.35">
      <c r="P167" s="52"/>
      <c r="Q167" s="39"/>
      <c r="R167" s="42" t="str">
        <f>IF(AND(NOT(ISBLANK(Q167)),Dashboard!F16&gt;0), Q167/Dashboard!F16, "")</f>
        <v/>
      </c>
      <c r="S167" s="39"/>
      <c r="T167" s="42" t="str">
        <f>IF(AND(NOT(ISBLANK(S167)),Dashboard!F99&gt;0), S167/Dashboard!F99, "")</f>
        <v/>
      </c>
      <c r="U167" s="39"/>
      <c r="V167" s="42" t="str">
        <f>IF(AND(NOT(ISBLANK(U167)),Dashboard!F100&gt;0), U167/Dashboard!F100, "")</f>
        <v/>
      </c>
      <c r="W167" s="39"/>
      <c r="X167" s="42" t="str">
        <f>IF(AND(NOT(ISBLANK(W167)),Dashboard!F101&gt;0), W167/Dashboard!F101, "")</f>
        <v/>
      </c>
    </row>
    <row r="168" spans="16:24" x14ac:dyDescent="0.35">
      <c r="P168" s="52"/>
      <c r="Q168" s="39"/>
      <c r="R168" s="42" t="str">
        <f>IF(AND(NOT(ISBLANK(Q168)),Dashboard!F16&gt;0), Q168/Dashboard!F16, "")</f>
        <v/>
      </c>
      <c r="S168" s="39"/>
      <c r="T168" s="42" t="str">
        <f>IF(AND(NOT(ISBLANK(S168)),Dashboard!F99&gt;0), S168/Dashboard!F99, "")</f>
        <v/>
      </c>
      <c r="U168" s="39"/>
      <c r="V168" s="42" t="str">
        <f>IF(AND(NOT(ISBLANK(U168)),Dashboard!F100&gt;0), U168/Dashboard!F100, "")</f>
        <v/>
      </c>
      <c r="W168" s="39"/>
      <c r="X168" s="42" t="str">
        <f>IF(AND(NOT(ISBLANK(W168)),Dashboard!F101&gt;0), W168/Dashboard!F101, "")</f>
        <v/>
      </c>
    </row>
    <row r="169" spans="16:24" x14ac:dyDescent="0.35">
      <c r="P169" s="52"/>
      <c r="Q169" s="39"/>
      <c r="R169" s="42" t="str">
        <f>IF(AND(NOT(ISBLANK(Q169)),Dashboard!F16&gt;0), Q169/Dashboard!F16, "")</f>
        <v/>
      </c>
      <c r="S169" s="39"/>
      <c r="T169" s="42" t="str">
        <f>IF(AND(NOT(ISBLANK(S169)),Dashboard!F99&gt;0), S169/Dashboard!F99, "")</f>
        <v/>
      </c>
      <c r="U169" s="39"/>
      <c r="V169" s="42" t="str">
        <f>IF(AND(NOT(ISBLANK(U169)),Dashboard!F100&gt;0), U169/Dashboard!F100, "")</f>
        <v/>
      </c>
      <c r="W169" s="39"/>
      <c r="X169" s="42" t="str">
        <f>IF(AND(NOT(ISBLANK(W169)),Dashboard!F101&gt;0), W169/Dashboard!F101, "")</f>
        <v/>
      </c>
    </row>
    <row r="170" spans="16:24" x14ac:dyDescent="0.35">
      <c r="P170" s="52"/>
      <c r="Q170" s="39"/>
      <c r="R170" s="42" t="str">
        <f>IF(AND(NOT(ISBLANK(Q170)),Dashboard!F16&gt;0), Q170/Dashboard!F16, "")</f>
        <v/>
      </c>
      <c r="S170" s="39"/>
      <c r="T170" s="42" t="str">
        <f>IF(AND(NOT(ISBLANK(S170)),Dashboard!F99&gt;0), S170/Dashboard!F99, "")</f>
        <v/>
      </c>
      <c r="U170" s="39"/>
      <c r="V170" s="42" t="str">
        <f>IF(AND(NOT(ISBLANK(U170)),Dashboard!F100&gt;0), U170/Dashboard!F100, "")</f>
        <v/>
      </c>
      <c r="W170" s="39"/>
      <c r="X170" s="42" t="str">
        <f>IF(AND(NOT(ISBLANK(W170)),Dashboard!F101&gt;0), W170/Dashboard!F101, "")</f>
        <v/>
      </c>
    </row>
    <row r="171" spans="16:24" x14ac:dyDescent="0.35">
      <c r="P171" s="52"/>
      <c r="Q171" s="39"/>
      <c r="R171" s="42" t="str">
        <f>IF(AND(NOT(ISBLANK(Q171)),Dashboard!F16&gt;0), Q171/Dashboard!F16, "")</f>
        <v/>
      </c>
      <c r="S171" s="39"/>
      <c r="T171" s="42" t="str">
        <f>IF(AND(NOT(ISBLANK(S171)),Dashboard!F99&gt;0), S171/Dashboard!F99, "")</f>
        <v/>
      </c>
      <c r="U171" s="39"/>
      <c r="V171" s="42" t="str">
        <f>IF(AND(NOT(ISBLANK(U171)),Dashboard!F100&gt;0), U171/Dashboard!F100, "")</f>
        <v/>
      </c>
      <c r="W171" s="39"/>
      <c r="X171" s="42" t="str">
        <f>IF(AND(NOT(ISBLANK(W171)),Dashboard!F101&gt;0), W171/Dashboard!F101, "")</f>
        <v/>
      </c>
    </row>
    <row r="172" spans="16:24" x14ac:dyDescent="0.35">
      <c r="P172" s="52"/>
      <c r="Q172" s="39"/>
      <c r="R172" s="42" t="str">
        <f>IF(AND(NOT(ISBLANK(Q172)),Dashboard!F16&gt;0), Q172/Dashboard!F16, "")</f>
        <v/>
      </c>
      <c r="S172" s="39"/>
      <c r="T172" s="42" t="str">
        <f>IF(AND(NOT(ISBLANK(S172)),Dashboard!F99&gt;0), S172/Dashboard!F99, "")</f>
        <v/>
      </c>
      <c r="U172" s="39"/>
      <c r="V172" s="42" t="str">
        <f>IF(AND(NOT(ISBLANK(U172)),Dashboard!F100&gt;0), U172/Dashboard!F100, "")</f>
        <v/>
      </c>
      <c r="W172" s="39"/>
      <c r="X172" s="42" t="str">
        <f>IF(AND(NOT(ISBLANK(W172)),Dashboard!F101&gt;0), W172/Dashboard!F101, "")</f>
        <v/>
      </c>
    </row>
    <row r="173" spans="16:24" x14ac:dyDescent="0.35">
      <c r="P173" s="52"/>
      <c r="Q173" s="39"/>
      <c r="R173" s="42" t="str">
        <f>IF(AND(NOT(ISBLANK(Q173)),Dashboard!F16&gt;0), Q173/Dashboard!F16, "")</f>
        <v/>
      </c>
      <c r="S173" s="39"/>
      <c r="T173" s="42" t="str">
        <f>IF(AND(NOT(ISBLANK(S173)),Dashboard!F99&gt;0), S173/Dashboard!F99, "")</f>
        <v/>
      </c>
      <c r="U173" s="39"/>
      <c r="V173" s="42" t="str">
        <f>IF(AND(NOT(ISBLANK(U173)),Dashboard!F100&gt;0), U173/Dashboard!F100, "")</f>
        <v/>
      </c>
      <c r="W173" s="39"/>
      <c r="X173" s="42" t="str">
        <f>IF(AND(NOT(ISBLANK(W173)),Dashboard!F101&gt;0), W173/Dashboard!F101, "")</f>
        <v/>
      </c>
    </row>
    <row r="174" spans="16:24" x14ac:dyDescent="0.35">
      <c r="P174" s="52"/>
      <c r="Q174" s="39"/>
      <c r="R174" s="42" t="str">
        <f>IF(AND(NOT(ISBLANK(Q174)),Dashboard!F16&gt;0), Q174/Dashboard!F16, "")</f>
        <v/>
      </c>
      <c r="S174" s="39"/>
      <c r="T174" s="42" t="str">
        <f>IF(AND(NOT(ISBLANK(S174)),Dashboard!F99&gt;0), S174/Dashboard!F99, "")</f>
        <v/>
      </c>
      <c r="U174" s="39"/>
      <c r="V174" s="42" t="str">
        <f>IF(AND(NOT(ISBLANK(U174)),Dashboard!F100&gt;0), U174/Dashboard!F100, "")</f>
        <v/>
      </c>
      <c r="W174" s="39"/>
      <c r="X174" s="42" t="str">
        <f>IF(AND(NOT(ISBLANK(W174)),Dashboard!F101&gt;0), W174/Dashboard!F101, "")</f>
        <v/>
      </c>
    </row>
    <row r="175" spans="16:24" x14ac:dyDescent="0.35">
      <c r="P175" s="52"/>
      <c r="Q175" s="39"/>
      <c r="R175" s="42" t="str">
        <f>IF(AND(NOT(ISBLANK(Q175)),Dashboard!F16&gt;0), Q175/Dashboard!F16, "")</f>
        <v/>
      </c>
      <c r="S175" s="39"/>
      <c r="T175" s="42" t="str">
        <f>IF(AND(NOT(ISBLANK(S175)),Dashboard!F99&gt;0), S175/Dashboard!F99, "")</f>
        <v/>
      </c>
      <c r="U175" s="39"/>
      <c r="V175" s="42" t="str">
        <f>IF(AND(NOT(ISBLANK(U175)),Dashboard!F100&gt;0), U175/Dashboard!F100, "")</f>
        <v/>
      </c>
      <c r="W175" s="39"/>
      <c r="X175" s="42" t="str">
        <f>IF(AND(NOT(ISBLANK(W175)),Dashboard!F101&gt;0), W175/Dashboard!F101, "")</f>
        <v/>
      </c>
    </row>
    <row r="176" spans="16:24" x14ac:dyDescent="0.35">
      <c r="P176" s="52"/>
      <c r="Q176" s="39"/>
      <c r="R176" s="42" t="str">
        <f>IF(AND(NOT(ISBLANK(Q176)),Dashboard!F16&gt;0), Q176/Dashboard!F16, "")</f>
        <v/>
      </c>
      <c r="S176" s="39"/>
      <c r="T176" s="42" t="str">
        <f>IF(AND(NOT(ISBLANK(S176)),Dashboard!F99&gt;0), S176/Dashboard!F99, "")</f>
        <v/>
      </c>
      <c r="U176" s="39"/>
      <c r="V176" s="42" t="str">
        <f>IF(AND(NOT(ISBLANK(U176)),Dashboard!F100&gt;0), U176/Dashboard!F100, "")</f>
        <v/>
      </c>
      <c r="W176" s="39"/>
      <c r="X176" s="42" t="str">
        <f>IF(AND(NOT(ISBLANK(W176)),Dashboard!F101&gt;0), W176/Dashboard!F101, "")</f>
        <v/>
      </c>
    </row>
    <row r="177" spans="2:24" x14ac:dyDescent="0.35">
      <c r="P177" s="52"/>
      <c r="Q177" s="39"/>
      <c r="R177" s="42" t="str">
        <f>IF(AND(NOT(ISBLANK(Q177)),Dashboard!F16&gt;0), Q177/Dashboard!F16, "")</f>
        <v/>
      </c>
      <c r="S177" s="39"/>
      <c r="T177" s="42" t="str">
        <f>IF(AND(NOT(ISBLANK(S177)),Dashboard!F99&gt;0), S177/Dashboard!F99, "")</f>
        <v/>
      </c>
      <c r="U177" s="39"/>
      <c r="V177" s="42" t="str">
        <f>IF(AND(NOT(ISBLANK(U177)),Dashboard!F100&gt;0), U177/Dashboard!F100, "")</f>
        <v/>
      </c>
      <c r="W177" s="39"/>
      <c r="X177" s="42" t="str">
        <f>IF(AND(NOT(ISBLANK(W177)),Dashboard!F101&gt;0), W177/Dashboard!F101, "")</f>
        <v/>
      </c>
    </row>
    <row r="178" spans="2:24" x14ac:dyDescent="0.35">
      <c r="P178" s="52"/>
      <c r="Q178" s="39"/>
      <c r="R178" s="42" t="str">
        <f>IF(AND(NOT(ISBLANK(Q178)),Dashboard!F16&gt;0), Q178/Dashboard!F16, "")</f>
        <v/>
      </c>
      <c r="S178" s="39"/>
      <c r="T178" s="42" t="str">
        <f>IF(AND(NOT(ISBLANK(S178)),Dashboard!F99&gt;0), S178/Dashboard!F99, "")</f>
        <v/>
      </c>
      <c r="U178" s="39"/>
      <c r="V178" s="42" t="str">
        <f>IF(AND(NOT(ISBLANK(U178)),Dashboard!F100&gt;0), U178/Dashboard!F100, "")</f>
        <v/>
      </c>
      <c r="W178" s="39"/>
      <c r="X178" s="42" t="str">
        <f>IF(AND(NOT(ISBLANK(W178)),Dashboard!F101&gt;0), W178/Dashboard!F101, "")</f>
        <v/>
      </c>
    </row>
    <row r="179" spans="2:24" x14ac:dyDescent="0.35">
      <c r="P179" s="52"/>
      <c r="Q179" s="39"/>
      <c r="R179" s="42" t="str">
        <f>IF(AND(NOT(ISBLANK(Q179)),Dashboard!F16&gt;0), Q179/Dashboard!F16, "")</f>
        <v/>
      </c>
      <c r="S179" s="39"/>
      <c r="T179" s="42" t="str">
        <f>IF(AND(NOT(ISBLANK(S179)),Dashboard!F99&gt;0), S179/Dashboard!F99, "")</f>
        <v/>
      </c>
      <c r="U179" s="39"/>
      <c r="V179" s="42" t="str">
        <f>IF(AND(NOT(ISBLANK(U179)),Dashboard!F100&gt;0), U179/Dashboard!F100, "")</f>
        <v/>
      </c>
      <c r="W179" s="39"/>
      <c r="X179" s="42" t="str">
        <f>IF(AND(NOT(ISBLANK(W179)),Dashboard!F101&gt;0), W179/Dashboard!F101, "")</f>
        <v/>
      </c>
    </row>
    <row r="180" spans="2:24" x14ac:dyDescent="0.35">
      <c r="P180" s="52"/>
      <c r="Q180" s="39"/>
      <c r="R180" s="42" t="str">
        <f>IF(AND(NOT(ISBLANK(Q180)),Dashboard!F16&gt;0), Q180/Dashboard!F16, "")</f>
        <v/>
      </c>
      <c r="S180" s="39"/>
      <c r="T180" s="42" t="str">
        <f>IF(AND(NOT(ISBLANK(S180)),Dashboard!F99&gt;0), S180/Dashboard!F99, "")</f>
        <v/>
      </c>
      <c r="U180" s="39"/>
      <c r="V180" s="42" t="str">
        <f>IF(AND(NOT(ISBLANK(U180)),Dashboard!F100&gt;0), U180/Dashboard!F100, "")</f>
        <v/>
      </c>
      <c r="W180" s="39"/>
      <c r="X180" s="42" t="str">
        <f>IF(AND(NOT(ISBLANK(W180)),Dashboard!F101&gt;0), W180/Dashboard!F101, "")</f>
        <v/>
      </c>
    </row>
    <row r="181" spans="2:24" x14ac:dyDescent="0.35">
      <c r="P181" s="52"/>
      <c r="Q181" s="39"/>
      <c r="R181" s="42" t="str">
        <f>IF(AND(NOT(ISBLANK(Q181)),Dashboard!F16&gt;0), Q181/Dashboard!F16, "")</f>
        <v/>
      </c>
      <c r="S181" s="39"/>
      <c r="T181" s="42" t="str">
        <f>IF(AND(NOT(ISBLANK(S181)),Dashboard!F99&gt;0), S181/Dashboard!F99, "")</f>
        <v/>
      </c>
      <c r="U181" s="39"/>
      <c r="V181" s="42" t="str">
        <f>IF(AND(NOT(ISBLANK(U181)),Dashboard!F100&gt;0), U181/Dashboard!F100, "")</f>
        <v/>
      </c>
      <c r="W181" s="39"/>
      <c r="X181" s="42" t="str">
        <f>IF(AND(NOT(ISBLANK(W181)),Dashboard!F101&gt;0), W181/Dashboard!F101, "")</f>
        <v/>
      </c>
    </row>
    <row r="182" spans="2:24" x14ac:dyDescent="0.35">
      <c r="P182" s="52"/>
      <c r="Q182" s="39"/>
      <c r="R182" s="42" t="str">
        <f>IF(AND(NOT(ISBLANK(Q182)),Dashboard!F16&gt;0), Q182/Dashboard!F16, "")</f>
        <v/>
      </c>
      <c r="S182" s="39"/>
      <c r="T182" s="42" t="str">
        <f>IF(AND(NOT(ISBLANK(S182)),Dashboard!F99&gt;0), S182/Dashboard!F99, "")</f>
        <v/>
      </c>
      <c r="U182" s="39"/>
      <c r="V182" s="42" t="str">
        <f>IF(AND(NOT(ISBLANK(U182)),Dashboard!F100&gt;0), U182/Dashboard!F100, "")</f>
        <v/>
      </c>
      <c r="W182" s="39"/>
      <c r="X182" s="42" t="str">
        <f>IF(AND(NOT(ISBLANK(W182)),Dashboard!F101&gt;0), W182/Dashboard!F101, "")</f>
        <v/>
      </c>
    </row>
    <row r="183" spans="2:24" x14ac:dyDescent="0.35">
      <c r="P183" s="52"/>
      <c r="Q183" s="39"/>
      <c r="R183" s="42" t="str">
        <f>IF(AND(NOT(ISBLANK(Q183)),Dashboard!F16&gt;0), Q183/Dashboard!F16, "")</f>
        <v/>
      </c>
      <c r="S183" s="39"/>
      <c r="T183" s="42" t="str">
        <f>IF(AND(NOT(ISBLANK(S183)),Dashboard!F99&gt;0), S183/Dashboard!F99, "")</f>
        <v/>
      </c>
      <c r="U183" s="39"/>
      <c r="V183" s="42" t="str">
        <f>IF(AND(NOT(ISBLANK(U183)),Dashboard!F100&gt;0), U183/Dashboard!F100, "")</f>
        <v/>
      </c>
      <c r="W183" s="39"/>
      <c r="X183" s="42" t="str">
        <f>IF(AND(NOT(ISBLANK(W183)),Dashboard!F101&gt;0), W183/Dashboard!F101, "")</f>
        <v/>
      </c>
    </row>
    <row r="184" spans="2:24" x14ac:dyDescent="0.35">
      <c r="P184" s="52"/>
      <c r="Q184" s="39"/>
      <c r="R184" s="42" t="str">
        <f>IF(AND(NOT(ISBLANK(Q184)),Dashboard!F16&gt;0), Q184/Dashboard!F16, "")</f>
        <v/>
      </c>
      <c r="S184" s="39"/>
      <c r="T184" s="42" t="str">
        <f>IF(AND(NOT(ISBLANK(S184)),Dashboard!F99&gt;0), S184/Dashboard!F99, "")</f>
        <v/>
      </c>
      <c r="U184" s="39"/>
      <c r="V184" s="42" t="str">
        <f>IF(AND(NOT(ISBLANK(U184)),Dashboard!F100&gt;0), U184/Dashboard!F100, "")</f>
        <v/>
      </c>
      <c r="W184" s="39"/>
      <c r="X184" s="42" t="str">
        <f>IF(AND(NOT(ISBLANK(W184)),Dashboard!F101&gt;0), W184/Dashboard!F101, "")</f>
        <v/>
      </c>
    </row>
    <row r="185" spans="2:24" x14ac:dyDescent="0.35">
      <c r="P185" s="52"/>
      <c r="Q185" s="39"/>
      <c r="R185" s="42" t="str">
        <f>IF(AND(NOT(ISBLANK(Q185)),Dashboard!F16&gt;0), Q185/Dashboard!F16, "")</f>
        <v/>
      </c>
      <c r="S185" s="39"/>
      <c r="T185" s="42" t="str">
        <f>IF(AND(NOT(ISBLANK(S185)),Dashboard!F99&gt;0), S185/Dashboard!F99, "")</f>
        <v/>
      </c>
      <c r="U185" s="39"/>
      <c r="V185" s="42" t="str">
        <f>IF(AND(NOT(ISBLANK(U185)),Dashboard!F100&gt;0), U185/Dashboard!F100, "")</f>
        <v/>
      </c>
      <c r="W185" s="39"/>
      <c r="X185" s="42" t="str">
        <f>IF(AND(NOT(ISBLANK(W185)),Dashboard!F101&gt;0), W185/Dashboard!F101, "")</f>
        <v/>
      </c>
    </row>
    <row r="190" spans="2:24" ht="21" x14ac:dyDescent="0.5">
      <c r="B190" s="36" t="s">
        <v>2546</v>
      </c>
      <c r="P190" s="53" t="s">
        <v>2547</v>
      </c>
    </row>
    <row r="192" spans="2:24" ht="45" customHeight="1" x14ac:dyDescent="0.35">
      <c r="B192" s="271" t="s">
        <v>2548</v>
      </c>
      <c r="C192" s="264"/>
      <c r="D192" s="264"/>
      <c r="E192" s="264"/>
      <c r="F192" s="264"/>
      <c r="P192" s="271" t="s">
        <v>2549</v>
      </c>
      <c r="Q192" s="264"/>
      <c r="R192" s="264"/>
      <c r="S192" s="264"/>
      <c r="T192" s="264"/>
      <c r="U192" s="264"/>
    </row>
    <row r="193" spans="16:22" ht="35" customHeight="1" x14ac:dyDescent="0.35">
      <c r="P193" s="268" t="s">
        <v>2550</v>
      </c>
      <c r="Q193" s="268"/>
      <c r="R193" s="268" t="s">
        <v>2551</v>
      </c>
      <c r="S193" s="268"/>
      <c r="T193" s="268"/>
    </row>
    <row r="194" spans="16:22" ht="30" customHeight="1" x14ac:dyDescent="0.35">
      <c r="P194" s="272">
        <v>0</v>
      </c>
      <c r="Q194" s="273"/>
      <c r="R194" s="274" t="s">
        <v>2552</v>
      </c>
      <c r="S194" s="275"/>
      <c r="T194" s="275"/>
    </row>
    <row r="197" spans="16:22" ht="25" customHeight="1" x14ac:dyDescent="0.35">
      <c r="P197" s="62" t="s">
        <v>2535</v>
      </c>
      <c r="Q197" s="62" t="s">
        <v>2553</v>
      </c>
      <c r="R197" s="62" t="s">
        <v>2554</v>
      </c>
      <c r="S197" s="276" t="s">
        <v>10</v>
      </c>
      <c r="T197" s="276"/>
      <c r="U197" s="276"/>
      <c r="V197" s="264"/>
    </row>
    <row r="198" spans="16:22" ht="20" customHeight="1" x14ac:dyDescent="0.35">
      <c r="P198" s="64"/>
      <c r="Q198" s="65"/>
      <c r="R198" s="66" t="str">
        <f>IF(AND(NOT(ISBLANK(Q198)), Dashboard!$P194&gt;0), Q198/Dashboard!$P194, "")</f>
        <v/>
      </c>
      <c r="S198" s="277"/>
      <c r="T198" s="278"/>
      <c r="U198" s="278"/>
      <c r="V198" s="278"/>
    </row>
    <row r="199" spans="16:22" ht="20" customHeight="1" x14ac:dyDescent="0.35">
      <c r="P199" s="64"/>
      <c r="Q199" s="65"/>
      <c r="R199" s="66" t="str">
        <f>IF(AND(NOT(ISBLANK(Q199)), Dashboard!$P194&gt;0), Q199/Dashboard!$P194, "")</f>
        <v/>
      </c>
      <c r="S199" s="277"/>
      <c r="T199" s="278"/>
      <c r="U199" s="278"/>
      <c r="V199" s="278"/>
    </row>
    <row r="200" spans="16:22" ht="20" customHeight="1" x14ac:dyDescent="0.35">
      <c r="P200" s="64"/>
      <c r="Q200" s="65"/>
      <c r="R200" s="66" t="str">
        <f>IF(AND(NOT(ISBLANK(Q200)), Dashboard!$P194&gt;0), Q200/Dashboard!$P194, "")</f>
        <v/>
      </c>
      <c r="S200" s="277"/>
      <c r="T200" s="278"/>
      <c r="U200" s="278"/>
      <c r="V200" s="278"/>
    </row>
    <row r="201" spans="16:22" ht="20" customHeight="1" x14ac:dyDescent="0.35">
      <c r="P201" s="64"/>
      <c r="Q201" s="65"/>
      <c r="R201" s="66" t="str">
        <f>IF(AND(NOT(ISBLANK(Q201)), Dashboard!$P194&gt;0), Q201/Dashboard!$P194, "")</f>
        <v/>
      </c>
      <c r="S201" s="277"/>
      <c r="T201" s="278"/>
      <c r="U201" s="278"/>
      <c r="V201" s="278"/>
    </row>
    <row r="202" spans="16:22" ht="20" customHeight="1" x14ac:dyDescent="0.35">
      <c r="P202" s="64"/>
      <c r="Q202" s="65"/>
      <c r="R202" s="66" t="str">
        <f>IF(AND(NOT(ISBLANK(Q202)), Dashboard!$P194&gt;0), Q202/Dashboard!$P194, "")</f>
        <v/>
      </c>
      <c r="S202" s="277"/>
      <c r="T202" s="278"/>
      <c r="U202" s="278"/>
      <c r="V202" s="278"/>
    </row>
    <row r="203" spans="16:22" ht="20" customHeight="1" x14ac:dyDescent="0.35">
      <c r="P203" s="64"/>
      <c r="Q203" s="65"/>
      <c r="R203" s="66" t="str">
        <f>IF(AND(NOT(ISBLANK(Q203)), Dashboard!$P194&gt;0), Q203/Dashboard!$P194, "")</f>
        <v/>
      </c>
      <c r="S203" s="277"/>
      <c r="T203" s="278"/>
      <c r="U203" s="278"/>
      <c r="V203" s="278"/>
    </row>
    <row r="204" spans="16:22" ht="20" customHeight="1" x14ac:dyDescent="0.35">
      <c r="P204" s="64"/>
      <c r="Q204" s="65"/>
      <c r="R204" s="66" t="str">
        <f>IF(AND(NOT(ISBLANK(Q204)), Dashboard!$P194&gt;0), Q204/Dashboard!$P194, "")</f>
        <v/>
      </c>
      <c r="S204" s="277"/>
      <c r="T204" s="278"/>
      <c r="U204" s="278"/>
      <c r="V204" s="278"/>
    </row>
    <row r="205" spans="16:22" ht="20" customHeight="1" x14ac:dyDescent="0.35">
      <c r="P205" s="64"/>
      <c r="Q205" s="65"/>
      <c r="R205" s="66" t="str">
        <f>IF(AND(NOT(ISBLANK(Q205)), Dashboard!$P194&gt;0), Q205/Dashboard!$P194, "")</f>
        <v/>
      </c>
      <c r="S205" s="277"/>
      <c r="T205" s="278"/>
      <c r="U205" s="278"/>
      <c r="V205" s="278"/>
    </row>
    <row r="206" spans="16:22" ht="20" customHeight="1" x14ac:dyDescent="0.35">
      <c r="P206" s="64"/>
      <c r="Q206" s="65"/>
      <c r="R206" s="66" t="str">
        <f>IF(AND(NOT(ISBLANK(Q206)), Dashboard!$P194&gt;0), Q206/Dashboard!$P194, "")</f>
        <v/>
      </c>
      <c r="S206" s="277"/>
      <c r="T206" s="278"/>
      <c r="U206" s="278"/>
      <c r="V206" s="278"/>
    </row>
    <row r="207" spans="16:22" ht="20" customHeight="1" x14ac:dyDescent="0.35">
      <c r="P207" s="64"/>
      <c r="Q207" s="65"/>
      <c r="R207" s="66" t="str">
        <f>IF(AND(NOT(ISBLANK(Q207)), Dashboard!$P194&gt;0), Q207/Dashboard!$P194, "")</f>
        <v/>
      </c>
      <c r="S207" s="277"/>
      <c r="T207" s="278"/>
      <c r="U207" s="278"/>
      <c r="V207" s="278"/>
    </row>
    <row r="208" spans="16:22" ht="20" customHeight="1" x14ac:dyDescent="0.35">
      <c r="P208" s="64"/>
      <c r="Q208" s="65"/>
      <c r="R208" s="66" t="str">
        <f>IF(AND(NOT(ISBLANK(Q208)), Dashboard!$P194&gt;0), Q208/Dashboard!$P194, "")</f>
        <v/>
      </c>
      <c r="S208" s="277"/>
      <c r="T208" s="278"/>
      <c r="U208" s="278"/>
      <c r="V208" s="278"/>
    </row>
    <row r="209" spans="2:22" ht="20" customHeight="1" x14ac:dyDescent="0.35">
      <c r="P209" s="64"/>
      <c r="Q209" s="65"/>
      <c r="R209" s="66" t="str">
        <f>IF(AND(NOT(ISBLANK(Q209)), Dashboard!$P194&gt;0), Q209/Dashboard!$P194, "")</f>
        <v/>
      </c>
      <c r="S209" s="277"/>
      <c r="T209" s="278"/>
      <c r="U209" s="278"/>
      <c r="V209" s="278"/>
    </row>
    <row r="210" spans="2:22" ht="20" customHeight="1" x14ac:dyDescent="0.35">
      <c r="P210" s="64"/>
      <c r="Q210" s="65"/>
      <c r="R210" s="66" t="str">
        <f>IF(AND(NOT(ISBLANK(Q210)), Dashboard!$P194&gt;0), Q210/Dashboard!$P194, "")</f>
        <v/>
      </c>
      <c r="S210" s="277"/>
      <c r="T210" s="278"/>
      <c r="U210" s="278"/>
      <c r="V210" s="278"/>
    </row>
    <row r="211" spans="2:22" ht="20" customHeight="1" x14ac:dyDescent="0.35">
      <c r="P211" s="64"/>
      <c r="Q211" s="65"/>
      <c r="R211" s="66" t="str">
        <f>IF(AND(NOT(ISBLANK(Q211)), Dashboard!$P194&gt;0), Q211/Dashboard!$P194, "")</f>
        <v/>
      </c>
      <c r="S211" s="277"/>
      <c r="T211" s="278"/>
      <c r="U211" s="278"/>
      <c r="V211" s="278"/>
    </row>
    <row r="212" spans="2:22" ht="20" customHeight="1" x14ac:dyDescent="0.35">
      <c r="P212" s="64"/>
      <c r="Q212" s="65"/>
      <c r="R212" s="66" t="str">
        <f>IF(AND(NOT(ISBLANK(Q212)), Dashboard!$P194&gt;0), Q212/Dashboard!$P194, "")</f>
        <v/>
      </c>
      <c r="S212" s="277"/>
      <c r="T212" s="278"/>
      <c r="U212" s="278"/>
      <c r="V212" s="278"/>
    </row>
    <row r="213" spans="2:22" ht="20" customHeight="1" x14ac:dyDescent="0.35">
      <c r="P213" s="64"/>
      <c r="Q213" s="65"/>
      <c r="R213" s="66" t="str">
        <f>IF(AND(NOT(ISBLANK(Q213)), Dashboard!$P194&gt;0), Q213/Dashboard!$P194, "")</f>
        <v/>
      </c>
      <c r="S213" s="277"/>
      <c r="T213" s="278"/>
      <c r="U213" s="278"/>
      <c r="V213" s="278"/>
    </row>
    <row r="214" spans="2:22" ht="20" customHeight="1" x14ac:dyDescent="0.35">
      <c r="P214" s="64"/>
      <c r="Q214" s="65"/>
      <c r="R214" s="66" t="str">
        <f>IF(AND(NOT(ISBLANK(Q214)), Dashboard!$P194&gt;0), Q214/Dashboard!$P194, "")</f>
        <v/>
      </c>
      <c r="S214" s="277"/>
      <c r="T214" s="278"/>
      <c r="U214" s="278"/>
      <c r="V214" s="278"/>
    </row>
    <row r="215" spans="2:22" ht="20" customHeight="1" x14ac:dyDescent="0.35">
      <c r="P215" s="64"/>
      <c r="Q215" s="65"/>
      <c r="R215" s="66" t="str">
        <f>IF(AND(NOT(ISBLANK(Q215)), Dashboard!$P194&gt;0), Q215/Dashboard!$P194, "")</f>
        <v/>
      </c>
      <c r="S215" s="277"/>
      <c r="T215" s="278"/>
      <c r="U215" s="278"/>
      <c r="V215" s="278"/>
    </row>
    <row r="216" spans="2:22" ht="20" customHeight="1" x14ac:dyDescent="0.35">
      <c r="P216" s="64"/>
      <c r="Q216" s="65"/>
      <c r="R216" s="66" t="str">
        <f>IF(AND(NOT(ISBLANK(Q216)), Dashboard!$P194&gt;0), Q216/Dashboard!$P194, "")</f>
        <v/>
      </c>
      <c r="S216" s="277"/>
      <c r="T216" s="278"/>
      <c r="U216" s="278"/>
      <c r="V216" s="278"/>
    </row>
    <row r="217" spans="2:22" ht="20" customHeight="1" x14ac:dyDescent="0.35">
      <c r="P217" s="64"/>
      <c r="Q217" s="65"/>
      <c r="R217" s="66" t="str">
        <f>IF(AND(NOT(ISBLANK(Q217)), Dashboard!$P194&gt;0), Q217/Dashboard!$P194, "")</f>
        <v/>
      </c>
      <c r="S217" s="277"/>
      <c r="T217" s="278"/>
      <c r="U217" s="278"/>
      <c r="V217" s="278"/>
    </row>
    <row r="221" spans="2:22" ht="32" customHeight="1" x14ac:dyDescent="0.35">
      <c r="B221" s="262" t="s">
        <v>2415</v>
      </c>
      <c r="C221" s="262"/>
      <c r="D221" s="262"/>
      <c r="E221" s="262"/>
      <c r="F221" s="262"/>
      <c r="G221" s="262"/>
      <c r="H221" s="262"/>
      <c r="I221" s="262"/>
    </row>
  </sheetData>
  <mergeCells count="55">
    <mergeCell ref="B221:I221"/>
    <mergeCell ref="S213:V213"/>
    <mergeCell ref="S214:V214"/>
    <mergeCell ref="S215:V215"/>
    <mergeCell ref="S216:V216"/>
    <mergeCell ref="S217:V217"/>
    <mergeCell ref="S208:V208"/>
    <mergeCell ref="S209:V209"/>
    <mergeCell ref="S210:V210"/>
    <mergeCell ref="S211:V211"/>
    <mergeCell ref="S212:V212"/>
    <mergeCell ref="S203:V203"/>
    <mergeCell ref="S204:V204"/>
    <mergeCell ref="S205:V205"/>
    <mergeCell ref="S206:V206"/>
    <mergeCell ref="S207:V207"/>
    <mergeCell ref="S198:V198"/>
    <mergeCell ref="S199:V199"/>
    <mergeCell ref="S200:V200"/>
    <mergeCell ref="S201:V201"/>
    <mergeCell ref="S202:V202"/>
    <mergeCell ref="P193:Q193"/>
    <mergeCell ref="R193:T193"/>
    <mergeCell ref="P194:Q194"/>
    <mergeCell ref="R194:T194"/>
    <mergeCell ref="S197:V197"/>
    <mergeCell ref="C142:D142"/>
    <mergeCell ref="G142:H142"/>
    <mergeCell ref="B151:F151"/>
    <mergeCell ref="P151:W151"/>
    <mergeCell ref="B192:F192"/>
    <mergeCell ref="P192:U192"/>
    <mergeCell ref="C139:D139"/>
    <mergeCell ref="G139:H139"/>
    <mergeCell ref="C140:D140"/>
    <mergeCell ref="G140:H140"/>
    <mergeCell ref="C141:D141"/>
    <mergeCell ref="G141:H141"/>
    <mergeCell ref="C136:D136"/>
    <mergeCell ref="G136:H136"/>
    <mergeCell ref="C137:D137"/>
    <mergeCell ref="G137:H137"/>
    <mergeCell ref="C138:D138"/>
    <mergeCell ref="G138:H138"/>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37:H142">
    <cfRule type="expression" dxfId="71" priority="4">
      <formula>$G137&gt;=0.8</formula>
    </cfRule>
    <cfRule type="expression" dxfId="70" priority="5">
      <formula>AND($G137&gt;=0.5,$G137&lt;0.8)</formula>
    </cfRule>
    <cfRule type="expression" dxfId="69" priority="6">
      <formula>$G137&lt;0.5</formula>
    </cfRule>
  </conditionalFormatting>
  <conditionalFormatting sqref="K137:K142">
    <cfRule type="cellIs" dxfId="68" priority="7" operator="greaterThan">
      <formula>0</formula>
    </cfRule>
  </conditionalFormatting>
  <conditionalFormatting sqref="L137:L142">
    <cfRule type="cellIs" dxfId="67" priority="8" operator="greaterThan">
      <formula>0</formula>
    </cfRule>
  </conditionalFormatting>
  <conditionalFormatting sqref="M137:M142">
    <cfRule type="cellIs" dxfId="66" priority="9" operator="greaterThan">
      <formula>0</formula>
    </cfRule>
  </conditionalFormatting>
  <conditionalFormatting sqref="N137:N142">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56" xr:uid="{00000000-0002-0000-0100-000000000000}">
      <formula1>0</formula1>
      <formula2>C16</formula2>
    </dataValidation>
    <dataValidation type="whole" allowBlank="1" showErrorMessage="1" errorTitle="Invalid count" error="Value must be between 0 and the current implemented total." sqref="S156" xr:uid="{00000000-0002-0000-0100-000001000000}">
      <formula1>0</formula1>
      <formula2>C99</formula2>
    </dataValidation>
    <dataValidation type="whole" allowBlank="1" showErrorMessage="1" errorTitle="Invalid count" error="Value must be between 0 and the current implemented total." sqref="U156" xr:uid="{00000000-0002-0000-0100-000002000000}">
      <formula1>0</formula1>
      <formula2>C100</formula2>
    </dataValidation>
    <dataValidation type="whole" allowBlank="1" showErrorMessage="1" errorTitle="Invalid count" error="Value must be between 0 and the current implemented total." sqref="W156" xr:uid="{00000000-0002-0000-0100-000003000000}">
      <formula1>0</formula1>
      <formula2>C101</formula2>
    </dataValidation>
    <dataValidation type="whole" allowBlank="1" showErrorMessage="1" errorTitle="Invalid overall count" error="Overall count must be between 0 and the current implemented total." sqref="Q157" xr:uid="{00000000-0002-0000-0100-000004000000}">
      <formula1>0</formula1>
      <formula2>C16</formula2>
    </dataValidation>
    <dataValidation type="whole" allowBlank="1" showErrorMessage="1" errorTitle="Invalid count" error="Value must be between 0 and the current implemented total." sqref="S157" xr:uid="{00000000-0002-0000-0100-000005000000}">
      <formula1>0</formula1>
      <formula2>C99</formula2>
    </dataValidation>
    <dataValidation type="whole" allowBlank="1" showErrorMessage="1" errorTitle="Invalid count" error="Value must be between 0 and the current implemented total." sqref="U157" xr:uid="{00000000-0002-0000-0100-000006000000}">
      <formula1>0</formula1>
      <formula2>C100</formula2>
    </dataValidation>
    <dataValidation type="whole" allowBlank="1" showErrorMessage="1" errorTitle="Invalid count" error="Value must be between 0 and the current implemented total." sqref="W157" xr:uid="{00000000-0002-0000-0100-000007000000}">
      <formula1>0</formula1>
      <formula2>C101</formula2>
    </dataValidation>
    <dataValidation type="whole" allowBlank="1" showErrorMessage="1" errorTitle="Invalid overall count" error="Overall count must be between 0 and the current implemented total." sqref="Q158" xr:uid="{00000000-0002-0000-0100-000008000000}">
      <formula1>0</formula1>
      <formula2>C16</formula2>
    </dataValidation>
    <dataValidation type="whole" allowBlank="1" showErrorMessage="1" errorTitle="Invalid count" error="Value must be between 0 and the current implemented total." sqref="S158" xr:uid="{00000000-0002-0000-0100-000009000000}">
      <formula1>0</formula1>
      <formula2>C99</formula2>
    </dataValidation>
    <dataValidation type="whole" allowBlank="1" showErrorMessage="1" errorTitle="Invalid count" error="Value must be between 0 and the current implemented total." sqref="U158" xr:uid="{00000000-0002-0000-0100-00000A000000}">
      <formula1>0</formula1>
      <formula2>C100</formula2>
    </dataValidation>
    <dataValidation type="whole" allowBlank="1" showErrorMessage="1" errorTitle="Invalid count" error="Value must be between 0 and the current implemented total." sqref="W158" xr:uid="{00000000-0002-0000-0100-00000B000000}">
      <formula1>0</formula1>
      <formula2>C101</formula2>
    </dataValidation>
    <dataValidation type="whole" allowBlank="1" showErrorMessage="1" errorTitle="Invalid overall count" error="Overall count must be between 0 and the current implemented total." sqref="Q159" xr:uid="{00000000-0002-0000-0100-00000C000000}">
      <formula1>0</formula1>
      <formula2>C16</formula2>
    </dataValidation>
    <dataValidation type="whole" allowBlank="1" showErrorMessage="1" errorTitle="Invalid count" error="Value must be between 0 and the current implemented total." sqref="S159" xr:uid="{00000000-0002-0000-0100-00000D000000}">
      <formula1>0</formula1>
      <formula2>C99</formula2>
    </dataValidation>
    <dataValidation type="whole" allowBlank="1" showErrorMessage="1" errorTitle="Invalid count" error="Value must be between 0 and the current implemented total." sqref="U159" xr:uid="{00000000-0002-0000-0100-00000E000000}">
      <formula1>0</formula1>
      <formula2>C100</formula2>
    </dataValidation>
    <dataValidation type="whole" allowBlank="1" showErrorMessage="1" errorTitle="Invalid count" error="Value must be between 0 and the current implemented total." sqref="W159" xr:uid="{00000000-0002-0000-0100-00000F000000}">
      <formula1>0</formula1>
      <formula2>C101</formula2>
    </dataValidation>
    <dataValidation type="whole" allowBlank="1" showErrorMessage="1" errorTitle="Invalid overall count" error="Overall count must be between 0 and the current implemented total." sqref="Q160" xr:uid="{00000000-0002-0000-0100-000010000000}">
      <formula1>0</formula1>
      <formula2>C16</formula2>
    </dataValidation>
    <dataValidation type="whole" allowBlank="1" showErrorMessage="1" errorTitle="Invalid count" error="Value must be between 0 and the current implemented total." sqref="S160" xr:uid="{00000000-0002-0000-0100-000011000000}">
      <formula1>0</formula1>
      <formula2>C99</formula2>
    </dataValidation>
    <dataValidation type="whole" allowBlank="1" showErrorMessage="1" errorTitle="Invalid count" error="Value must be between 0 and the current implemented total." sqref="U160" xr:uid="{00000000-0002-0000-0100-000012000000}">
      <formula1>0</formula1>
      <formula2>C100</formula2>
    </dataValidation>
    <dataValidation type="whole" allowBlank="1" showErrorMessage="1" errorTitle="Invalid count" error="Value must be between 0 and the current implemented total." sqref="W160" xr:uid="{00000000-0002-0000-0100-000013000000}">
      <formula1>0</formula1>
      <formula2>C101</formula2>
    </dataValidation>
    <dataValidation type="whole" allowBlank="1" showErrorMessage="1" errorTitle="Invalid overall count" error="Overall count must be between 0 and the current implemented total." sqref="Q161" xr:uid="{00000000-0002-0000-0100-000014000000}">
      <formula1>0</formula1>
      <formula2>C16</formula2>
    </dataValidation>
    <dataValidation type="whole" allowBlank="1" showErrorMessage="1" errorTitle="Invalid count" error="Value must be between 0 and the current implemented total." sqref="S161" xr:uid="{00000000-0002-0000-0100-000015000000}">
      <formula1>0</formula1>
      <formula2>C99</formula2>
    </dataValidation>
    <dataValidation type="whole" allowBlank="1" showErrorMessage="1" errorTitle="Invalid count" error="Value must be between 0 and the current implemented total." sqref="U161" xr:uid="{00000000-0002-0000-0100-000016000000}">
      <formula1>0</formula1>
      <formula2>C100</formula2>
    </dataValidation>
    <dataValidation type="whole" allowBlank="1" showErrorMessage="1" errorTitle="Invalid count" error="Value must be between 0 and the current implemented total." sqref="W161" xr:uid="{00000000-0002-0000-0100-000017000000}">
      <formula1>0</formula1>
      <formula2>C101</formula2>
    </dataValidation>
    <dataValidation type="whole" allowBlank="1" showErrorMessage="1" errorTitle="Invalid overall count" error="Overall count must be between 0 and the current implemented total." sqref="Q162" xr:uid="{00000000-0002-0000-0100-000018000000}">
      <formula1>0</formula1>
      <formula2>C16</formula2>
    </dataValidation>
    <dataValidation type="whole" allowBlank="1" showErrorMessage="1" errorTitle="Invalid count" error="Value must be between 0 and the current implemented total." sqref="S162" xr:uid="{00000000-0002-0000-0100-000019000000}">
      <formula1>0</formula1>
      <formula2>C99</formula2>
    </dataValidation>
    <dataValidation type="whole" allowBlank="1" showErrorMessage="1" errorTitle="Invalid count" error="Value must be between 0 and the current implemented total." sqref="U162" xr:uid="{00000000-0002-0000-0100-00001A000000}">
      <formula1>0</formula1>
      <formula2>C100</formula2>
    </dataValidation>
    <dataValidation type="whole" allowBlank="1" showErrorMessage="1" errorTitle="Invalid count" error="Value must be between 0 and the current implemented total." sqref="W162" xr:uid="{00000000-0002-0000-0100-00001B000000}">
      <formula1>0</formula1>
      <formula2>C101</formula2>
    </dataValidation>
    <dataValidation type="whole" allowBlank="1" showErrorMessage="1" errorTitle="Invalid overall count" error="Overall count must be between 0 and the current implemented total." sqref="Q163" xr:uid="{00000000-0002-0000-0100-00001C000000}">
      <formula1>0</formula1>
      <formula2>C16</formula2>
    </dataValidation>
    <dataValidation type="whole" allowBlank="1" showErrorMessage="1" errorTitle="Invalid count" error="Value must be between 0 and the current implemented total." sqref="S163" xr:uid="{00000000-0002-0000-0100-00001D000000}">
      <formula1>0</formula1>
      <formula2>C99</formula2>
    </dataValidation>
    <dataValidation type="whole" allowBlank="1" showErrorMessage="1" errorTitle="Invalid count" error="Value must be between 0 and the current implemented total." sqref="U163" xr:uid="{00000000-0002-0000-0100-00001E000000}">
      <formula1>0</formula1>
      <formula2>C100</formula2>
    </dataValidation>
    <dataValidation type="whole" allowBlank="1" showErrorMessage="1" errorTitle="Invalid count" error="Value must be between 0 and the current implemented total." sqref="W163" xr:uid="{00000000-0002-0000-0100-00001F000000}">
      <formula1>0</formula1>
      <formula2>C101</formula2>
    </dataValidation>
    <dataValidation type="whole" allowBlank="1" showErrorMessage="1" errorTitle="Invalid overall count" error="Overall count must be between 0 and the current implemented total." sqref="Q164" xr:uid="{00000000-0002-0000-0100-000020000000}">
      <formula1>0</formula1>
      <formula2>C16</formula2>
    </dataValidation>
    <dataValidation type="whole" allowBlank="1" showErrorMessage="1" errorTitle="Invalid count" error="Value must be between 0 and the current implemented total." sqref="S164" xr:uid="{00000000-0002-0000-0100-000021000000}">
      <formula1>0</formula1>
      <formula2>C99</formula2>
    </dataValidation>
    <dataValidation type="whole" allowBlank="1" showErrorMessage="1" errorTitle="Invalid count" error="Value must be between 0 and the current implemented total." sqref="U164" xr:uid="{00000000-0002-0000-0100-000022000000}">
      <formula1>0</formula1>
      <formula2>C100</formula2>
    </dataValidation>
    <dataValidation type="whole" allowBlank="1" showErrorMessage="1" errorTitle="Invalid count" error="Value must be between 0 and the current implemented total." sqref="W164" xr:uid="{00000000-0002-0000-0100-000023000000}">
      <formula1>0</formula1>
      <formula2>C101</formula2>
    </dataValidation>
    <dataValidation type="whole" allowBlank="1" showErrorMessage="1" errorTitle="Invalid overall count" error="Overall count must be between 0 and the current implemented total." sqref="Q165" xr:uid="{00000000-0002-0000-0100-000024000000}">
      <formula1>0</formula1>
      <formula2>C16</formula2>
    </dataValidation>
    <dataValidation type="whole" allowBlank="1" showErrorMessage="1" errorTitle="Invalid count" error="Value must be between 0 and the current implemented total." sqref="S165" xr:uid="{00000000-0002-0000-0100-000025000000}">
      <formula1>0</formula1>
      <formula2>C99</formula2>
    </dataValidation>
    <dataValidation type="whole" allowBlank="1" showErrorMessage="1" errorTitle="Invalid count" error="Value must be between 0 and the current implemented total." sqref="U165" xr:uid="{00000000-0002-0000-0100-000026000000}">
      <formula1>0</formula1>
      <formula2>C100</formula2>
    </dataValidation>
    <dataValidation type="whole" allowBlank="1" showErrorMessage="1" errorTitle="Invalid count" error="Value must be between 0 and the current implemented total." sqref="W165" xr:uid="{00000000-0002-0000-0100-000027000000}">
      <formula1>0</formula1>
      <formula2>C101</formula2>
    </dataValidation>
    <dataValidation type="whole" allowBlank="1" showErrorMessage="1" errorTitle="Invalid overall count" error="Overall count must be between 0 and the current implemented total." sqref="Q166" xr:uid="{00000000-0002-0000-0100-000028000000}">
      <formula1>0</formula1>
      <formula2>C16</formula2>
    </dataValidation>
    <dataValidation type="whole" allowBlank="1" showErrorMessage="1" errorTitle="Invalid count" error="Value must be between 0 and the current implemented total." sqref="S166" xr:uid="{00000000-0002-0000-0100-000029000000}">
      <formula1>0</formula1>
      <formula2>C99</formula2>
    </dataValidation>
    <dataValidation type="whole" allowBlank="1" showErrorMessage="1" errorTitle="Invalid count" error="Value must be between 0 and the current implemented total." sqref="U166" xr:uid="{00000000-0002-0000-0100-00002A000000}">
      <formula1>0</formula1>
      <formula2>C100</formula2>
    </dataValidation>
    <dataValidation type="whole" allowBlank="1" showErrorMessage="1" errorTitle="Invalid count" error="Value must be between 0 and the current implemented total." sqref="W166" xr:uid="{00000000-0002-0000-0100-00002B000000}">
      <formula1>0</formula1>
      <formula2>C101</formula2>
    </dataValidation>
    <dataValidation type="whole" allowBlank="1" showErrorMessage="1" errorTitle="Invalid overall count" error="Overall count must be between 0 and the current implemented total." sqref="Q167" xr:uid="{00000000-0002-0000-0100-00002C000000}">
      <formula1>0</formula1>
      <formula2>C16</formula2>
    </dataValidation>
    <dataValidation type="whole" allowBlank="1" showErrorMessage="1" errorTitle="Invalid count" error="Value must be between 0 and the current implemented total." sqref="S167" xr:uid="{00000000-0002-0000-0100-00002D000000}">
      <formula1>0</formula1>
      <formula2>C99</formula2>
    </dataValidation>
    <dataValidation type="whole" allowBlank="1" showErrorMessage="1" errorTitle="Invalid count" error="Value must be between 0 and the current implemented total." sqref="U167" xr:uid="{00000000-0002-0000-0100-00002E000000}">
      <formula1>0</formula1>
      <formula2>C100</formula2>
    </dataValidation>
    <dataValidation type="whole" allowBlank="1" showErrorMessage="1" errorTitle="Invalid count" error="Value must be between 0 and the current implemented total." sqref="W167" xr:uid="{00000000-0002-0000-0100-00002F000000}">
      <formula1>0</formula1>
      <formula2>C101</formula2>
    </dataValidation>
    <dataValidation type="whole" allowBlank="1" showErrorMessage="1" errorTitle="Invalid overall count" error="Overall count must be between 0 and the current implemented total." sqref="Q168" xr:uid="{00000000-0002-0000-0100-000030000000}">
      <formula1>0</formula1>
      <formula2>C16</formula2>
    </dataValidation>
    <dataValidation type="whole" allowBlank="1" showErrorMessage="1" errorTitle="Invalid count" error="Value must be between 0 and the current implemented total." sqref="S168" xr:uid="{00000000-0002-0000-0100-000031000000}">
      <formula1>0</formula1>
      <formula2>C99</formula2>
    </dataValidation>
    <dataValidation type="whole" allowBlank="1" showErrorMessage="1" errorTitle="Invalid count" error="Value must be between 0 and the current implemented total." sqref="U168" xr:uid="{00000000-0002-0000-0100-000032000000}">
      <formula1>0</formula1>
      <formula2>C100</formula2>
    </dataValidation>
    <dataValidation type="whole" allowBlank="1" showErrorMessage="1" errorTitle="Invalid count" error="Value must be between 0 and the current implemented total." sqref="W168" xr:uid="{00000000-0002-0000-0100-000033000000}">
      <formula1>0</formula1>
      <formula2>C101</formula2>
    </dataValidation>
    <dataValidation type="whole" allowBlank="1" showErrorMessage="1" errorTitle="Invalid overall count" error="Overall count must be between 0 and the current implemented total." sqref="Q169" xr:uid="{00000000-0002-0000-0100-000034000000}">
      <formula1>0</formula1>
      <formula2>C16</formula2>
    </dataValidation>
    <dataValidation type="whole" allowBlank="1" showErrorMessage="1" errorTitle="Invalid count" error="Value must be between 0 and the current implemented total." sqref="S169" xr:uid="{00000000-0002-0000-0100-000035000000}">
      <formula1>0</formula1>
      <formula2>C99</formula2>
    </dataValidation>
    <dataValidation type="whole" allowBlank="1" showErrorMessage="1" errorTitle="Invalid count" error="Value must be between 0 and the current implemented total." sqref="U169" xr:uid="{00000000-0002-0000-0100-000036000000}">
      <formula1>0</formula1>
      <formula2>C100</formula2>
    </dataValidation>
    <dataValidation type="whole" allowBlank="1" showErrorMessage="1" errorTitle="Invalid count" error="Value must be between 0 and the current implemented total." sqref="W169" xr:uid="{00000000-0002-0000-0100-000037000000}">
      <formula1>0</formula1>
      <formula2>C101</formula2>
    </dataValidation>
    <dataValidation type="whole" allowBlank="1" showErrorMessage="1" errorTitle="Invalid overall count" error="Overall count must be between 0 and the current implemented total." sqref="Q170" xr:uid="{00000000-0002-0000-0100-000038000000}">
      <formula1>0</formula1>
      <formula2>C16</formula2>
    </dataValidation>
    <dataValidation type="whole" allowBlank="1" showErrorMessage="1" errorTitle="Invalid count" error="Value must be between 0 and the current implemented total." sqref="S170" xr:uid="{00000000-0002-0000-0100-000039000000}">
      <formula1>0</formula1>
      <formula2>C99</formula2>
    </dataValidation>
    <dataValidation type="whole" allowBlank="1" showErrorMessage="1" errorTitle="Invalid count" error="Value must be between 0 and the current implemented total." sqref="U170" xr:uid="{00000000-0002-0000-0100-00003A000000}">
      <formula1>0</formula1>
      <formula2>C100</formula2>
    </dataValidation>
    <dataValidation type="whole" allowBlank="1" showErrorMessage="1" errorTitle="Invalid count" error="Value must be between 0 and the current implemented total." sqref="W170" xr:uid="{00000000-0002-0000-0100-00003B000000}">
      <formula1>0</formula1>
      <formula2>C101</formula2>
    </dataValidation>
    <dataValidation type="whole" allowBlank="1" showErrorMessage="1" errorTitle="Invalid overall count" error="Overall count must be between 0 and the current implemented total." sqref="Q171" xr:uid="{00000000-0002-0000-0100-00003C000000}">
      <formula1>0</formula1>
      <formula2>C16</formula2>
    </dataValidation>
    <dataValidation type="whole" allowBlank="1" showErrorMessage="1" errorTitle="Invalid count" error="Value must be between 0 and the current implemented total." sqref="S171" xr:uid="{00000000-0002-0000-0100-00003D000000}">
      <formula1>0</formula1>
      <formula2>C99</formula2>
    </dataValidation>
    <dataValidation type="whole" allowBlank="1" showErrorMessage="1" errorTitle="Invalid count" error="Value must be between 0 and the current implemented total." sqref="U171" xr:uid="{00000000-0002-0000-0100-00003E000000}">
      <formula1>0</formula1>
      <formula2>C100</formula2>
    </dataValidation>
    <dataValidation type="whole" allowBlank="1" showErrorMessage="1" errorTitle="Invalid count" error="Value must be between 0 and the current implemented total." sqref="W171" xr:uid="{00000000-0002-0000-0100-00003F000000}">
      <formula1>0</formula1>
      <formula2>C101</formula2>
    </dataValidation>
    <dataValidation type="whole" allowBlank="1" showErrorMessage="1" errorTitle="Invalid overall count" error="Overall count must be between 0 and the current implemented total." sqref="Q172" xr:uid="{00000000-0002-0000-0100-000040000000}">
      <formula1>0</formula1>
      <formula2>C16</formula2>
    </dataValidation>
    <dataValidation type="whole" allowBlank="1" showErrorMessage="1" errorTitle="Invalid count" error="Value must be between 0 and the current implemented total." sqref="S172" xr:uid="{00000000-0002-0000-0100-000041000000}">
      <formula1>0</formula1>
      <formula2>C99</formula2>
    </dataValidation>
    <dataValidation type="whole" allowBlank="1" showErrorMessage="1" errorTitle="Invalid count" error="Value must be between 0 and the current implemented total." sqref="U172" xr:uid="{00000000-0002-0000-0100-000042000000}">
      <formula1>0</formula1>
      <formula2>C100</formula2>
    </dataValidation>
    <dataValidation type="whole" allowBlank="1" showErrorMessage="1" errorTitle="Invalid count" error="Value must be between 0 and the current implemented total." sqref="W172" xr:uid="{00000000-0002-0000-0100-000043000000}">
      <formula1>0</formula1>
      <formula2>C101</formula2>
    </dataValidation>
    <dataValidation type="whole" allowBlank="1" showErrorMessage="1" errorTitle="Invalid overall count" error="Overall count must be between 0 and the current implemented total." sqref="Q173" xr:uid="{00000000-0002-0000-0100-000044000000}">
      <formula1>0</formula1>
      <formula2>C16</formula2>
    </dataValidation>
    <dataValidation type="whole" allowBlank="1" showErrorMessage="1" errorTitle="Invalid count" error="Value must be between 0 and the current implemented total." sqref="S173" xr:uid="{00000000-0002-0000-0100-000045000000}">
      <formula1>0</formula1>
      <formula2>C99</formula2>
    </dataValidation>
    <dataValidation type="whole" allowBlank="1" showErrorMessage="1" errorTitle="Invalid count" error="Value must be between 0 and the current implemented total." sqref="U173" xr:uid="{00000000-0002-0000-0100-000046000000}">
      <formula1>0</formula1>
      <formula2>C100</formula2>
    </dataValidation>
    <dataValidation type="whole" allowBlank="1" showErrorMessage="1" errorTitle="Invalid count" error="Value must be between 0 and the current implemented total." sqref="W173" xr:uid="{00000000-0002-0000-0100-000047000000}">
      <formula1>0</formula1>
      <formula2>C101</formula2>
    </dataValidation>
    <dataValidation type="whole" allowBlank="1" showErrorMessage="1" errorTitle="Invalid overall count" error="Overall count must be between 0 and the current implemented total." sqref="Q174" xr:uid="{00000000-0002-0000-0100-000048000000}">
      <formula1>0</formula1>
      <formula2>C16</formula2>
    </dataValidation>
    <dataValidation type="whole" allowBlank="1" showErrorMessage="1" errorTitle="Invalid count" error="Value must be between 0 and the current implemented total." sqref="S174" xr:uid="{00000000-0002-0000-0100-000049000000}">
      <formula1>0</formula1>
      <formula2>C99</formula2>
    </dataValidation>
    <dataValidation type="whole" allowBlank="1" showErrorMessage="1" errorTitle="Invalid count" error="Value must be between 0 and the current implemented total." sqref="U174" xr:uid="{00000000-0002-0000-0100-00004A000000}">
      <formula1>0</formula1>
      <formula2>C100</formula2>
    </dataValidation>
    <dataValidation type="whole" allowBlank="1" showErrorMessage="1" errorTitle="Invalid count" error="Value must be between 0 and the current implemented total." sqref="W174" xr:uid="{00000000-0002-0000-0100-00004B000000}">
      <formula1>0</formula1>
      <formula2>C101</formula2>
    </dataValidation>
    <dataValidation type="whole" allowBlank="1" showErrorMessage="1" errorTitle="Invalid overall count" error="Overall count must be between 0 and the current implemented total." sqref="Q175" xr:uid="{00000000-0002-0000-0100-00004C000000}">
      <formula1>0</formula1>
      <formula2>C16</formula2>
    </dataValidation>
    <dataValidation type="whole" allowBlank="1" showErrorMessage="1" errorTitle="Invalid count" error="Value must be between 0 and the current implemented total." sqref="S175" xr:uid="{00000000-0002-0000-0100-00004D000000}">
      <formula1>0</formula1>
      <formula2>C99</formula2>
    </dataValidation>
    <dataValidation type="whole" allowBlank="1" showErrorMessage="1" errorTitle="Invalid count" error="Value must be between 0 and the current implemented total." sqref="U175" xr:uid="{00000000-0002-0000-0100-00004E000000}">
      <formula1>0</formula1>
      <formula2>C100</formula2>
    </dataValidation>
    <dataValidation type="whole" allowBlank="1" showErrorMessage="1" errorTitle="Invalid count" error="Value must be between 0 and the current implemented total." sqref="W175" xr:uid="{00000000-0002-0000-0100-00004F000000}">
      <formula1>0</formula1>
      <formula2>C101</formula2>
    </dataValidation>
    <dataValidation type="whole" allowBlank="1" showErrorMessage="1" errorTitle="Invalid overall count" error="Overall count must be between 0 and the current implemented total." sqref="Q176" xr:uid="{00000000-0002-0000-0100-000050000000}">
      <formula1>0</formula1>
      <formula2>C16</formula2>
    </dataValidation>
    <dataValidation type="whole" allowBlank="1" showErrorMessage="1" errorTitle="Invalid count" error="Value must be between 0 and the current implemented total." sqref="S176" xr:uid="{00000000-0002-0000-0100-000051000000}">
      <formula1>0</formula1>
      <formula2>C99</formula2>
    </dataValidation>
    <dataValidation type="whole" allowBlank="1" showErrorMessage="1" errorTitle="Invalid count" error="Value must be between 0 and the current implemented total." sqref="U176" xr:uid="{00000000-0002-0000-0100-000052000000}">
      <formula1>0</formula1>
      <formula2>C100</formula2>
    </dataValidation>
    <dataValidation type="whole" allowBlank="1" showErrorMessage="1" errorTitle="Invalid count" error="Value must be between 0 and the current implemented total." sqref="W176" xr:uid="{00000000-0002-0000-0100-000053000000}">
      <formula1>0</formula1>
      <formula2>C101</formula2>
    </dataValidation>
    <dataValidation type="whole" allowBlank="1" showErrorMessage="1" errorTitle="Invalid overall count" error="Overall count must be between 0 and the current implemented total." sqref="Q177" xr:uid="{00000000-0002-0000-0100-000054000000}">
      <formula1>0</formula1>
      <formula2>C16</formula2>
    </dataValidation>
    <dataValidation type="whole" allowBlank="1" showErrorMessage="1" errorTitle="Invalid count" error="Value must be between 0 and the current implemented total." sqref="S177" xr:uid="{00000000-0002-0000-0100-000055000000}">
      <formula1>0</formula1>
      <formula2>C99</formula2>
    </dataValidation>
    <dataValidation type="whole" allowBlank="1" showErrorMessage="1" errorTitle="Invalid count" error="Value must be between 0 and the current implemented total." sqref="U177" xr:uid="{00000000-0002-0000-0100-000056000000}">
      <formula1>0</formula1>
      <formula2>C100</formula2>
    </dataValidation>
    <dataValidation type="whole" allowBlank="1" showErrorMessage="1" errorTitle="Invalid count" error="Value must be between 0 and the current implemented total." sqref="W177" xr:uid="{00000000-0002-0000-0100-000057000000}">
      <formula1>0</formula1>
      <formula2>C101</formula2>
    </dataValidation>
    <dataValidation type="whole" allowBlank="1" showErrorMessage="1" errorTitle="Invalid overall count" error="Overall count must be between 0 and the current implemented total." sqref="Q178" xr:uid="{00000000-0002-0000-0100-000058000000}">
      <formula1>0</formula1>
      <formula2>C16</formula2>
    </dataValidation>
    <dataValidation type="whole" allowBlank="1" showErrorMessage="1" errorTitle="Invalid count" error="Value must be between 0 and the current implemented total." sqref="S178" xr:uid="{00000000-0002-0000-0100-000059000000}">
      <formula1>0</formula1>
      <formula2>C99</formula2>
    </dataValidation>
    <dataValidation type="whole" allowBlank="1" showErrorMessage="1" errorTitle="Invalid count" error="Value must be between 0 and the current implemented total." sqref="U178" xr:uid="{00000000-0002-0000-0100-00005A000000}">
      <formula1>0</formula1>
      <formula2>C100</formula2>
    </dataValidation>
    <dataValidation type="whole" allowBlank="1" showErrorMessage="1" errorTitle="Invalid count" error="Value must be between 0 and the current implemented total." sqref="W178" xr:uid="{00000000-0002-0000-0100-00005B000000}">
      <formula1>0</formula1>
      <formula2>C101</formula2>
    </dataValidation>
    <dataValidation type="whole" allowBlank="1" showErrorMessage="1" errorTitle="Invalid overall count" error="Overall count must be between 0 and the current implemented total." sqref="Q179" xr:uid="{00000000-0002-0000-0100-00005C000000}">
      <formula1>0</formula1>
      <formula2>C16</formula2>
    </dataValidation>
    <dataValidation type="whole" allowBlank="1" showErrorMessage="1" errorTitle="Invalid count" error="Value must be between 0 and the current implemented total." sqref="S179" xr:uid="{00000000-0002-0000-0100-00005D000000}">
      <formula1>0</formula1>
      <formula2>C99</formula2>
    </dataValidation>
    <dataValidation type="whole" allowBlank="1" showErrorMessage="1" errorTitle="Invalid count" error="Value must be between 0 and the current implemented total." sqref="U179" xr:uid="{00000000-0002-0000-0100-00005E000000}">
      <formula1>0</formula1>
      <formula2>C100</formula2>
    </dataValidation>
    <dataValidation type="whole" allowBlank="1" showErrorMessage="1" errorTitle="Invalid count" error="Value must be between 0 and the current implemented total." sqref="W179" xr:uid="{00000000-0002-0000-0100-00005F000000}">
      <formula1>0</formula1>
      <formula2>C101</formula2>
    </dataValidation>
    <dataValidation type="whole" allowBlank="1" showErrorMessage="1" errorTitle="Invalid overall count" error="Overall count must be between 0 and the current implemented total." sqref="Q180" xr:uid="{00000000-0002-0000-0100-000060000000}">
      <formula1>0</formula1>
      <formula2>C16</formula2>
    </dataValidation>
    <dataValidation type="whole" allowBlank="1" showErrorMessage="1" errorTitle="Invalid count" error="Value must be between 0 and the current implemented total." sqref="S180" xr:uid="{00000000-0002-0000-0100-000061000000}">
      <formula1>0</formula1>
      <formula2>C99</formula2>
    </dataValidation>
    <dataValidation type="whole" allowBlank="1" showErrorMessage="1" errorTitle="Invalid count" error="Value must be between 0 and the current implemented total." sqref="U180" xr:uid="{00000000-0002-0000-0100-000062000000}">
      <formula1>0</formula1>
      <formula2>C100</formula2>
    </dataValidation>
    <dataValidation type="whole" allowBlank="1" showErrorMessage="1" errorTitle="Invalid count" error="Value must be between 0 and the current implemented total." sqref="W180" xr:uid="{00000000-0002-0000-0100-000063000000}">
      <formula1>0</formula1>
      <formula2>C101</formula2>
    </dataValidation>
    <dataValidation type="whole" allowBlank="1" showErrorMessage="1" errorTitle="Invalid overall count" error="Overall count must be between 0 and the current implemented total." sqref="Q181" xr:uid="{00000000-0002-0000-0100-000064000000}">
      <formula1>0</formula1>
      <formula2>C16</formula2>
    </dataValidation>
    <dataValidation type="whole" allowBlank="1" showErrorMessage="1" errorTitle="Invalid count" error="Value must be between 0 and the current implemented total." sqref="S181" xr:uid="{00000000-0002-0000-0100-000065000000}">
      <formula1>0</formula1>
      <formula2>C99</formula2>
    </dataValidation>
    <dataValidation type="whole" allowBlank="1" showErrorMessage="1" errorTitle="Invalid count" error="Value must be between 0 and the current implemented total." sqref="U181" xr:uid="{00000000-0002-0000-0100-000066000000}">
      <formula1>0</formula1>
      <formula2>C100</formula2>
    </dataValidation>
    <dataValidation type="whole" allowBlank="1" showErrorMessage="1" errorTitle="Invalid count" error="Value must be between 0 and the current implemented total." sqref="W181" xr:uid="{00000000-0002-0000-0100-000067000000}">
      <formula1>0</formula1>
      <formula2>C101</formula2>
    </dataValidation>
    <dataValidation type="whole" allowBlank="1" showErrorMessage="1" errorTitle="Invalid overall count" error="Overall count must be between 0 and the current implemented total." sqref="Q182" xr:uid="{00000000-0002-0000-0100-000068000000}">
      <formula1>0</formula1>
      <formula2>C16</formula2>
    </dataValidation>
    <dataValidation type="whole" allowBlank="1" showErrorMessage="1" errorTitle="Invalid count" error="Value must be between 0 and the current implemented total." sqref="S182" xr:uid="{00000000-0002-0000-0100-000069000000}">
      <formula1>0</formula1>
      <formula2>C99</formula2>
    </dataValidation>
    <dataValidation type="whole" allowBlank="1" showErrorMessage="1" errorTitle="Invalid count" error="Value must be between 0 and the current implemented total." sqref="U182" xr:uid="{00000000-0002-0000-0100-00006A000000}">
      <formula1>0</formula1>
      <formula2>C100</formula2>
    </dataValidation>
    <dataValidation type="whole" allowBlank="1" showErrorMessage="1" errorTitle="Invalid count" error="Value must be between 0 and the current implemented total." sqref="W182" xr:uid="{00000000-0002-0000-0100-00006B000000}">
      <formula1>0</formula1>
      <formula2>C101</formula2>
    </dataValidation>
    <dataValidation type="whole" allowBlank="1" showErrorMessage="1" errorTitle="Invalid overall count" error="Overall count must be between 0 and the current implemented total." sqref="Q183" xr:uid="{00000000-0002-0000-0100-00006C000000}">
      <formula1>0</formula1>
      <formula2>C16</formula2>
    </dataValidation>
    <dataValidation type="whole" allowBlank="1" showErrorMessage="1" errorTitle="Invalid count" error="Value must be between 0 and the current implemented total." sqref="S183" xr:uid="{00000000-0002-0000-0100-00006D000000}">
      <formula1>0</formula1>
      <formula2>C99</formula2>
    </dataValidation>
    <dataValidation type="whole" allowBlank="1" showErrorMessage="1" errorTitle="Invalid count" error="Value must be between 0 and the current implemented total." sqref="U183" xr:uid="{00000000-0002-0000-0100-00006E000000}">
      <formula1>0</formula1>
      <formula2>C100</formula2>
    </dataValidation>
    <dataValidation type="whole" allowBlank="1" showErrorMessage="1" errorTitle="Invalid count" error="Value must be between 0 and the current implemented total." sqref="W183" xr:uid="{00000000-0002-0000-0100-00006F000000}">
      <formula1>0</formula1>
      <formula2>C101</formula2>
    </dataValidation>
    <dataValidation type="whole" allowBlank="1" showErrorMessage="1" errorTitle="Invalid overall count" error="Overall count must be between 0 and the current implemented total." sqref="Q184" xr:uid="{00000000-0002-0000-0100-000070000000}">
      <formula1>0</formula1>
      <formula2>C16</formula2>
    </dataValidation>
    <dataValidation type="whole" allowBlank="1" showErrorMessage="1" errorTitle="Invalid count" error="Value must be between 0 and the current implemented total." sqref="S184" xr:uid="{00000000-0002-0000-0100-000071000000}">
      <formula1>0</formula1>
      <formula2>C99</formula2>
    </dataValidation>
    <dataValidation type="whole" allowBlank="1" showErrorMessage="1" errorTitle="Invalid count" error="Value must be between 0 and the current implemented total." sqref="U184" xr:uid="{00000000-0002-0000-0100-000072000000}">
      <formula1>0</formula1>
      <formula2>C100</formula2>
    </dataValidation>
    <dataValidation type="whole" allowBlank="1" showErrorMessage="1" errorTitle="Invalid count" error="Value must be between 0 and the current implemented total." sqref="W184" xr:uid="{00000000-0002-0000-0100-000073000000}">
      <formula1>0</formula1>
      <formula2>C101</formula2>
    </dataValidation>
    <dataValidation type="whole" allowBlank="1" showErrorMessage="1" errorTitle="Invalid overall count" error="Overall count must be between 0 and the current implemented total." sqref="Q185" xr:uid="{00000000-0002-0000-0100-000074000000}">
      <formula1>0</formula1>
      <formula2>C16</formula2>
    </dataValidation>
    <dataValidation type="whole" allowBlank="1" showErrorMessage="1" errorTitle="Invalid count" error="Value must be between 0 and the current implemented total." sqref="S185" xr:uid="{00000000-0002-0000-0100-000075000000}">
      <formula1>0</formula1>
      <formula2>C99</formula2>
    </dataValidation>
    <dataValidation type="whole" allowBlank="1" showErrorMessage="1" errorTitle="Invalid count" error="Value must be between 0 and the current implemented total." sqref="U185" xr:uid="{00000000-0002-0000-0100-000076000000}">
      <formula1>0</formula1>
      <formula2>C100</formula2>
    </dataValidation>
    <dataValidation type="whole" allowBlank="1" showErrorMessage="1" errorTitle="Invalid count" error="Value must be between 0 and the current implemented total." sqref="W185" xr:uid="{00000000-0002-0000-0100-000077000000}">
      <formula1>0</formula1>
      <formula2>C101</formula2>
    </dataValidation>
    <dataValidation type="whole" allowBlank="1" showErrorMessage="1" errorTitle="Invalid Asset Count" error="Value must be between 0 and the Total Asset Numbers above." sqref="Q198" xr:uid="{00000000-0002-0000-0100-000078000000}">
      <formula1>0</formula1>
      <formula2>$P194</formula2>
    </dataValidation>
    <dataValidation type="whole" allowBlank="1" showErrorMessage="1" errorTitle="Invalid Asset Count" error="Value must be between 0 and the Total Asset Numbers above." sqref="Q199" xr:uid="{00000000-0002-0000-0100-000079000000}">
      <formula1>0</formula1>
      <formula2>$P194</formula2>
    </dataValidation>
    <dataValidation type="whole" allowBlank="1" showErrorMessage="1" errorTitle="Invalid Asset Count" error="Value must be between 0 and the Total Asset Numbers above." sqref="Q200" xr:uid="{00000000-0002-0000-0100-00007A000000}">
      <formula1>0</formula1>
      <formula2>$P194</formula2>
    </dataValidation>
    <dataValidation type="whole" allowBlank="1" showErrorMessage="1" errorTitle="Invalid Asset Count" error="Value must be between 0 and the Total Asset Numbers above." sqref="Q201" xr:uid="{00000000-0002-0000-0100-00007B000000}">
      <formula1>0</formula1>
      <formula2>$P194</formula2>
    </dataValidation>
    <dataValidation type="whole" allowBlank="1" showErrorMessage="1" errorTitle="Invalid Asset Count" error="Value must be between 0 and the Total Asset Numbers above." sqref="Q202" xr:uid="{00000000-0002-0000-0100-00007C000000}">
      <formula1>0</formula1>
      <formula2>$P194</formula2>
    </dataValidation>
    <dataValidation type="whole" allowBlank="1" showErrorMessage="1" errorTitle="Invalid Asset Count" error="Value must be between 0 and the Total Asset Numbers above." sqref="Q203" xr:uid="{00000000-0002-0000-0100-00007D000000}">
      <formula1>0</formula1>
      <formula2>$P194</formula2>
    </dataValidation>
    <dataValidation type="whole" allowBlank="1" showErrorMessage="1" errorTitle="Invalid Asset Count" error="Value must be between 0 and the Total Asset Numbers above." sqref="Q204" xr:uid="{00000000-0002-0000-0100-00007E000000}">
      <formula1>0</formula1>
      <formula2>$P194</formula2>
    </dataValidation>
    <dataValidation type="whole" allowBlank="1" showErrorMessage="1" errorTitle="Invalid Asset Count" error="Value must be between 0 and the Total Asset Numbers above." sqref="Q205" xr:uid="{00000000-0002-0000-0100-00007F000000}">
      <formula1>0</formula1>
      <formula2>$P194</formula2>
    </dataValidation>
    <dataValidation type="whole" allowBlank="1" showErrorMessage="1" errorTitle="Invalid Asset Count" error="Value must be between 0 and the Total Asset Numbers above." sqref="Q206" xr:uid="{00000000-0002-0000-0100-000080000000}">
      <formula1>0</formula1>
      <formula2>$P194</formula2>
    </dataValidation>
    <dataValidation type="whole" allowBlank="1" showErrorMessage="1" errorTitle="Invalid Asset Count" error="Value must be between 0 and the Total Asset Numbers above." sqref="Q207" xr:uid="{00000000-0002-0000-0100-000081000000}">
      <formula1>0</formula1>
      <formula2>$P194</formula2>
    </dataValidation>
    <dataValidation type="whole" allowBlank="1" showErrorMessage="1" errorTitle="Invalid Asset Count" error="Value must be between 0 and the Total Asset Numbers above." sqref="Q208" xr:uid="{00000000-0002-0000-0100-000082000000}">
      <formula1>0</formula1>
      <formula2>$P194</formula2>
    </dataValidation>
    <dataValidation type="whole" allowBlank="1" showErrorMessage="1" errorTitle="Invalid Asset Count" error="Value must be between 0 and the Total Asset Numbers above." sqref="Q209" xr:uid="{00000000-0002-0000-0100-000083000000}">
      <formula1>0</formula1>
      <formula2>$P194</formula2>
    </dataValidation>
    <dataValidation type="whole" allowBlank="1" showErrorMessage="1" errorTitle="Invalid Asset Count" error="Value must be between 0 and the Total Asset Numbers above." sqref="Q210" xr:uid="{00000000-0002-0000-0100-000084000000}">
      <formula1>0</formula1>
      <formula2>$P194</formula2>
    </dataValidation>
    <dataValidation type="whole" allowBlank="1" showErrorMessage="1" errorTitle="Invalid Asset Count" error="Value must be between 0 and the Total Asset Numbers above." sqref="Q211" xr:uid="{00000000-0002-0000-0100-000085000000}">
      <formula1>0</formula1>
      <formula2>$P194</formula2>
    </dataValidation>
    <dataValidation type="whole" allowBlank="1" showErrorMessage="1" errorTitle="Invalid Asset Count" error="Value must be between 0 and the Total Asset Numbers above." sqref="Q212" xr:uid="{00000000-0002-0000-0100-000086000000}">
      <formula1>0</formula1>
      <formula2>$P194</formula2>
    </dataValidation>
    <dataValidation type="whole" allowBlank="1" showErrorMessage="1" errorTitle="Invalid Asset Count" error="Value must be between 0 and the Total Asset Numbers above." sqref="Q213" xr:uid="{00000000-0002-0000-0100-000087000000}">
      <formula1>0</formula1>
      <formula2>$P194</formula2>
    </dataValidation>
    <dataValidation type="whole" allowBlank="1" showErrorMessage="1" errorTitle="Invalid Asset Count" error="Value must be between 0 and the Total Asset Numbers above." sqref="Q214" xr:uid="{00000000-0002-0000-0100-000088000000}">
      <formula1>0</formula1>
      <formula2>$P194</formula2>
    </dataValidation>
    <dataValidation type="whole" allowBlank="1" showErrorMessage="1" errorTitle="Invalid Asset Count" error="Value must be between 0 and the Total Asset Numbers above." sqref="Q215" xr:uid="{00000000-0002-0000-0100-000089000000}">
      <formula1>0</formula1>
      <formula2>$P194</formula2>
    </dataValidation>
    <dataValidation type="whole" allowBlank="1" showErrorMessage="1" errorTitle="Invalid Asset Count" error="Value must be between 0 and the Total Asset Numbers above." sqref="Q216" xr:uid="{00000000-0002-0000-0100-00008A000000}">
      <formula1>0</formula1>
      <formula2>$P194</formula2>
    </dataValidation>
    <dataValidation type="whole" allowBlank="1" showErrorMessage="1" errorTitle="Invalid Asset Count" error="Value must be between 0 and the Total Asset Numbers above." sqref="Q217" xr:uid="{00000000-0002-0000-0100-00008B000000}">
      <formula1>0</formula1>
      <formula2>$P194</formula2>
    </dataValidation>
  </dataValidations>
  <hyperlinks>
    <hyperlink ref="B22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23"/>
  <sheetViews>
    <sheetView workbookViewId="0">
      <pane xSplit="10" ySplit="1" topLeftCell="K2" activePane="bottomRight" state="frozen"/>
      <selection pane="topRight" activeCell="K1" sqref="K1"/>
      <selection pane="bottomLeft" activeCell="A2" sqref="A2"/>
      <selection pane="bottomRight"/>
    </sheetView>
  </sheetViews>
  <sheetFormatPr defaultRowHeight="14.5" outlineLevelCol="1" x14ac:dyDescent="0.35"/>
  <cols>
    <col min="1" max="1" width="30" customWidth="1" outlineLevel="1"/>
    <col min="2" max="2" width="15" customWidth="1"/>
    <col min="3" max="3" width="60" customWidth="1"/>
    <col min="4" max="5" width="10" customWidth="1" outlineLevel="1"/>
    <col min="6" max="7" width="12" customWidth="1" outlineLevel="1"/>
    <col min="8" max="8" width="13" customWidth="1" outlineLevel="1"/>
    <col min="9" max="9" width="10" customWidth="1" outlineLevel="1"/>
    <col min="10" max="10" width="15" customWidth="1"/>
    <col min="11" max="11" width="40" customWidth="1"/>
    <col min="12" max="13" width="55" customWidth="1"/>
    <col min="14" max="16" width="50" hidden="1" customWidth="1" outlineLevel="1" collapsed="1"/>
    <col min="17" max="17" width="30" hidden="1" customWidth="1" outlineLevel="1" collapsed="1"/>
    <col min="18" max="18" width="18" hidden="1" customWidth="1" outlineLevel="1" collapsed="1"/>
    <col min="19" max="19" width="12" customWidth="1"/>
  </cols>
  <sheetData>
    <row r="1" spans="1:19"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5" t="s">
        <v>18</v>
      </c>
    </row>
    <row r="2" spans="1:19" ht="60" customHeight="1" x14ac:dyDescent="0.35">
      <c r="A2" s="9" t="s">
        <v>19</v>
      </c>
      <c r="B2" s="2" t="s">
        <v>20</v>
      </c>
      <c r="C2" s="1" t="s">
        <v>21</v>
      </c>
      <c r="D2" s="3" t="s">
        <v>22</v>
      </c>
      <c r="E2" s="3" t="s">
        <v>23</v>
      </c>
      <c r="F2" s="3" t="s">
        <v>24</v>
      </c>
      <c r="G2" s="3" t="s">
        <v>25</v>
      </c>
      <c r="H2" s="3" t="s">
        <v>26</v>
      </c>
      <c r="I2" s="3" t="s">
        <v>27</v>
      </c>
      <c r="J2" s="3" t="s">
        <v>28</v>
      </c>
      <c r="K2" s="4" t="s">
        <v>28</v>
      </c>
      <c r="L2" s="4" t="s">
        <v>29</v>
      </c>
      <c r="M2" s="4" t="s">
        <v>30</v>
      </c>
      <c r="N2" s="4"/>
      <c r="O2" s="4"/>
      <c r="P2" s="4"/>
      <c r="Q2" s="4"/>
      <c r="R2" s="3" t="str">
        <f t="shared" ref="R2:R256" si="0">IF(OR(J2="Implemented",J2="Compensated"),"Resolved",IF(OR(J2="Risk Accepted",J2="N/A"),"Excluded",IF(J2="Testing","Testing","Outstanding")))</f>
        <v>Outstanding</v>
      </c>
      <c r="S2" s="11" t="s">
        <v>28</v>
      </c>
    </row>
    <row r="3" spans="1:19" ht="60" customHeight="1" x14ac:dyDescent="0.35">
      <c r="A3" s="9" t="s">
        <v>31</v>
      </c>
      <c r="B3" s="2" t="s">
        <v>32</v>
      </c>
      <c r="C3" s="1" t="s">
        <v>33</v>
      </c>
      <c r="D3" s="3" t="s">
        <v>22</v>
      </c>
      <c r="E3" s="3" t="s">
        <v>23</v>
      </c>
      <c r="F3" s="3" t="s">
        <v>24</v>
      </c>
      <c r="G3" s="3" t="s">
        <v>25</v>
      </c>
      <c r="H3" s="3" t="s">
        <v>26</v>
      </c>
      <c r="I3" s="3" t="s">
        <v>27</v>
      </c>
      <c r="J3" s="3" t="s">
        <v>28</v>
      </c>
      <c r="K3" s="4" t="s">
        <v>28</v>
      </c>
      <c r="L3" s="4" t="s">
        <v>34</v>
      </c>
      <c r="M3" s="4" t="s">
        <v>35</v>
      </c>
      <c r="N3" s="4"/>
      <c r="O3" s="4"/>
      <c r="P3" s="4"/>
      <c r="Q3" s="4"/>
      <c r="R3" s="3" t="str">
        <f t="shared" si="0"/>
        <v>Outstanding</v>
      </c>
      <c r="S3" s="11" t="s">
        <v>28</v>
      </c>
    </row>
    <row r="4" spans="1:19" ht="60" customHeight="1" x14ac:dyDescent="0.35">
      <c r="A4" s="9" t="s">
        <v>36</v>
      </c>
      <c r="B4" s="2" t="s">
        <v>37</v>
      </c>
      <c r="C4" s="1" t="s">
        <v>38</v>
      </c>
      <c r="D4" s="3" t="s">
        <v>22</v>
      </c>
      <c r="E4" s="3" t="s">
        <v>23</v>
      </c>
      <c r="F4" s="3" t="s">
        <v>24</v>
      </c>
      <c r="G4" s="3" t="s">
        <v>25</v>
      </c>
      <c r="H4" s="3" t="s">
        <v>26</v>
      </c>
      <c r="I4" s="3" t="s">
        <v>27</v>
      </c>
      <c r="J4" s="3" t="s">
        <v>28</v>
      </c>
      <c r="K4" s="4" t="s">
        <v>28</v>
      </c>
      <c r="L4" s="4" t="s">
        <v>39</v>
      </c>
      <c r="M4" s="4" t="s">
        <v>40</v>
      </c>
      <c r="N4" s="4"/>
      <c r="O4" s="4"/>
      <c r="P4" s="4"/>
      <c r="Q4" s="4"/>
      <c r="R4" s="3" t="str">
        <f t="shared" si="0"/>
        <v>Outstanding</v>
      </c>
      <c r="S4" s="11" t="s">
        <v>28</v>
      </c>
    </row>
    <row r="5" spans="1:19" ht="60" customHeight="1" x14ac:dyDescent="0.35">
      <c r="A5" s="9" t="s">
        <v>41</v>
      </c>
      <c r="B5" s="2" t="s">
        <v>42</v>
      </c>
      <c r="C5" s="1" t="s">
        <v>43</v>
      </c>
      <c r="D5" s="3" t="s">
        <v>22</v>
      </c>
      <c r="E5" s="3" t="s">
        <v>23</v>
      </c>
      <c r="F5" s="3" t="s">
        <v>24</v>
      </c>
      <c r="G5" s="3" t="s">
        <v>25</v>
      </c>
      <c r="H5" s="3" t="s">
        <v>26</v>
      </c>
      <c r="I5" s="3" t="s">
        <v>27</v>
      </c>
      <c r="J5" s="3" t="s">
        <v>28</v>
      </c>
      <c r="K5" s="4" t="s">
        <v>28</v>
      </c>
      <c r="L5" s="4" t="s">
        <v>44</v>
      </c>
      <c r="M5" s="4" t="s">
        <v>45</v>
      </c>
      <c r="N5" s="4"/>
      <c r="O5" s="4"/>
      <c r="P5" s="4"/>
      <c r="Q5" s="4"/>
      <c r="R5" s="3" t="str">
        <f t="shared" si="0"/>
        <v>Outstanding</v>
      </c>
      <c r="S5" s="11" t="s">
        <v>28</v>
      </c>
    </row>
    <row r="6" spans="1:19" ht="60" customHeight="1" x14ac:dyDescent="0.35">
      <c r="A6" s="9" t="s">
        <v>41</v>
      </c>
      <c r="B6" s="2" t="s">
        <v>46</v>
      </c>
      <c r="C6" s="1" t="s">
        <v>47</v>
      </c>
      <c r="D6" s="3" t="s">
        <v>22</v>
      </c>
      <c r="E6" s="3" t="s">
        <v>23</v>
      </c>
      <c r="F6" s="3" t="s">
        <v>48</v>
      </c>
      <c r="G6" s="3" t="s">
        <v>25</v>
      </c>
      <c r="H6" s="3" t="s">
        <v>26</v>
      </c>
      <c r="I6" s="3" t="s">
        <v>27</v>
      </c>
      <c r="J6" s="3" t="s">
        <v>28</v>
      </c>
      <c r="K6" s="4" t="s">
        <v>28</v>
      </c>
      <c r="L6" s="4" t="s">
        <v>49</v>
      </c>
      <c r="M6" s="4" t="s">
        <v>50</v>
      </c>
      <c r="N6" s="4" t="s">
        <v>51</v>
      </c>
      <c r="O6" s="4" t="s">
        <v>52</v>
      </c>
      <c r="P6" s="4" t="s">
        <v>53</v>
      </c>
      <c r="Q6" s="4" t="s">
        <v>54</v>
      </c>
      <c r="R6" s="3" t="str">
        <f t="shared" si="0"/>
        <v>Outstanding</v>
      </c>
      <c r="S6" s="11" t="s">
        <v>28</v>
      </c>
    </row>
    <row r="7" spans="1:19" ht="60" customHeight="1" x14ac:dyDescent="0.35">
      <c r="A7" s="9" t="s">
        <v>41</v>
      </c>
      <c r="B7" s="2" t="s">
        <v>55</v>
      </c>
      <c r="C7" s="1" t="s">
        <v>56</v>
      </c>
      <c r="D7" s="3" t="s">
        <v>22</v>
      </c>
      <c r="E7" s="3" t="s">
        <v>23</v>
      </c>
      <c r="F7" s="3" t="s">
        <v>48</v>
      </c>
      <c r="G7" s="3" t="s">
        <v>25</v>
      </c>
      <c r="H7" s="3" t="s">
        <v>26</v>
      </c>
      <c r="I7" s="3" t="s">
        <v>27</v>
      </c>
      <c r="J7" s="3" t="s">
        <v>28</v>
      </c>
      <c r="K7" s="4" t="s">
        <v>28</v>
      </c>
      <c r="L7" s="4" t="s">
        <v>57</v>
      </c>
      <c r="M7" s="4" t="s">
        <v>58</v>
      </c>
      <c r="N7" s="4" t="s">
        <v>59</v>
      </c>
      <c r="O7" s="4" t="s">
        <v>52</v>
      </c>
      <c r="P7" s="4" t="s">
        <v>60</v>
      </c>
      <c r="Q7" s="4" t="s">
        <v>54</v>
      </c>
      <c r="R7" s="3" t="str">
        <f t="shared" si="0"/>
        <v>Outstanding</v>
      </c>
      <c r="S7" s="11" t="s">
        <v>28</v>
      </c>
    </row>
    <row r="8" spans="1:19" ht="60" customHeight="1" x14ac:dyDescent="0.35">
      <c r="A8" s="9" t="s">
        <v>41</v>
      </c>
      <c r="B8" s="2" t="s">
        <v>61</v>
      </c>
      <c r="C8" s="1" t="s">
        <v>62</v>
      </c>
      <c r="D8" s="3" t="s">
        <v>22</v>
      </c>
      <c r="E8" s="3" t="s">
        <v>23</v>
      </c>
      <c r="F8" s="3" t="s">
        <v>48</v>
      </c>
      <c r="G8" s="3" t="s">
        <v>25</v>
      </c>
      <c r="H8" s="3" t="s">
        <v>26</v>
      </c>
      <c r="I8" s="3" t="s">
        <v>27</v>
      </c>
      <c r="J8" s="3" t="s">
        <v>28</v>
      </c>
      <c r="K8" s="4" t="s">
        <v>28</v>
      </c>
      <c r="L8" s="4" t="s">
        <v>63</v>
      </c>
      <c r="M8" s="4" t="s">
        <v>64</v>
      </c>
      <c r="N8" s="4" t="s">
        <v>65</v>
      </c>
      <c r="O8" s="4" t="s">
        <v>66</v>
      </c>
      <c r="P8" s="4" t="s">
        <v>67</v>
      </c>
      <c r="Q8" s="4" t="s">
        <v>54</v>
      </c>
      <c r="R8" s="3" t="str">
        <f t="shared" si="0"/>
        <v>Outstanding</v>
      </c>
      <c r="S8" s="11" t="s">
        <v>28</v>
      </c>
    </row>
    <row r="9" spans="1:19" ht="60" customHeight="1" x14ac:dyDescent="0.35">
      <c r="A9" s="9" t="s">
        <v>41</v>
      </c>
      <c r="B9" s="2" t="s">
        <v>68</v>
      </c>
      <c r="C9" s="1" t="s">
        <v>69</v>
      </c>
      <c r="D9" s="3" t="s">
        <v>22</v>
      </c>
      <c r="E9" s="3" t="s">
        <v>23</v>
      </c>
      <c r="F9" s="3" t="s">
        <v>48</v>
      </c>
      <c r="G9" s="3" t="s">
        <v>25</v>
      </c>
      <c r="H9" s="3" t="s">
        <v>26</v>
      </c>
      <c r="I9" s="3" t="s">
        <v>27</v>
      </c>
      <c r="J9" s="3" t="s">
        <v>28</v>
      </c>
      <c r="K9" s="4" t="s">
        <v>28</v>
      </c>
      <c r="L9" s="4" t="s">
        <v>70</v>
      </c>
      <c r="M9" s="4" t="s">
        <v>71</v>
      </c>
      <c r="N9" s="4" t="s">
        <v>72</v>
      </c>
      <c r="O9" s="4" t="s">
        <v>73</v>
      </c>
      <c r="P9" s="4" t="s">
        <v>74</v>
      </c>
      <c r="Q9" s="4" t="s">
        <v>54</v>
      </c>
      <c r="R9" s="3" t="str">
        <f t="shared" si="0"/>
        <v>Outstanding</v>
      </c>
      <c r="S9" s="11" t="s">
        <v>28</v>
      </c>
    </row>
    <row r="10" spans="1:19" ht="60" customHeight="1" x14ac:dyDescent="0.35">
      <c r="A10" s="9" t="s">
        <v>41</v>
      </c>
      <c r="B10" s="2" t="s">
        <v>75</v>
      </c>
      <c r="C10" s="1" t="s">
        <v>76</v>
      </c>
      <c r="D10" s="3" t="s">
        <v>22</v>
      </c>
      <c r="E10" s="3" t="s">
        <v>23</v>
      </c>
      <c r="F10" s="3" t="s">
        <v>48</v>
      </c>
      <c r="G10" s="3" t="s">
        <v>25</v>
      </c>
      <c r="H10" s="3" t="s">
        <v>26</v>
      </c>
      <c r="I10" s="3" t="s">
        <v>27</v>
      </c>
      <c r="J10" s="3" t="s">
        <v>28</v>
      </c>
      <c r="K10" s="4" t="s">
        <v>28</v>
      </c>
      <c r="L10" s="4" t="s">
        <v>77</v>
      </c>
      <c r="M10" s="4" t="s">
        <v>78</v>
      </c>
      <c r="N10" s="4" t="s">
        <v>79</v>
      </c>
      <c r="O10" s="4" t="s">
        <v>52</v>
      </c>
      <c r="P10" s="4" t="s">
        <v>80</v>
      </c>
      <c r="Q10" s="4" t="s">
        <v>54</v>
      </c>
      <c r="R10" s="3" t="str">
        <f t="shared" si="0"/>
        <v>Outstanding</v>
      </c>
      <c r="S10" s="11" t="s">
        <v>28</v>
      </c>
    </row>
    <row r="11" spans="1:19" ht="60" customHeight="1" x14ac:dyDescent="0.35">
      <c r="A11" s="9" t="s">
        <v>41</v>
      </c>
      <c r="B11" s="2" t="s">
        <v>81</v>
      </c>
      <c r="C11" s="1" t="s">
        <v>82</v>
      </c>
      <c r="D11" s="3" t="s">
        <v>22</v>
      </c>
      <c r="E11" s="3" t="s">
        <v>23</v>
      </c>
      <c r="F11" s="3" t="s">
        <v>48</v>
      </c>
      <c r="G11" s="3" t="s">
        <v>25</v>
      </c>
      <c r="H11" s="3" t="s">
        <v>26</v>
      </c>
      <c r="I11" s="3" t="s">
        <v>27</v>
      </c>
      <c r="J11" s="3" t="s">
        <v>28</v>
      </c>
      <c r="K11" s="4" t="s">
        <v>28</v>
      </c>
      <c r="L11" s="4" t="s">
        <v>83</v>
      </c>
      <c r="M11" s="4" t="s">
        <v>84</v>
      </c>
      <c r="N11" s="4" t="s">
        <v>85</v>
      </c>
      <c r="O11" s="4" t="s">
        <v>86</v>
      </c>
      <c r="P11" s="4" t="s">
        <v>87</v>
      </c>
      <c r="Q11" s="4" t="s">
        <v>54</v>
      </c>
      <c r="R11" s="3" t="str">
        <f t="shared" si="0"/>
        <v>Outstanding</v>
      </c>
      <c r="S11" s="11" t="s">
        <v>28</v>
      </c>
    </row>
    <row r="12" spans="1:19" ht="60" customHeight="1" x14ac:dyDescent="0.35">
      <c r="A12" s="9" t="s">
        <v>41</v>
      </c>
      <c r="B12" s="2" t="s">
        <v>88</v>
      </c>
      <c r="C12" s="1" t="s">
        <v>89</v>
      </c>
      <c r="D12" s="3" t="s">
        <v>22</v>
      </c>
      <c r="E12" s="3" t="s">
        <v>23</v>
      </c>
      <c r="F12" s="3" t="s">
        <v>48</v>
      </c>
      <c r="G12" s="3" t="s">
        <v>25</v>
      </c>
      <c r="H12" s="3" t="s">
        <v>26</v>
      </c>
      <c r="I12" s="3" t="s">
        <v>27</v>
      </c>
      <c r="J12" s="3" t="s">
        <v>28</v>
      </c>
      <c r="K12" s="4" t="s">
        <v>28</v>
      </c>
      <c r="L12" s="4" t="s">
        <v>90</v>
      </c>
      <c r="M12" s="4" t="s">
        <v>91</v>
      </c>
      <c r="N12" s="4" t="s">
        <v>92</v>
      </c>
      <c r="O12" s="4" t="s">
        <v>93</v>
      </c>
      <c r="P12" s="4" t="s">
        <v>94</v>
      </c>
      <c r="Q12" s="4" t="s">
        <v>54</v>
      </c>
      <c r="R12" s="3" t="str">
        <f t="shared" si="0"/>
        <v>Outstanding</v>
      </c>
      <c r="S12" s="11" t="s">
        <v>28</v>
      </c>
    </row>
    <row r="13" spans="1:19" ht="60" customHeight="1" x14ac:dyDescent="0.35">
      <c r="A13" s="9" t="s">
        <v>41</v>
      </c>
      <c r="B13" s="2" t="s">
        <v>95</v>
      </c>
      <c r="C13" s="1" t="s">
        <v>96</v>
      </c>
      <c r="D13" s="3" t="s">
        <v>22</v>
      </c>
      <c r="E13" s="3" t="s">
        <v>23</v>
      </c>
      <c r="F13" s="3" t="s">
        <v>48</v>
      </c>
      <c r="G13" s="3" t="s">
        <v>25</v>
      </c>
      <c r="H13" s="3" t="s">
        <v>26</v>
      </c>
      <c r="I13" s="3" t="s">
        <v>27</v>
      </c>
      <c r="J13" s="3" t="s">
        <v>28</v>
      </c>
      <c r="K13" s="4" t="s">
        <v>28</v>
      </c>
      <c r="L13" s="4" t="s">
        <v>97</v>
      </c>
      <c r="M13" s="4" t="s">
        <v>98</v>
      </c>
      <c r="N13" s="4" t="s">
        <v>99</v>
      </c>
      <c r="O13" s="4" t="s">
        <v>52</v>
      </c>
      <c r="P13" s="4" t="s">
        <v>100</v>
      </c>
      <c r="Q13" s="4" t="s">
        <v>54</v>
      </c>
      <c r="R13" s="3" t="str">
        <f t="shared" si="0"/>
        <v>Outstanding</v>
      </c>
      <c r="S13" s="11" t="s">
        <v>28</v>
      </c>
    </row>
    <row r="14" spans="1:19" ht="60" customHeight="1" x14ac:dyDescent="0.35">
      <c r="A14" s="9" t="s">
        <v>41</v>
      </c>
      <c r="B14" s="2" t="s">
        <v>101</v>
      </c>
      <c r="C14" s="1" t="s">
        <v>102</v>
      </c>
      <c r="D14" s="3" t="s">
        <v>22</v>
      </c>
      <c r="E14" s="3" t="s">
        <v>23</v>
      </c>
      <c r="F14" s="3" t="s">
        <v>48</v>
      </c>
      <c r="G14" s="3" t="s">
        <v>25</v>
      </c>
      <c r="H14" s="3" t="s">
        <v>26</v>
      </c>
      <c r="I14" s="3" t="s">
        <v>27</v>
      </c>
      <c r="J14" s="3" t="s">
        <v>28</v>
      </c>
      <c r="K14" s="4" t="s">
        <v>28</v>
      </c>
      <c r="L14" s="4" t="s">
        <v>103</v>
      </c>
      <c r="M14" s="4" t="s">
        <v>104</v>
      </c>
      <c r="N14" s="4" t="s">
        <v>105</v>
      </c>
      <c r="O14" s="4" t="s">
        <v>52</v>
      </c>
      <c r="P14" s="4" t="s">
        <v>106</v>
      </c>
      <c r="Q14" s="4" t="s">
        <v>54</v>
      </c>
      <c r="R14" s="3" t="str">
        <f t="shared" si="0"/>
        <v>Outstanding</v>
      </c>
      <c r="S14" s="11" t="s">
        <v>28</v>
      </c>
    </row>
    <row r="15" spans="1:19" ht="60" customHeight="1" x14ac:dyDescent="0.35">
      <c r="A15" s="9" t="s">
        <v>41</v>
      </c>
      <c r="B15" s="2" t="s">
        <v>107</v>
      </c>
      <c r="C15" s="1" t="s">
        <v>108</v>
      </c>
      <c r="D15" s="3" t="s">
        <v>22</v>
      </c>
      <c r="E15" s="3" t="s">
        <v>23</v>
      </c>
      <c r="F15" s="3" t="s">
        <v>48</v>
      </c>
      <c r="G15" s="3" t="s">
        <v>25</v>
      </c>
      <c r="H15" s="3" t="s">
        <v>26</v>
      </c>
      <c r="I15" s="3" t="s">
        <v>27</v>
      </c>
      <c r="J15" s="3" t="s">
        <v>28</v>
      </c>
      <c r="K15" s="4" t="s">
        <v>28</v>
      </c>
      <c r="L15" s="4" t="s">
        <v>109</v>
      </c>
      <c r="M15" s="4" t="s">
        <v>110</v>
      </c>
      <c r="N15" s="4" t="s">
        <v>111</v>
      </c>
      <c r="O15" s="4" t="s">
        <v>112</v>
      </c>
      <c r="P15" s="4" t="s">
        <v>113</v>
      </c>
      <c r="Q15" s="4" t="s">
        <v>54</v>
      </c>
      <c r="R15" s="3" t="str">
        <f t="shared" si="0"/>
        <v>Outstanding</v>
      </c>
      <c r="S15" s="11" t="s">
        <v>28</v>
      </c>
    </row>
    <row r="16" spans="1:19" ht="60" customHeight="1" x14ac:dyDescent="0.35">
      <c r="A16" s="9" t="s">
        <v>41</v>
      </c>
      <c r="B16" s="2" t="s">
        <v>114</v>
      </c>
      <c r="C16" s="1" t="s">
        <v>115</v>
      </c>
      <c r="D16" s="3" t="s">
        <v>22</v>
      </c>
      <c r="E16" s="3" t="s">
        <v>23</v>
      </c>
      <c r="F16" s="3" t="s">
        <v>48</v>
      </c>
      <c r="G16" s="3" t="s">
        <v>25</v>
      </c>
      <c r="H16" s="3" t="s">
        <v>26</v>
      </c>
      <c r="I16" s="3" t="s">
        <v>27</v>
      </c>
      <c r="J16" s="3" t="s">
        <v>28</v>
      </c>
      <c r="K16" s="4" t="s">
        <v>28</v>
      </c>
      <c r="L16" s="4" t="s">
        <v>116</v>
      </c>
      <c r="M16" s="4" t="s">
        <v>117</v>
      </c>
      <c r="N16" s="4" t="s">
        <v>118</v>
      </c>
      <c r="O16" s="4" t="s">
        <v>119</v>
      </c>
      <c r="P16" s="4" t="s">
        <v>120</v>
      </c>
      <c r="Q16" s="4" t="s">
        <v>54</v>
      </c>
      <c r="R16" s="3" t="str">
        <f t="shared" si="0"/>
        <v>Outstanding</v>
      </c>
      <c r="S16" s="11" t="s">
        <v>28</v>
      </c>
    </row>
    <row r="17" spans="1:19" ht="60" customHeight="1" x14ac:dyDescent="0.35">
      <c r="A17" s="9" t="s">
        <v>41</v>
      </c>
      <c r="B17" s="2" t="s">
        <v>121</v>
      </c>
      <c r="C17" s="1" t="s">
        <v>122</v>
      </c>
      <c r="D17" s="3" t="s">
        <v>22</v>
      </c>
      <c r="E17" s="3" t="s">
        <v>23</v>
      </c>
      <c r="F17" s="3" t="s">
        <v>48</v>
      </c>
      <c r="G17" s="3" t="s">
        <v>25</v>
      </c>
      <c r="H17" s="3" t="s">
        <v>26</v>
      </c>
      <c r="I17" s="3" t="s">
        <v>27</v>
      </c>
      <c r="J17" s="3" t="s">
        <v>28</v>
      </c>
      <c r="K17" s="4" t="s">
        <v>28</v>
      </c>
      <c r="L17" s="4" t="s">
        <v>123</v>
      </c>
      <c r="M17" s="4" t="s">
        <v>124</v>
      </c>
      <c r="N17" s="4" t="s">
        <v>125</v>
      </c>
      <c r="O17" s="4" t="s">
        <v>52</v>
      </c>
      <c r="P17" s="4" t="s">
        <v>126</v>
      </c>
      <c r="Q17" s="4" t="s">
        <v>54</v>
      </c>
      <c r="R17" s="3" t="str">
        <f t="shared" si="0"/>
        <v>Outstanding</v>
      </c>
      <c r="S17" s="11" t="s">
        <v>28</v>
      </c>
    </row>
    <row r="18" spans="1:19" ht="60" customHeight="1" x14ac:dyDescent="0.35">
      <c r="A18" s="9" t="s">
        <v>41</v>
      </c>
      <c r="B18" s="2" t="s">
        <v>127</v>
      </c>
      <c r="C18" s="1" t="s">
        <v>128</v>
      </c>
      <c r="D18" s="3" t="s">
        <v>22</v>
      </c>
      <c r="E18" s="3" t="s">
        <v>23</v>
      </c>
      <c r="F18" s="3" t="s">
        <v>48</v>
      </c>
      <c r="G18" s="3" t="s">
        <v>25</v>
      </c>
      <c r="H18" s="3" t="s">
        <v>26</v>
      </c>
      <c r="I18" s="3" t="s">
        <v>27</v>
      </c>
      <c r="J18" s="3" t="s">
        <v>28</v>
      </c>
      <c r="K18" s="4" t="s">
        <v>28</v>
      </c>
      <c r="L18" s="4" t="s">
        <v>129</v>
      </c>
      <c r="M18" s="4" t="s">
        <v>130</v>
      </c>
      <c r="N18" s="4" t="s">
        <v>131</v>
      </c>
      <c r="O18" s="4" t="s">
        <v>132</v>
      </c>
      <c r="P18" s="4" t="s">
        <v>133</v>
      </c>
      <c r="Q18" s="4" t="s">
        <v>54</v>
      </c>
      <c r="R18" s="3" t="str">
        <f t="shared" si="0"/>
        <v>Outstanding</v>
      </c>
      <c r="S18" s="11" t="s">
        <v>28</v>
      </c>
    </row>
    <row r="19" spans="1:19" ht="60" customHeight="1" x14ac:dyDescent="0.35">
      <c r="A19" s="9" t="s">
        <v>41</v>
      </c>
      <c r="B19" s="2" t="s">
        <v>134</v>
      </c>
      <c r="C19" s="1" t="s">
        <v>135</v>
      </c>
      <c r="D19" s="3" t="s">
        <v>22</v>
      </c>
      <c r="E19" s="3" t="s">
        <v>23</v>
      </c>
      <c r="F19" s="3" t="s">
        <v>48</v>
      </c>
      <c r="G19" s="3" t="s">
        <v>25</v>
      </c>
      <c r="H19" s="3" t="s">
        <v>26</v>
      </c>
      <c r="I19" s="3" t="s">
        <v>27</v>
      </c>
      <c r="J19" s="3" t="s">
        <v>28</v>
      </c>
      <c r="K19" s="4" t="s">
        <v>28</v>
      </c>
      <c r="L19" s="4" t="s">
        <v>136</v>
      </c>
      <c r="M19" s="4" t="s">
        <v>137</v>
      </c>
      <c r="N19" s="4" t="s">
        <v>79</v>
      </c>
      <c r="O19" s="4" t="s">
        <v>138</v>
      </c>
      <c r="P19" s="4" t="s">
        <v>139</v>
      </c>
      <c r="Q19" s="4" t="s">
        <v>54</v>
      </c>
      <c r="R19" s="3" t="str">
        <f t="shared" si="0"/>
        <v>Outstanding</v>
      </c>
      <c r="S19" s="11" t="s">
        <v>28</v>
      </c>
    </row>
    <row r="20" spans="1:19" ht="60" customHeight="1" x14ac:dyDescent="0.35">
      <c r="A20" s="9" t="s">
        <v>41</v>
      </c>
      <c r="B20" s="2" t="s">
        <v>140</v>
      </c>
      <c r="C20" s="1" t="s">
        <v>141</v>
      </c>
      <c r="D20" s="3" t="s">
        <v>22</v>
      </c>
      <c r="E20" s="3" t="s">
        <v>23</v>
      </c>
      <c r="F20" s="3" t="s">
        <v>48</v>
      </c>
      <c r="G20" s="3" t="s">
        <v>25</v>
      </c>
      <c r="H20" s="3" t="s">
        <v>26</v>
      </c>
      <c r="I20" s="3" t="s">
        <v>27</v>
      </c>
      <c r="J20" s="3" t="s">
        <v>28</v>
      </c>
      <c r="K20" s="4" t="s">
        <v>28</v>
      </c>
      <c r="L20" s="4" t="s">
        <v>142</v>
      </c>
      <c r="M20" s="4" t="s">
        <v>143</v>
      </c>
      <c r="N20" s="4" t="s">
        <v>144</v>
      </c>
      <c r="O20" s="4" t="s">
        <v>145</v>
      </c>
      <c r="P20" s="4" t="s">
        <v>146</v>
      </c>
      <c r="Q20" s="4" t="s">
        <v>54</v>
      </c>
      <c r="R20" s="3" t="str">
        <f t="shared" si="0"/>
        <v>Outstanding</v>
      </c>
      <c r="S20" s="11" t="s">
        <v>28</v>
      </c>
    </row>
    <row r="21" spans="1:19" ht="60" customHeight="1" x14ac:dyDescent="0.35">
      <c r="A21" s="9" t="s">
        <v>41</v>
      </c>
      <c r="B21" s="2" t="s">
        <v>147</v>
      </c>
      <c r="C21" s="1" t="s">
        <v>148</v>
      </c>
      <c r="D21" s="3" t="s">
        <v>22</v>
      </c>
      <c r="E21" s="3" t="s">
        <v>23</v>
      </c>
      <c r="F21" s="3" t="s">
        <v>48</v>
      </c>
      <c r="G21" s="3" t="s">
        <v>25</v>
      </c>
      <c r="H21" s="3" t="s">
        <v>26</v>
      </c>
      <c r="I21" s="3" t="s">
        <v>27</v>
      </c>
      <c r="J21" s="3" t="s">
        <v>28</v>
      </c>
      <c r="K21" s="4" t="s">
        <v>28</v>
      </c>
      <c r="L21" s="4" t="s">
        <v>149</v>
      </c>
      <c r="M21" s="4" t="s">
        <v>150</v>
      </c>
      <c r="N21" s="4" t="s">
        <v>151</v>
      </c>
      <c r="O21" s="4" t="s">
        <v>152</v>
      </c>
      <c r="P21" s="4" t="s">
        <v>153</v>
      </c>
      <c r="Q21" s="4" t="s">
        <v>54</v>
      </c>
      <c r="R21" s="3" t="str">
        <f t="shared" si="0"/>
        <v>Outstanding</v>
      </c>
      <c r="S21" s="11" t="s">
        <v>28</v>
      </c>
    </row>
    <row r="22" spans="1:19" ht="60" customHeight="1" x14ac:dyDescent="0.35">
      <c r="A22" s="9" t="s">
        <v>154</v>
      </c>
      <c r="B22" s="2" t="s">
        <v>155</v>
      </c>
      <c r="C22" s="1" t="s">
        <v>156</v>
      </c>
      <c r="D22" s="3" t="s">
        <v>22</v>
      </c>
      <c r="E22" s="3" t="s">
        <v>23</v>
      </c>
      <c r="F22" s="3" t="s">
        <v>24</v>
      </c>
      <c r="G22" s="3" t="s">
        <v>25</v>
      </c>
      <c r="H22" s="3" t="s">
        <v>26</v>
      </c>
      <c r="I22" s="3" t="s">
        <v>27</v>
      </c>
      <c r="J22" s="3" t="s">
        <v>28</v>
      </c>
      <c r="K22" s="4" t="s">
        <v>28</v>
      </c>
      <c r="L22" s="4" t="s">
        <v>157</v>
      </c>
      <c r="M22" s="4" t="s">
        <v>158</v>
      </c>
      <c r="N22" s="4"/>
      <c r="O22" s="4"/>
      <c r="P22" s="4"/>
      <c r="Q22" s="4"/>
      <c r="R22" s="3" t="str">
        <f t="shared" si="0"/>
        <v>Outstanding</v>
      </c>
      <c r="S22" s="11" t="s">
        <v>28</v>
      </c>
    </row>
    <row r="23" spans="1:19" ht="60" customHeight="1" x14ac:dyDescent="0.35">
      <c r="A23" s="9" t="s">
        <v>154</v>
      </c>
      <c r="B23" s="2" t="s">
        <v>159</v>
      </c>
      <c r="C23" s="1" t="s">
        <v>160</v>
      </c>
      <c r="D23" s="3" t="s">
        <v>22</v>
      </c>
      <c r="E23" s="3" t="s">
        <v>23</v>
      </c>
      <c r="F23" s="3" t="s">
        <v>48</v>
      </c>
      <c r="G23" s="3" t="s">
        <v>25</v>
      </c>
      <c r="H23" s="3" t="s">
        <v>26</v>
      </c>
      <c r="I23" s="3" t="s">
        <v>27</v>
      </c>
      <c r="J23" s="3" t="s">
        <v>28</v>
      </c>
      <c r="K23" s="4" t="s">
        <v>28</v>
      </c>
      <c r="L23" s="4" t="s">
        <v>161</v>
      </c>
      <c r="M23" s="4" t="s">
        <v>162</v>
      </c>
      <c r="N23" s="4" t="s">
        <v>163</v>
      </c>
      <c r="O23" s="4" t="s">
        <v>164</v>
      </c>
      <c r="P23" s="4" t="s">
        <v>165</v>
      </c>
      <c r="Q23" s="4" t="s">
        <v>166</v>
      </c>
      <c r="R23" s="3" t="str">
        <f t="shared" si="0"/>
        <v>Outstanding</v>
      </c>
      <c r="S23" s="11" t="s">
        <v>28</v>
      </c>
    </row>
    <row r="24" spans="1:19" ht="60" customHeight="1" x14ac:dyDescent="0.35">
      <c r="A24" s="9" t="s">
        <v>154</v>
      </c>
      <c r="B24" s="2" t="s">
        <v>167</v>
      </c>
      <c r="C24" s="1" t="s">
        <v>168</v>
      </c>
      <c r="D24" s="3" t="s">
        <v>22</v>
      </c>
      <c r="E24" s="3" t="s">
        <v>23</v>
      </c>
      <c r="F24" s="3" t="s">
        <v>48</v>
      </c>
      <c r="G24" s="3" t="s">
        <v>25</v>
      </c>
      <c r="H24" s="3" t="s">
        <v>26</v>
      </c>
      <c r="I24" s="3" t="s">
        <v>27</v>
      </c>
      <c r="J24" s="3" t="s">
        <v>28</v>
      </c>
      <c r="K24" s="4" t="s">
        <v>28</v>
      </c>
      <c r="L24" s="4" t="s">
        <v>169</v>
      </c>
      <c r="M24" s="4" t="s">
        <v>170</v>
      </c>
      <c r="N24" s="4" t="s">
        <v>171</v>
      </c>
      <c r="O24" s="4" t="s">
        <v>172</v>
      </c>
      <c r="P24" s="4" t="s">
        <v>173</v>
      </c>
      <c r="Q24" s="4" t="s">
        <v>174</v>
      </c>
      <c r="R24" s="3" t="str">
        <f t="shared" si="0"/>
        <v>Outstanding</v>
      </c>
      <c r="S24" s="11" t="s">
        <v>28</v>
      </c>
    </row>
    <row r="25" spans="1:19" ht="60" customHeight="1" x14ac:dyDescent="0.35">
      <c r="A25" s="9" t="s">
        <v>154</v>
      </c>
      <c r="B25" s="2" t="s">
        <v>175</v>
      </c>
      <c r="C25" s="1" t="s">
        <v>176</v>
      </c>
      <c r="D25" s="3" t="s">
        <v>22</v>
      </c>
      <c r="E25" s="3" t="s">
        <v>23</v>
      </c>
      <c r="F25" s="3" t="s">
        <v>48</v>
      </c>
      <c r="G25" s="3" t="s">
        <v>25</v>
      </c>
      <c r="H25" s="3" t="s">
        <v>26</v>
      </c>
      <c r="I25" s="3" t="s">
        <v>27</v>
      </c>
      <c r="J25" s="3" t="s">
        <v>28</v>
      </c>
      <c r="K25" s="4" t="s">
        <v>28</v>
      </c>
      <c r="L25" s="4" t="s">
        <v>177</v>
      </c>
      <c r="M25" s="4" t="s">
        <v>178</v>
      </c>
      <c r="N25" s="4" t="s">
        <v>179</v>
      </c>
      <c r="O25" s="4" t="s">
        <v>180</v>
      </c>
      <c r="P25" s="4" t="s">
        <v>181</v>
      </c>
      <c r="Q25" s="4" t="s">
        <v>182</v>
      </c>
      <c r="R25" s="3" t="str">
        <f t="shared" si="0"/>
        <v>Outstanding</v>
      </c>
      <c r="S25" s="11" t="s">
        <v>28</v>
      </c>
    </row>
    <row r="26" spans="1:19" ht="60" customHeight="1" x14ac:dyDescent="0.35">
      <c r="A26" s="9" t="s">
        <v>154</v>
      </c>
      <c r="B26" s="2" t="s">
        <v>183</v>
      </c>
      <c r="C26" s="1" t="s">
        <v>184</v>
      </c>
      <c r="D26" s="3" t="s">
        <v>22</v>
      </c>
      <c r="E26" s="3" t="s">
        <v>23</v>
      </c>
      <c r="F26" s="3" t="s">
        <v>48</v>
      </c>
      <c r="G26" s="3" t="s">
        <v>25</v>
      </c>
      <c r="H26" s="3" t="s">
        <v>26</v>
      </c>
      <c r="I26" s="3" t="s">
        <v>27</v>
      </c>
      <c r="J26" s="3" t="s">
        <v>28</v>
      </c>
      <c r="K26" s="4" t="s">
        <v>28</v>
      </c>
      <c r="L26" s="4" t="s">
        <v>185</v>
      </c>
      <c r="M26" s="4" t="s">
        <v>186</v>
      </c>
      <c r="N26" s="4" t="s">
        <v>187</v>
      </c>
      <c r="O26" s="4" t="s">
        <v>188</v>
      </c>
      <c r="P26" s="4" t="s">
        <v>189</v>
      </c>
      <c r="Q26" s="4" t="s">
        <v>190</v>
      </c>
      <c r="R26" s="3" t="str">
        <f t="shared" si="0"/>
        <v>Outstanding</v>
      </c>
      <c r="S26" s="11" t="s">
        <v>28</v>
      </c>
    </row>
    <row r="27" spans="1:19" ht="60" customHeight="1" x14ac:dyDescent="0.35">
      <c r="A27" s="9" t="s">
        <v>154</v>
      </c>
      <c r="B27" s="2" t="s">
        <v>191</v>
      </c>
      <c r="C27" s="1" t="s">
        <v>192</v>
      </c>
      <c r="D27" s="3" t="s">
        <v>22</v>
      </c>
      <c r="E27" s="3" t="s">
        <v>23</v>
      </c>
      <c r="F27" s="3" t="s">
        <v>48</v>
      </c>
      <c r="G27" s="3" t="s">
        <v>25</v>
      </c>
      <c r="H27" s="3" t="s">
        <v>26</v>
      </c>
      <c r="I27" s="3" t="s">
        <v>27</v>
      </c>
      <c r="J27" s="3" t="s">
        <v>28</v>
      </c>
      <c r="K27" s="4" t="s">
        <v>28</v>
      </c>
      <c r="L27" s="4" t="s">
        <v>193</v>
      </c>
      <c r="M27" s="4" t="s">
        <v>194</v>
      </c>
      <c r="N27" s="4" t="s">
        <v>195</v>
      </c>
      <c r="O27" s="4" t="s">
        <v>196</v>
      </c>
      <c r="P27" s="4" t="s">
        <v>197</v>
      </c>
      <c r="Q27" s="4" t="s">
        <v>198</v>
      </c>
      <c r="R27" s="3" t="str">
        <f t="shared" si="0"/>
        <v>Outstanding</v>
      </c>
      <c r="S27" s="11" t="s">
        <v>28</v>
      </c>
    </row>
    <row r="28" spans="1:19" ht="60" customHeight="1" x14ac:dyDescent="0.35">
      <c r="A28" s="9" t="s">
        <v>154</v>
      </c>
      <c r="B28" s="2" t="s">
        <v>199</v>
      </c>
      <c r="C28" s="1" t="s">
        <v>200</v>
      </c>
      <c r="D28" s="3" t="s">
        <v>22</v>
      </c>
      <c r="E28" s="3" t="s">
        <v>23</v>
      </c>
      <c r="F28" s="3" t="s">
        <v>48</v>
      </c>
      <c r="G28" s="3" t="s">
        <v>25</v>
      </c>
      <c r="H28" s="3" t="s">
        <v>26</v>
      </c>
      <c r="I28" s="3" t="s">
        <v>27</v>
      </c>
      <c r="J28" s="3" t="s">
        <v>28</v>
      </c>
      <c r="K28" s="4" t="s">
        <v>28</v>
      </c>
      <c r="L28" s="4" t="s">
        <v>201</v>
      </c>
      <c r="M28" s="4" t="s">
        <v>202</v>
      </c>
      <c r="N28" s="4" t="s">
        <v>203</v>
      </c>
      <c r="O28" s="4" t="s">
        <v>204</v>
      </c>
      <c r="P28" s="4" t="s">
        <v>205</v>
      </c>
      <c r="Q28" s="4" t="s">
        <v>198</v>
      </c>
      <c r="R28" s="3" t="str">
        <f t="shared" si="0"/>
        <v>Outstanding</v>
      </c>
      <c r="S28" s="11" t="s">
        <v>28</v>
      </c>
    </row>
    <row r="29" spans="1:19" ht="60" customHeight="1" x14ac:dyDescent="0.35">
      <c r="A29" s="9" t="s">
        <v>154</v>
      </c>
      <c r="B29" s="2" t="s">
        <v>206</v>
      </c>
      <c r="C29" s="1" t="s">
        <v>207</v>
      </c>
      <c r="D29" s="3" t="s">
        <v>22</v>
      </c>
      <c r="E29" s="3" t="s">
        <v>23</v>
      </c>
      <c r="F29" s="3" t="s">
        <v>48</v>
      </c>
      <c r="G29" s="3" t="s">
        <v>25</v>
      </c>
      <c r="H29" s="3" t="s">
        <v>26</v>
      </c>
      <c r="I29" s="3" t="s">
        <v>27</v>
      </c>
      <c r="J29" s="3" t="s">
        <v>28</v>
      </c>
      <c r="K29" s="4" t="s">
        <v>28</v>
      </c>
      <c r="L29" s="4" t="s">
        <v>208</v>
      </c>
      <c r="M29" s="4" t="s">
        <v>209</v>
      </c>
      <c r="N29" s="4" t="s">
        <v>210</v>
      </c>
      <c r="O29" s="4" t="s">
        <v>211</v>
      </c>
      <c r="P29" s="4" t="s">
        <v>212</v>
      </c>
      <c r="Q29" s="4" t="s">
        <v>213</v>
      </c>
      <c r="R29" s="3" t="str">
        <f t="shared" si="0"/>
        <v>Outstanding</v>
      </c>
      <c r="S29" s="11" t="s">
        <v>28</v>
      </c>
    </row>
    <row r="30" spans="1:19" ht="60" customHeight="1" x14ac:dyDescent="0.35">
      <c r="A30" s="9" t="s">
        <v>154</v>
      </c>
      <c r="B30" s="2" t="s">
        <v>214</v>
      </c>
      <c r="C30" s="1" t="s">
        <v>215</v>
      </c>
      <c r="D30" s="3" t="s">
        <v>22</v>
      </c>
      <c r="E30" s="3" t="s">
        <v>23</v>
      </c>
      <c r="F30" s="3" t="s">
        <v>48</v>
      </c>
      <c r="G30" s="3" t="s">
        <v>25</v>
      </c>
      <c r="H30" s="3" t="s">
        <v>26</v>
      </c>
      <c r="I30" s="3" t="s">
        <v>27</v>
      </c>
      <c r="J30" s="3" t="s">
        <v>28</v>
      </c>
      <c r="K30" s="4" t="s">
        <v>28</v>
      </c>
      <c r="L30" s="4" t="s">
        <v>216</v>
      </c>
      <c r="M30" s="4" t="s">
        <v>186</v>
      </c>
      <c r="N30" s="4" t="s">
        <v>187</v>
      </c>
      <c r="O30" s="4" t="s">
        <v>188</v>
      </c>
      <c r="P30" s="4" t="s">
        <v>189</v>
      </c>
      <c r="Q30" s="4" t="s">
        <v>190</v>
      </c>
      <c r="R30" s="3" t="str">
        <f t="shared" si="0"/>
        <v>Outstanding</v>
      </c>
      <c r="S30" s="11" t="s">
        <v>28</v>
      </c>
    </row>
    <row r="31" spans="1:19" ht="60" customHeight="1" x14ac:dyDescent="0.35">
      <c r="A31" s="9" t="s">
        <v>154</v>
      </c>
      <c r="B31" s="2" t="s">
        <v>217</v>
      </c>
      <c r="C31" s="1" t="s">
        <v>218</v>
      </c>
      <c r="D31" s="3" t="s">
        <v>22</v>
      </c>
      <c r="E31" s="3" t="s">
        <v>23</v>
      </c>
      <c r="F31" s="3" t="s">
        <v>48</v>
      </c>
      <c r="G31" s="3" t="s">
        <v>25</v>
      </c>
      <c r="H31" s="3" t="s">
        <v>26</v>
      </c>
      <c r="I31" s="3" t="s">
        <v>27</v>
      </c>
      <c r="J31" s="3" t="s">
        <v>28</v>
      </c>
      <c r="K31" s="4" t="s">
        <v>28</v>
      </c>
      <c r="L31" s="4" t="s">
        <v>219</v>
      </c>
      <c r="M31" s="4" t="s">
        <v>220</v>
      </c>
      <c r="N31" s="4" t="s">
        <v>221</v>
      </c>
      <c r="O31" s="4" t="s">
        <v>222</v>
      </c>
      <c r="P31" s="4" t="s">
        <v>223</v>
      </c>
      <c r="Q31" s="4" t="s">
        <v>224</v>
      </c>
      <c r="R31" s="3" t="str">
        <f t="shared" si="0"/>
        <v>Outstanding</v>
      </c>
      <c r="S31" s="11" t="s">
        <v>28</v>
      </c>
    </row>
    <row r="32" spans="1:19" ht="60" customHeight="1" x14ac:dyDescent="0.35">
      <c r="A32" s="9" t="s">
        <v>154</v>
      </c>
      <c r="B32" s="2" t="s">
        <v>225</v>
      </c>
      <c r="C32" s="1" t="s">
        <v>226</v>
      </c>
      <c r="D32" s="3" t="s">
        <v>22</v>
      </c>
      <c r="E32" s="3" t="s">
        <v>23</v>
      </c>
      <c r="F32" s="3" t="s">
        <v>48</v>
      </c>
      <c r="G32" s="3" t="s">
        <v>25</v>
      </c>
      <c r="H32" s="3" t="s">
        <v>26</v>
      </c>
      <c r="I32" s="3" t="s">
        <v>27</v>
      </c>
      <c r="J32" s="3" t="s">
        <v>28</v>
      </c>
      <c r="K32" s="4" t="s">
        <v>28</v>
      </c>
      <c r="L32" s="4" t="s">
        <v>227</v>
      </c>
      <c r="M32" s="4" t="s">
        <v>228</v>
      </c>
      <c r="N32" s="4" t="s">
        <v>229</v>
      </c>
      <c r="O32" s="4" t="s">
        <v>230</v>
      </c>
      <c r="P32" s="4" t="s">
        <v>231</v>
      </c>
      <c r="Q32" s="4" t="s">
        <v>232</v>
      </c>
      <c r="R32" s="3" t="str">
        <f t="shared" si="0"/>
        <v>Outstanding</v>
      </c>
      <c r="S32" s="11" t="s">
        <v>28</v>
      </c>
    </row>
    <row r="33" spans="1:19" ht="60" customHeight="1" x14ac:dyDescent="0.35">
      <c r="A33" s="9" t="s">
        <v>233</v>
      </c>
      <c r="B33" s="2" t="s">
        <v>234</v>
      </c>
      <c r="C33" s="1" t="s">
        <v>235</v>
      </c>
      <c r="D33" s="3" t="s">
        <v>22</v>
      </c>
      <c r="E33" s="3" t="s">
        <v>23</v>
      </c>
      <c r="F33" s="3" t="s">
        <v>24</v>
      </c>
      <c r="G33" s="3" t="s">
        <v>25</v>
      </c>
      <c r="H33" s="3" t="s">
        <v>26</v>
      </c>
      <c r="I33" s="3" t="s">
        <v>27</v>
      </c>
      <c r="J33" s="3" t="s">
        <v>28</v>
      </c>
      <c r="K33" s="4" t="s">
        <v>28</v>
      </c>
      <c r="L33" s="4" t="s">
        <v>236</v>
      </c>
      <c r="M33" s="4" t="s">
        <v>237</v>
      </c>
      <c r="N33" s="4"/>
      <c r="O33" s="4"/>
      <c r="P33" s="4"/>
      <c r="Q33" s="4"/>
      <c r="R33" s="3" t="str">
        <f t="shared" si="0"/>
        <v>Outstanding</v>
      </c>
      <c r="S33" s="11" t="s">
        <v>28</v>
      </c>
    </row>
    <row r="34" spans="1:19" ht="60" customHeight="1" x14ac:dyDescent="0.35">
      <c r="A34" s="9" t="s">
        <v>233</v>
      </c>
      <c r="B34" s="2" t="s">
        <v>238</v>
      </c>
      <c r="C34" s="1" t="s">
        <v>239</v>
      </c>
      <c r="D34" s="3" t="s">
        <v>22</v>
      </c>
      <c r="E34" s="3" t="s">
        <v>23</v>
      </c>
      <c r="F34" s="3" t="s">
        <v>24</v>
      </c>
      <c r="G34" s="3" t="s">
        <v>25</v>
      </c>
      <c r="H34" s="3" t="s">
        <v>26</v>
      </c>
      <c r="I34" s="3" t="s">
        <v>27</v>
      </c>
      <c r="J34" s="3" t="s">
        <v>28</v>
      </c>
      <c r="K34" s="4" t="s">
        <v>28</v>
      </c>
      <c r="L34" s="4" t="s">
        <v>240</v>
      </c>
      <c r="M34" s="4"/>
      <c r="N34" s="4"/>
      <c r="O34" s="4"/>
      <c r="P34" s="4"/>
      <c r="Q34" s="4"/>
      <c r="R34" s="3" t="str">
        <f t="shared" si="0"/>
        <v>Outstanding</v>
      </c>
      <c r="S34" s="11" t="s">
        <v>28</v>
      </c>
    </row>
    <row r="35" spans="1:19" ht="60" customHeight="1" x14ac:dyDescent="0.35">
      <c r="A35" s="9" t="s">
        <v>233</v>
      </c>
      <c r="B35" s="2" t="s">
        <v>241</v>
      </c>
      <c r="C35" s="1" t="s">
        <v>242</v>
      </c>
      <c r="D35" s="3" t="s">
        <v>22</v>
      </c>
      <c r="E35" s="3" t="s">
        <v>23</v>
      </c>
      <c r="F35" s="3" t="s">
        <v>48</v>
      </c>
      <c r="G35" s="3" t="s">
        <v>25</v>
      </c>
      <c r="H35" s="3" t="s">
        <v>26</v>
      </c>
      <c r="I35" s="3" t="s">
        <v>27</v>
      </c>
      <c r="J35" s="3" t="s">
        <v>28</v>
      </c>
      <c r="K35" s="4" t="s">
        <v>28</v>
      </c>
      <c r="L35" s="4" t="s">
        <v>243</v>
      </c>
      <c r="M35" s="4"/>
      <c r="N35" s="4"/>
      <c r="O35" s="4"/>
      <c r="P35" s="4"/>
      <c r="Q35" s="4"/>
      <c r="R35" s="3" t="str">
        <f t="shared" si="0"/>
        <v>Outstanding</v>
      </c>
      <c r="S35" s="11" t="s">
        <v>28</v>
      </c>
    </row>
    <row r="36" spans="1:19" ht="60" customHeight="1" x14ac:dyDescent="0.35">
      <c r="A36" s="9" t="s">
        <v>233</v>
      </c>
      <c r="B36" s="2" t="s">
        <v>244</v>
      </c>
      <c r="C36" s="1" t="s">
        <v>245</v>
      </c>
      <c r="D36" s="3" t="s">
        <v>22</v>
      </c>
      <c r="E36" s="3" t="s">
        <v>23</v>
      </c>
      <c r="F36" s="3" t="s">
        <v>24</v>
      </c>
      <c r="G36" s="3" t="s">
        <v>25</v>
      </c>
      <c r="H36" s="3" t="s">
        <v>26</v>
      </c>
      <c r="I36" s="3" t="s">
        <v>27</v>
      </c>
      <c r="J36" s="3" t="s">
        <v>28</v>
      </c>
      <c r="K36" s="4" t="s">
        <v>28</v>
      </c>
      <c r="L36" s="4" t="s">
        <v>246</v>
      </c>
      <c r="M36" s="4"/>
      <c r="N36" s="4"/>
      <c r="O36" s="4"/>
      <c r="P36" s="4"/>
      <c r="Q36" s="4"/>
      <c r="R36" s="3" t="str">
        <f t="shared" si="0"/>
        <v>Outstanding</v>
      </c>
      <c r="S36" s="11" t="s">
        <v>28</v>
      </c>
    </row>
    <row r="37" spans="1:19" ht="60" customHeight="1" x14ac:dyDescent="0.35">
      <c r="A37" s="9" t="s">
        <v>247</v>
      </c>
      <c r="B37" s="2" t="s">
        <v>248</v>
      </c>
      <c r="C37" s="1" t="s">
        <v>249</v>
      </c>
      <c r="D37" s="3" t="s">
        <v>22</v>
      </c>
      <c r="E37" s="3" t="s">
        <v>23</v>
      </c>
      <c r="F37" s="3" t="s">
        <v>24</v>
      </c>
      <c r="G37" s="3" t="s">
        <v>25</v>
      </c>
      <c r="H37" s="3" t="s">
        <v>26</v>
      </c>
      <c r="I37" s="3" t="s">
        <v>27</v>
      </c>
      <c r="J37" s="3" t="s">
        <v>28</v>
      </c>
      <c r="K37" s="4" t="s">
        <v>28</v>
      </c>
      <c r="L37" s="4" t="s">
        <v>250</v>
      </c>
      <c r="M37" s="4" t="s">
        <v>251</v>
      </c>
      <c r="N37" s="4"/>
      <c r="O37" s="4"/>
      <c r="P37" s="4"/>
      <c r="Q37" s="4"/>
      <c r="R37" s="3" t="str">
        <f t="shared" si="0"/>
        <v>Outstanding</v>
      </c>
      <c r="S37" s="11" t="s">
        <v>28</v>
      </c>
    </row>
    <row r="38" spans="1:19" ht="60" customHeight="1" x14ac:dyDescent="0.35">
      <c r="A38" s="9" t="s">
        <v>247</v>
      </c>
      <c r="B38" s="2" t="s">
        <v>252</v>
      </c>
      <c r="C38" s="1" t="s">
        <v>253</v>
      </c>
      <c r="D38" s="3" t="s">
        <v>22</v>
      </c>
      <c r="E38" s="3" t="s">
        <v>23</v>
      </c>
      <c r="F38" s="3" t="s">
        <v>48</v>
      </c>
      <c r="G38" s="3" t="s">
        <v>25</v>
      </c>
      <c r="H38" s="3" t="s">
        <v>26</v>
      </c>
      <c r="I38" s="3" t="s">
        <v>27</v>
      </c>
      <c r="J38" s="3" t="s">
        <v>28</v>
      </c>
      <c r="K38" s="4" t="s">
        <v>28</v>
      </c>
      <c r="L38" s="4" t="s">
        <v>254</v>
      </c>
      <c r="M38" s="4" t="s">
        <v>255</v>
      </c>
      <c r="N38" s="4" t="s">
        <v>256</v>
      </c>
      <c r="O38" s="4" t="s">
        <v>257</v>
      </c>
      <c r="P38" s="4" t="s">
        <v>258</v>
      </c>
      <c r="Q38" s="4" t="s">
        <v>259</v>
      </c>
      <c r="R38" s="3" t="str">
        <f t="shared" si="0"/>
        <v>Outstanding</v>
      </c>
      <c r="S38" s="11" t="s">
        <v>28</v>
      </c>
    </row>
    <row r="39" spans="1:19" ht="60" customHeight="1" x14ac:dyDescent="0.35">
      <c r="A39" s="9" t="s">
        <v>247</v>
      </c>
      <c r="B39" s="2" t="s">
        <v>260</v>
      </c>
      <c r="C39" s="1" t="s">
        <v>261</v>
      </c>
      <c r="D39" s="3" t="s">
        <v>22</v>
      </c>
      <c r="E39" s="3" t="s">
        <v>23</v>
      </c>
      <c r="F39" s="3" t="s">
        <v>48</v>
      </c>
      <c r="G39" s="3" t="s">
        <v>25</v>
      </c>
      <c r="H39" s="3" t="s">
        <v>26</v>
      </c>
      <c r="I39" s="3" t="s">
        <v>27</v>
      </c>
      <c r="J39" s="3" t="s">
        <v>28</v>
      </c>
      <c r="K39" s="4" t="s">
        <v>28</v>
      </c>
      <c r="L39" s="4" t="s">
        <v>262</v>
      </c>
      <c r="M39" s="4" t="s">
        <v>263</v>
      </c>
      <c r="N39" s="4" t="s">
        <v>264</v>
      </c>
      <c r="O39" s="4" t="s">
        <v>265</v>
      </c>
      <c r="P39" s="4" t="s">
        <v>266</v>
      </c>
      <c r="Q39" s="4" t="s">
        <v>267</v>
      </c>
      <c r="R39" s="3" t="str">
        <f t="shared" si="0"/>
        <v>Outstanding</v>
      </c>
      <c r="S39" s="11" t="s">
        <v>28</v>
      </c>
    </row>
    <row r="40" spans="1:19" ht="60" customHeight="1" x14ac:dyDescent="0.35">
      <c r="A40" s="9" t="s">
        <v>247</v>
      </c>
      <c r="B40" s="2" t="s">
        <v>268</v>
      </c>
      <c r="C40" s="1" t="s">
        <v>269</v>
      </c>
      <c r="D40" s="3" t="s">
        <v>22</v>
      </c>
      <c r="E40" s="3" t="s">
        <v>23</v>
      </c>
      <c r="F40" s="3" t="s">
        <v>48</v>
      </c>
      <c r="G40" s="3" t="s">
        <v>25</v>
      </c>
      <c r="H40" s="3" t="s">
        <v>26</v>
      </c>
      <c r="I40" s="3" t="s">
        <v>27</v>
      </c>
      <c r="J40" s="3" t="s">
        <v>28</v>
      </c>
      <c r="K40" s="4" t="s">
        <v>28</v>
      </c>
      <c r="L40" s="4" t="s">
        <v>270</v>
      </c>
      <c r="M40" s="4" t="s">
        <v>271</v>
      </c>
      <c r="N40" s="4" t="s">
        <v>272</v>
      </c>
      <c r="O40" s="4" t="s">
        <v>273</v>
      </c>
      <c r="P40" s="4" t="s">
        <v>274</v>
      </c>
      <c r="Q40" s="4" t="s">
        <v>275</v>
      </c>
      <c r="R40" s="3" t="str">
        <f t="shared" si="0"/>
        <v>Outstanding</v>
      </c>
      <c r="S40" s="11" t="s">
        <v>28</v>
      </c>
    </row>
    <row r="41" spans="1:19" ht="60" customHeight="1" x14ac:dyDescent="0.35">
      <c r="A41" s="9" t="s">
        <v>247</v>
      </c>
      <c r="B41" s="2" t="s">
        <v>276</v>
      </c>
      <c r="C41" s="1" t="s">
        <v>277</v>
      </c>
      <c r="D41" s="3" t="s">
        <v>22</v>
      </c>
      <c r="E41" s="3" t="s">
        <v>23</v>
      </c>
      <c r="F41" s="3" t="s">
        <v>48</v>
      </c>
      <c r="G41" s="3" t="s">
        <v>25</v>
      </c>
      <c r="H41" s="3" t="s">
        <v>26</v>
      </c>
      <c r="I41" s="3" t="s">
        <v>27</v>
      </c>
      <c r="J41" s="3" t="s">
        <v>28</v>
      </c>
      <c r="K41" s="4" t="s">
        <v>28</v>
      </c>
      <c r="L41" s="4" t="s">
        <v>278</v>
      </c>
      <c r="M41" s="4" t="s">
        <v>279</v>
      </c>
      <c r="N41" s="4" t="s">
        <v>280</v>
      </c>
      <c r="O41" s="4" t="s">
        <v>265</v>
      </c>
      <c r="P41" s="4" t="s">
        <v>281</v>
      </c>
      <c r="Q41" s="4" t="s">
        <v>282</v>
      </c>
      <c r="R41" s="3" t="str">
        <f t="shared" si="0"/>
        <v>Outstanding</v>
      </c>
      <c r="S41" s="11" t="s">
        <v>28</v>
      </c>
    </row>
    <row r="42" spans="1:19" ht="60" customHeight="1" x14ac:dyDescent="0.35">
      <c r="A42" s="9" t="s">
        <v>247</v>
      </c>
      <c r="B42" s="2" t="s">
        <v>283</v>
      </c>
      <c r="C42" s="1" t="s">
        <v>284</v>
      </c>
      <c r="D42" s="3" t="s">
        <v>22</v>
      </c>
      <c r="E42" s="3" t="s">
        <v>23</v>
      </c>
      <c r="F42" s="3" t="s">
        <v>48</v>
      </c>
      <c r="G42" s="3" t="s">
        <v>25</v>
      </c>
      <c r="H42" s="3" t="s">
        <v>26</v>
      </c>
      <c r="I42" s="3" t="s">
        <v>27</v>
      </c>
      <c r="J42" s="3" t="s">
        <v>28</v>
      </c>
      <c r="K42" s="4" t="s">
        <v>28</v>
      </c>
      <c r="L42" s="4" t="s">
        <v>285</v>
      </c>
      <c r="M42" s="4"/>
      <c r="N42" s="4"/>
      <c r="O42" s="4"/>
      <c r="P42" s="4"/>
      <c r="Q42" s="4"/>
      <c r="R42" s="3" t="str">
        <f t="shared" si="0"/>
        <v>Outstanding</v>
      </c>
      <c r="S42" s="11" t="s">
        <v>28</v>
      </c>
    </row>
    <row r="43" spans="1:19" ht="60" customHeight="1" x14ac:dyDescent="0.35">
      <c r="A43" s="9" t="s">
        <v>247</v>
      </c>
      <c r="B43" s="2" t="s">
        <v>286</v>
      </c>
      <c r="C43" s="1" t="s">
        <v>287</v>
      </c>
      <c r="D43" s="3" t="s">
        <v>22</v>
      </c>
      <c r="E43" s="3" t="s">
        <v>23</v>
      </c>
      <c r="F43" s="3" t="s">
        <v>48</v>
      </c>
      <c r="G43" s="3" t="s">
        <v>25</v>
      </c>
      <c r="H43" s="3" t="s">
        <v>26</v>
      </c>
      <c r="I43" s="3" t="s">
        <v>27</v>
      </c>
      <c r="J43" s="3" t="s">
        <v>28</v>
      </c>
      <c r="K43" s="4" t="s">
        <v>28</v>
      </c>
      <c r="L43" s="4" t="s">
        <v>288</v>
      </c>
      <c r="M43" s="4"/>
      <c r="N43" s="4"/>
      <c r="O43" s="4"/>
      <c r="P43" s="4"/>
      <c r="Q43" s="4"/>
      <c r="R43" s="3" t="str">
        <f t="shared" si="0"/>
        <v>Outstanding</v>
      </c>
      <c r="S43" s="11" t="s">
        <v>28</v>
      </c>
    </row>
    <row r="44" spans="1:19" ht="60" customHeight="1" x14ac:dyDescent="0.35">
      <c r="A44" s="9" t="s">
        <v>247</v>
      </c>
      <c r="B44" s="2" t="s">
        <v>289</v>
      </c>
      <c r="C44" s="1" t="s">
        <v>290</v>
      </c>
      <c r="D44" s="3" t="s">
        <v>22</v>
      </c>
      <c r="E44" s="3" t="s">
        <v>23</v>
      </c>
      <c r="F44" s="3" t="s">
        <v>48</v>
      </c>
      <c r="G44" s="3" t="s">
        <v>25</v>
      </c>
      <c r="H44" s="3" t="s">
        <v>26</v>
      </c>
      <c r="I44" s="3" t="s">
        <v>27</v>
      </c>
      <c r="J44" s="3" t="s">
        <v>28</v>
      </c>
      <c r="K44" s="4" t="s">
        <v>28</v>
      </c>
      <c r="L44" s="4" t="s">
        <v>291</v>
      </c>
      <c r="M44" s="4" t="s">
        <v>292</v>
      </c>
      <c r="N44" s="4" t="s">
        <v>293</v>
      </c>
      <c r="O44" s="4" t="s">
        <v>294</v>
      </c>
      <c r="P44" s="4" t="s">
        <v>295</v>
      </c>
      <c r="Q44" s="4" t="s">
        <v>296</v>
      </c>
      <c r="R44" s="3" t="str">
        <f t="shared" si="0"/>
        <v>Outstanding</v>
      </c>
      <c r="S44" s="11" t="s">
        <v>28</v>
      </c>
    </row>
    <row r="45" spans="1:19" ht="60" customHeight="1" x14ac:dyDescent="0.35">
      <c r="A45" s="9" t="s">
        <v>247</v>
      </c>
      <c r="B45" s="2" t="s">
        <v>297</v>
      </c>
      <c r="C45" s="1" t="s">
        <v>298</v>
      </c>
      <c r="D45" s="3" t="s">
        <v>22</v>
      </c>
      <c r="E45" s="3" t="s">
        <v>23</v>
      </c>
      <c r="F45" s="3" t="s">
        <v>48</v>
      </c>
      <c r="G45" s="3" t="s">
        <v>25</v>
      </c>
      <c r="H45" s="3" t="s">
        <v>26</v>
      </c>
      <c r="I45" s="3" t="s">
        <v>27</v>
      </c>
      <c r="J45" s="3" t="s">
        <v>28</v>
      </c>
      <c r="K45" s="4" t="s">
        <v>28</v>
      </c>
      <c r="L45" s="4" t="s">
        <v>299</v>
      </c>
      <c r="M45" s="4" t="s">
        <v>300</v>
      </c>
      <c r="N45" s="4" t="s">
        <v>301</v>
      </c>
      <c r="O45" s="4" t="s">
        <v>302</v>
      </c>
      <c r="P45" s="4" t="s">
        <v>303</v>
      </c>
      <c r="Q45" s="4" t="s">
        <v>304</v>
      </c>
      <c r="R45" s="3" t="str">
        <f t="shared" si="0"/>
        <v>Outstanding</v>
      </c>
      <c r="S45" s="11" t="s">
        <v>28</v>
      </c>
    </row>
    <row r="46" spans="1:19" ht="60" customHeight="1" x14ac:dyDescent="0.35">
      <c r="A46" s="9" t="s">
        <v>247</v>
      </c>
      <c r="B46" s="2" t="s">
        <v>305</v>
      </c>
      <c r="C46" s="1" t="s">
        <v>306</v>
      </c>
      <c r="D46" s="3" t="s">
        <v>22</v>
      </c>
      <c r="E46" s="3" t="s">
        <v>23</v>
      </c>
      <c r="F46" s="3" t="s">
        <v>48</v>
      </c>
      <c r="G46" s="3" t="s">
        <v>25</v>
      </c>
      <c r="H46" s="3" t="s">
        <v>26</v>
      </c>
      <c r="I46" s="3" t="s">
        <v>27</v>
      </c>
      <c r="J46" s="3" t="s">
        <v>28</v>
      </c>
      <c r="K46" s="4" t="s">
        <v>28</v>
      </c>
      <c r="L46" s="4" t="s">
        <v>307</v>
      </c>
      <c r="M46" s="4" t="s">
        <v>308</v>
      </c>
      <c r="N46" s="4" t="s">
        <v>309</v>
      </c>
      <c r="O46" s="4" t="s">
        <v>310</v>
      </c>
      <c r="P46" s="4" t="s">
        <v>311</v>
      </c>
      <c r="Q46" s="4" t="s">
        <v>312</v>
      </c>
      <c r="R46" s="3" t="str">
        <f t="shared" si="0"/>
        <v>Outstanding</v>
      </c>
      <c r="S46" s="11" t="s">
        <v>28</v>
      </c>
    </row>
    <row r="47" spans="1:19" ht="60" customHeight="1" x14ac:dyDescent="0.35">
      <c r="A47" s="9" t="s">
        <v>313</v>
      </c>
      <c r="B47" s="2" t="s">
        <v>314</v>
      </c>
      <c r="C47" s="1" t="s">
        <v>315</v>
      </c>
      <c r="D47" s="3" t="s">
        <v>22</v>
      </c>
      <c r="E47" s="3" t="s">
        <v>23</v>
      </c>
      <c r="F47" s="3" t="s">
        <v>24</v>
      </c>
      <c r="G47" s="3" t="s">
        <v>25</v>
      </c>
      <c r="H47" s="3" t="s">
        <v>26</v>
      </c>
      <c r="I47" s="3" t="s">
        <v>27</v>
      </c>
      <c r="J47" s="3" t="s">
        <v>28</v>
      </c>
      <c r="K47" s="4" t="s">
        <v>28</v>
      </c>
      <c r="L47" s="4" t="s">
        <v>316</v>
      </c>
      <c r="M47" s="4" t="s">
        <v>317</v>
      </c>
      <c r="N47" s="4"/>
      <c r="O47" s="4"/>
      <c r="P47" s="4"/>
      <c r="Q47" s="4"/>
      <c r="R47" s="3" t="str">
        <f t="shared" si="0"/>
        <v>Outstanding</v>
      </c>
      <c r="S47" s="11" t="s">
        <v>28</v>
      </c>
    </row>
    <row r="48" spans="1:19" ht="60" customHeight="1" x14ac:dyDescent="0.35">
      <c r="A48" s="9" t="s">
        <v>313</v>
      </c>
      <c r="B48" s="2" t="s">
        <v>318</v>
      </c>
      <c r="C48" s="1" t="s">
        <v>319</v>
      </c>
      <c r="D48" s="3" t="s">
        <v>22</v>
      </c>
      <c r="E48" s="3" t="s">
        <v>23</v>
      </c>
      <c r="F48" s="3" t="s">
        <v>48</v>
      </c>
      <c r="G48" s="3" t="s">
        <v>25</v>
      </c>
      <c r="H48" s="3" t="s">
        <v>26</v>
      </c>
      <c r="I48" s="3" t="s">
        <v>27</v>
      </c>
      <c r="J48" s="3" t="s">
        <v>28</v>
      </c>
      <c r="K48" s="4" t="s">
        <v>28</v>
      </c>
      <c r="L48" s="4" t="s">
        <v>320</v>
      </c>
      <c r="M48" s="4" t="s">
        <v>321</v>
      </c>
      <c r="N48" s="4" t="s">
        <v>322</v>
      </c>
      <c r="O48" s="4" t="s">
        <v>265</v>
      </c>
      <c r="P48" s="4" t="s">
        <v>323</v>
      </c>
      <c r="Q48" s="4" t="s">
        <v>324</v>
      </c>
      <c r="R48" s="3" t="str">
        <f t="shared" si="0"/>
        <v>Outstanding</v>
      </c>
      <c r="S48" s="11" t="s">
        <v>28</v>
      </c>
    </row>
    <row r="49" spans="1:19" ht="60" customHeight="1" x14ac:dyDescent="0.35">
      <c r="A49" s="9" t="s">
        <v>325</v>
      </c>
      <c r="B49" s="2" t="s">
        <v>326</v>
      </c>
      <c r="C49" s="1" t="s">
        <v>327</v>
      </c>
      <c r="D49" s="3" t="s">
        <v>22</v>
      </c>
      <c r="E49" s="3" t="s">
        <v>23</v>
      </c>
      <c r="F49" s="3" t="s">
        <v>24</v>
      </c>
      <c r="G49" s="3" t="s">
        <v>25</v>
      </c>
      <c r="H49" s="3" t="s">
        <v>26</v>
      </c>
      <c r="I49" s="3" t="s">
        <v>27</v>
      </c>
      <c r="J49" s="3" t="s">
        <v>28</v>
      </c>
      <c r="K49" s="4" t="s">
        <v>28</v>
      </c>
      <c r="L49" s="4" t="s">
        <v>328</v>
      </c>
      <c r="M49" s="4" t="s">
        <v>329</v>
      </c>
      <c r="N49" s="4"/>
      <c r="O49" s="4"/>
      <c r="P49" s="4"/>
      <c r="Q49" s="4"/>
      <c r="R49" s="3" t="str">
        <f t="shared" si="0"/>
        <v>Outstanding</v>
      </c>
      <c r="S49" s="11" t="s">
        <v>28</v>
      </c>
    </row>
    <row r="50" spans="1:19" ht="60" customHeight="1" x14ac:dyDescent="0.35">
      <c r="A50" s="9" t="s">
        <v>325</v>
      </c>
      <c r="B50" s="2" t="s">
        <v>330</v>
      </c>
      <c r="C50" s="1" t="s">
        <v>331</v>
      </c>
      <c r="D50" s="3" t="s">
        <v>22</v>
      </c>
      <c r="E50" s="3" t="s">
        <v>23</v>
      </c>
      <c r="F50" s="3" t="s">
        <v>48</v>
      </c>
      <c r="G50" s="3" t="s">
        <v>25</v>
      </c>
      <c r="H50" s="3" t="s">
        <v>26</v>
      </c>
      <c r="I50" s="3" t="s">
        <v>27</v>
      </c>
      <c r="J50" s="3" t="s">
        <v>28</v>
      </c>
      <c r="K50" s="4" t="s">
        <v>28</v>
      </c>
      <c r="L50" s="4" t="s">
        <v>332</v>
      </c>
      <c r="M50" s="4" t="s">
        <v>333</v>
      </c>
      <c r="N50" s="4" t="s">
        <v>334</v>
      </c>
      <c r="O50" s="4" t="s">
        <v>335</v>
      </c>
      <c r="P50" s="4" t="s">
        <v>336</v>
      </c>
      <c r="Q50" s="4" t="s">
        <v>337</v>
      </c>
      <c r="R50" s="3" t="str">
        <f t="shared" si="0"/>
        <v>Outstanding</v>
      </c>
      <c r="S50" s="11" t="s">
        <v>28</v>
      </c>
    </row>
    <row r="51" spans="1:19" ht="60" customHeight="1" x14ac:dyDescent="0.35">
      <c r="A51" s="9" t="s">
        <v>325</v>
      </c>
      <c r="B51" s="2" t="s">
        <v>338</v>
      </c>
      <c r="C51" s="1" t="s">
        <v>339</v>
      </c>
      <c r="D51" s="3" t="s">
        <v>22</v>
      </c>
      <c r="E51" s="3" t="s">
        <v>23</v>
      </c>
      <c r="F51" s="3" t="s">
        <v>48</v>
      </c>
      <c r="G51" s="3" t="s">
        <v>25</v>
      </c>
      <c r="H51" s="3" t="s">
        <v>26</v>
      </c>
      <c r="I51" s="3" t="s">
        <v>27</v>
      </c>
      <c r="J51" s="3" t="s">
        <v>28</v>
      </c>
      <c r="K51" s="4" t="s">
        <v>28</v>
      </c>
      <c r="L51" s="4" t="s">
        <v>340</v>
      </c>
      <c r="M51" s="4" t="s">
        <v>341</v>
      </c>
      <c r="N51" s="4" t="s">
        <v>342</v>
      </c>
      <c r="O51" s="4" t="s">
        <v>343</v>
      </c>
      <c r="P51" s="4" t="s">
        <v>344</v>
      </c>
      <c r="Q51" s="4" t="s">
        <v>345</v>
      </c>
      <c r="R51" s="3" t="str">
        <f t="shared" si="0"/>
        <v>Outstanding</v>
      </c>
      <c r="S51" s="11" t="s">
        <v>28</v>
      </c>
    </row>
    <row r="52" spans="1:19" ht="60" customHeight="1" x14ac:dyDescent="0.35">
      <c r="A52" s="9" t="s">
        <v>325</v>
      </c>
      <c r="B52" s="2" t="s">
        <v>346</v>
      </c>
      <c r="C52" s="1" t="s">
        <v>347</v>
      </c>
      <c r="D52" s="3" t="s">
        <v>22</v>
      </c>
      <c r="E52" s="3" t="s">
        <v>23</v>
      </c>
      <c r="F52" s="3" t="s">
        <v>48</v>
      </c>
      <c r="G52" s="3" t="s">
        <v>25</v>
      </c>
      <c r="H52" s="3" t="s">
        <v>26</v>
      </c>
      <c r="I52" s="3" t="s">
        <v>27</v>
      </c>
      <c r="J52" s="3" t="s">
        <v>28</v>
      </c>
      <c r="K52" s="4" t="s">
        <v>28</v>
      </c>
      <c r="L52" s="4" t="s">
        <v>348</v>
      </c>
      <c r="M52" s="4" t="s">
        <v>349</v>
      </c>
      <c r="N52" s="4" t="s">
        <v>350</v>
      </c>
      <c r="O52" s="4" t="s">
        <v>351</v>
      </c>
      <c r="P52" s="4" t="s">
        <v>352</v>
      </c>
      <c r="Q52" s="4" t="s">
        <v>353</v>
      </c>
      <c r="R52" s="3" t="str">
        <f t="shared" si="0"/>
        <v>Outstanding</v>
      </c>
      <c r="S52" s="11" t="s">
        <v>28</v>
      </c>
    </row>
    <row r="53" spans="1:19" ht="60" customHeight="1" x14ac:dyDescent="0.35">
      <c r="A53" s="9" t="s">
        <v>325</v>
      </c>
      <c r="B53" s="2" t="s">
        <v>354</v>
      </c>
      <c r="C53" s="1" t="s">
        <v>355</v>
      </c>
      <c r="D53" s="3" t="s">
        <v>22</v>
      </c>
      <c r="E53" s="3" t="s">
        <v>23</v>
      </c>
      <c r="F53" s="3" t="s">
        <v>48</v>
      </c>
      <c r="G53" s="3" t="s">
        <v>25</v>
      </c>
      <c r="H53" s="3" t="s">
        <v>26</v>
      </c>
      <c r="I53" s="3" t="s">
        <v>27</v>
      </c>
      <c r="J53" s="3" t="s">
        <v>28</v>
      </c>
      <c r="K53" s="4" t="s">
        <v>28</v>
      </c>
      <c r="L53" s="4" t="s">
        <v>356</v>
      </c>
      <c r="M53" s="4" t="s">
        <v>357</v>
      </c>
      <c r="N53" s="4" t="s">
        <v>358</v>
      </c>
      <c r="O53" s="4" t="s">
        <v>359</v>
      </c>
      <c r="P53" s="4" t="s">
        <v>360</v>
      </c>
      <c r="Q53" s="4" t="s">
        <v>361</v>
      </c>
      <c r="R53" s="3" t="str">
        <f t="shared" si="0"/>
        <v>Outstanding</v>
      </c>
      <c r="S53" s="11" t="s">
        <v>28</v>
      </c>
    </row>
    <row r="54" spans="1:19" ht="60" customHeight="1" x14ac:dyDescent="0.35">
      <c r="A54" s="9" t="s">
        <v>325</v>
      </c>
      <c r="B54" s="2" t="s">
        <v>362</v>
      </c>
      <c r="C54" s="1" t="s">
        <v>363</v>
      </c>
      <c r="D54" s="3" t="s">
        <v>22</v>
      </c>
      <c r="E54" s="3" t="s">
        <v>23</v>
      </c>
      <c r="F54" s="3" t="s">
        <v>48</v>
      </c>
      <c r="G54" s="3" t="s">
        <v>25</v>
      </c>
      <c r="H54" s="3" t="s">
        <v>26</v>
      </c>
      <c r="I54" s="3" t="s">
        <v>27</v>
      </c>
      <c r="J54" s="3" t="s">
        <v>28</v>
      </c>
      <c r="K54" s="4" t="s">
        <v>28</v>
      </c>
      <c r="L54" s="4" t="s">
        <v>364</v>
      </c>
      <c r="M54" s="4" t="s">
        <v>365</v>
      </c>
      <c r="N54" s="4" t="s">
        <v>366</v>
      </c>
      <c r="O54" s="4" t="s">
        <v>265</v>
      </c>
      <c r="P54" s="4" t="s">
        <v>367</v>
      </c>
      <c r="Q54" s="4" t="s">
        <v>368</v>
      </c>
      <c r="R54" s="3" t="str">
        <f t="shared" si="0"/>
        <v>Outstanding</v>
      </c>
      <c r="S54" s="11" t="s">
        <v>28</v>
      </c>
    </row>
    <row r="55" spans="1:19" ht="60" customHeight="1" x14ac:dyDescent="0.35">
      <c r="A55" s="9" t="s">
        <v>325</v>
      </c>
      <c r="B55" s="2" t="s">
        <v>369</v>
      </c>
      <c r="C55" s="1" t="s">
        <v>370</v>
      </c>
      <c r="D55" s="3" t="s">
        <v>22</v>
      </c>
      <c r="E55" s="3" t="s">
        <v>23</v>
      </c>
      <c r="F55" s="3" t="s">
        <v>48</v>
      </c>
      <c r="G55" s="3" t="s">
        <v>25</v>
      </c>
      <c r="H55" s="3" t="s">
        <v>26</v>
      </c>
      <c r="I55" s="3" t="s">
        <v>27</v>
      </c>
      <c r="J55" s="3" t="s">
        <v>28</v>
      </c>
      <c r="K55" s="4" t="s">
        <v>28</v>
      </c>
      <c r="L55" s="4" t="s">
        <v>371</v>
      </c>
      <c r="M55" s="4" t="s">
        <v>372</v>
      </c>
      <c r="N55" s="4" t="s">
        <v>373</v>
      </c>
      <c r="O55" s="4" t="s">
        <v>374</v>
      </c>
      <c r="P55" s="4" t="s">
        <v>375</v>
      </c>
      <c r="Q55" s="4" t="s">
        <v>376</v>
      </c>
      <c r="R55" s="3" t="str">
        <f t="shared" si="0"/>
        <v>Outstanding</v>
      </c>
      <c r="S55" s="11" t="s">
        <v>28</v>
      </c>
    </row>
    <row r="56" spans="1:19" ht="60" customHeight="1" x14ac:dyDescent="0.35">
      <c r="A56" s="9" t="s">
        <v>325</v>
      </c>
      <c r="B56" s="2" t="s">
        <v>377</v>
      </c>
      <c r="C56" s="1" t="s">
        <v>378</v>
      </c>
      <c r="D56" s="3" t="s">
        <v>22</v>
      </c>
      <c r="E56" s="3" t="s">
        <v>23</v>
      </c>
      <c r="F56" s="3" t="s">
        <v>48</v>
      </c>
      <c r="G56" s="3" t="s">
        <v>25</v>
      </c>
      <c r="H56" s="3" t="s">
        <v>26</v>
      </c>
      <c r="I56" s="3" t="s">
        <v>27</v>
      </c>
      <c r="J56" s="3" t="s">
        <v>28</v>
      </c>
      <c r="K56" s="4" t="s">
        <v>28</v>
      </c>
      <c r="L56" s="4" t="s">
        <v>379</v>
      </c>
      <c r="M56" s="4" t="s">
        <v>380</v>
      </c>
      <c r="N56" s="4" t="s">
        <v>381</v>
      </c>
      <c r="O56" s="4" t="s">
        <v>265</v>
      </c>
      <c r="P56" s="4" t="s">
        <v>382</v>
      </c>
      <c r="Q56" s="4" t="s">
        <v>383</v>
      </c>
      <c r="R56" s="3" t="str">
        <f t="shared" si="0"/>
        <v>Outstanding</v>
      </c>
      <c r="S56" s="11" t="s">
        <v>28</v>
      </c>
    </row>
    <row r="57" spans="1:19" ht="60" customHeight="1" x14ac:dyDescent="0.35">
      <c r="A57" s="9" t="s">
        <v>384</v>
      </c>
      <c r="B57" s="2" t="s">
        <v>385</v>
      </c>
      <c r="C57" s="1" t="s">
        <v>386</v>
      </c>
      <c r="D57" s="3" t="s">
        <v>22</v>
      </c>
      <c r="E57" s="3" t="s">
        <v>23</v>
      </c>
      <c r="F57" s="3" t="s">
        <v>24</v>
      </c>
      <c r="G57" s="3" t="s">
        <v>25</v>
      </c>
      <c r="H57" s="3" t="s">
        <v>26</v>
      </c>
      <c r="I57" s="3" t="s">
        <v>27</v>
      </c>
      <c r="J57" s="3" t="s">
        <v>28</v>
      </c>
      <c r="K57" s="4" t="s">
        <v>28</v>
      </c>
      <c r="L57" s="4" t="s">
        <v>387</v>
      </c>
      <c r="M57" s="4" t="s">
        <v>388</v>
      </c>
      <c r="N57" s="4"/>
      <c r="O57" s="4"/>
      <c r="P57" s="4"/>
      <c r="Q57" s="4"/>
      <c r="R57" s="3" t="str">
        <f t="shared" si="0"/>
        <v>Outstanding</v>
      </c>
      <c r="S57" s="11" t="s">
        <v>28</v>
      </c>
    </row>
    <row r="58" spans="1:19" ht="60" customHeight="1" x14ac:dyDescent="0.35">
      <c r="A58" s="9" t="s">
        <v>384</v>
      </c>
      <c r="B58" s="2" t="s">
        <v>389</v>
      </c>
      <c r="C58" s="1" t="s">
        <v>390</v>
      </c>
      <c r="D58" s="3" t="s">
        <v>22</v>
      </c>
      <c r="E58" s="3" t="s">
        <v>23</v>
      </c>
      <c r="F58" s="3" t="s">
        <v>24</v>
      </c>
      <c r="G58" s="3" t="s">
        <v>25</v>
      </c>
      <c r="H58" s="3" t="s">
        <v>26</v>
      </c>
      <c r="I58" s="3" t="s">
        <v>27</v>
      </c>
      <c r="J58" s="3" t="s">
        <v>28</v>
      </c>
      <c r="K58" s="4" t="s">
        <v>28</v>
      </c>
      <c r="L58" s="4" t="s">
        <v>391</v>
      </c>
      <c r="M58" s="4"/>
      <c r="N58" s="4"/>
      <c r="O58" s="4"/>
      <c r="P58" s="4"/>
      <c r="Q58" s="4"/>
      <c r="R58" s="3" t="str">
        <f t="shared" si="0"/>
        <v>Outstanding</v>
      </c>
      <c r="S58" s="11" t="s">
        <v>28</v>
      </c>
    </row>
    <row r="59" spans="1:19" ht="60" customHeight="1" x14ac:dyDescent="0.35">
      <c r="A59" s="9" t="s">
        <v>384</v>
      </c>
      <c r="B59" s="2" t="s">
        <v>392</v>
      </c>
      <c r="C59" s="1" t="s">
        <v>393</v>
      </c>
      <c r="D59" s="3" t="s">
        <v>22</v>
      </c>
      <c r="E59" s="3" t="s">
        <v>23</v>
      </c>
      <c r="F59" s="3" t="s">
        <v>48</v>
      </c>
      <c r="G59" s="3" t="s">
        <v>25</v>
      </c>
      <c r="H59" s="3" t="s">
        <v>26</v>
      </c>
      <c r="I59" s="3" t="s">
        <v>27</v>
      </c>
      <c r="J59" s="3" t="s">
        <v>28</v>
      </c>
      <c r="K59" s="4" t="s">
        <v>28</v>
      </c>
      <c r="L59" s="4" t="s">
        <v>394</v>
      </c>
      <c r="M59" s="4" t="s">
        <v>395</v>
      </c>
      <c r="N59" s="4" t="s">
        <v>396</v>
      </c>
      <c r="O59" s="4" t="s">
        <v>397</v>
      </c>
      <c r="P59" s="4" t="s">
        <v>398</v>
      </c>
      <c r="Q59" s="4" t="s">
        <v>399</v>
      </c>
      <c r="R59" s="3" t="str">
        <f t="shared" si="0"/>
        <v>Outstanding</v>
      </c>
      <c r="S59" s="11" t="s">
        <v>28</v>
      </c>
    </row>
    <row r="60" spans="1:19" ht="60" customHeight="1" x14ac:dyDescent="0.35">
      <c r="A60" s="9" t="s">
        <v>384</v>
      </c>
      <c r="B60" s="2" t="s">
        <v>400</v>
      </c>
      <c r="C60" s="1" t="s">
        <v>401</v>
      </c>
      <c r="D60" s="3" t="s">
        <v>22</v>
      </c>
      <c r="E60" s="3" t="s">
        <v>23</v>
      </c>
      <c r="F60" s="3" t="s">
        <v>48</v>
      </c>
      <c r="G60" s="3" t="s">
        <v>25</v>
      </c>
      <c r="H60" s="3" t="s">
        <v>26</v>
      </c>
      <c r="I60" s="3" t="s">
        <v>27</v>
      </c>
      <c r="J60" s="3" t="s">
        <v>28</v>
      </c>
      <c r="K60" s="4" t="s">
        <v>28</v>
      </c>
      <c r="L60" s="4" t="s">
        <v>402</v>
      </c>
      <c r="M60" s="4" t="s">
        <v>403</v>
      </c>
      <c r="N60" s="4" t="s">
        <v>404</v>
      </c>
      <c r="O60" s="4" t="s">
        <v>265</v>
      </c>
      <c r="P60" s="4" t="s">
        <v>405</v>
      </c>
      <c r="Q60" s="4" t="s">
        <v>406</v>
      </c>
      <c r="R60" s="3" t="str">
        <f t="shared" si="0"/>
        <v>Outstanding</v>
      </c>
      <c r="S60" s="11" t="s">
        <v>28</v>
      </c>
    </row>
    <row r="61" spans="1:19" ht="60" customHeight="1" x14ac:dyDescent="0.35">
      <c r="A61" s="9" t="s">
        <v>384</v>
      </c>
      <c r="B61" s="2" t="s">
        <v>407</v>
      </c>
      <c r="C61" s="1" t="s">
        <v>408</v>
      </c>
      <c r="D61" s="3" t="s">
        <v>22</v>
      </c>
      <c r="E61" s="3" t="s">
        <v>23</v>
      </c>
      <c r="F61" s="3" t="s">
        <v>48</v>
      </c>
      <c r="G61" s="3" t="s">
        <v>25</v>
      </c>
      <c r="H61" s="3" t="s">
        <v>26</v>
      </c>
      <c r="I61" s="3" t="s">
        <v>27</v>
      </c>
      <c r="J61" s="3" t="s">
        <v>28</v>
      </c>
      <c r="K61" s="4" t="s">
        <v>28</v>
      </c>
      <c r="L61" s="4" t="s">
        <v>409</v>
      </c>
      <c r="M61" s="4"/>
      <c r="N61" s="4"/>
      <c r="O61" s="4"/>
      <c r="P61" s="4"/>
      <c r="Q61" s="4"/>
      <c r="R61" s="3" t="str">
        <f t="shared" si="0"/>
        <v>Outstanding</v>
      </c>
      <c r="S61" s="11" t="s">
        <v>28</v>
      </c>
    </row>
    <row r="62" spans="1:19" ht="60" customHeight="1" x14ac:dyDescent="0.35">
      <c r="A62" s="9" t="s">
        <v>410</v>
      </c>
      <c r="B62" s="2" t="s">
        <v>411</v>
      </c>
      <c r="C62" s="1" t="s">
        <v>412</v>
      </c>
      <c r="D62" s="3" t="s">
        <v>22</v>
      </c>
      <c r="E62" s="3" t="s">
        <v>23</v>
      </c>
      <c r="F62" s="3" t="s">
        <v>24</v>
      </c>
      <c r="G62" s="3" t="s">
        <v>25</v>
      </c>
      <c r="H62" s="3" t="s">
        <v>26</v>
      </c>
      <c r="I62" s="3" t="s">
        <v>27</v>
      </c>
      <c r="J62" s="3" t="s">
        <v>28</v>
      </c>
      <c r="K62" s="4" t="s">
        <v>28</v>
      </c>
      <c r="L62" s="4" t="s">
        <v>413</v>
      </c>
      <c r="M62" s="4" t="s">
        <v>414</v>
      </c>
      <c r="N62" s="4"/>
      <c r="O62" s="4"/>
      <c r="P62" s="4"/>
      <c r="Q62" s="4"/>
      <c r="R62" s="3" t="str">
        <f t="shared" si="0"/>
        <v>Outstanding</v>
      </c>
      <c r="S62" s="11" t="s">
        <v>28</v>
      </c>
    </row>
    <row r="63" spans="1:19" ht="60" customHeight="1" x14ac:dyDescent="0.35">
      <c r="A63" s="9" t="s">
        <v>410</v>
      </c>
      <c r="B63" s="2" t="s">
        <v>415</v>
      </c>
      <c r="C63" s="1" t="s">
        <v>416</v>
      </c>
      <c r="D63" s="3" t="s">
        <v>22</v>
      </c>
      <c r="E63" s="3" t="s">
        <v>23</v>
      </c>
      <c r="F63" s="3" t="s">
        <v>48</v>
      </c>
      <c r="G63" s="3" t="s">
        <v>25</v>
      </c>
      <c r="H63" s="3" t="s">
        <v>26</v>
      </c>
      <c r="I63" s="3" t="s">
        <v>27</v>
      </c>
      <c r="J63" s="3" t="s">
        <v>28</v>
      </c>
      <c r="K63" s="4" t="s">
        <v>28</v>
      </c>
      <c r="L63" s="4" t="s">
        <v>417</v>
      </c>
      <c r="M63" s="4"/>
      <c r="N63" s="4" t="s">
        <v>418</v>
      </c>
      <c r="O63" s="4"/>
      <c r="P63" s="4"/>
      <c r="Q63" s="4"/>
      <c r="R63" s="3" t="str">
        <f t="shared" si="0"/>
        <v>Outstanding</v>
      </c>
      <c r="S63" s="11" t="s">
        <v>28</v>
      </c>
    </row>
    <row r="64" spans="1:19" ht="60" customHeight="1" x14ac:dyDescent="0.35">
      <c r="A64" s="9" t="s">
        <v>410</v>
      </c>
      <c r="B64" s="2" t="s">
        <v>419</v>
      </c>
      <c r="C64" s="1" t="s">
        <v>420</v>
      </c>
      <c r="D64" s="3" t="s">
        <v>22</v>
      </c>
      <c r="E64" s="3" t="s">
        <v>23</v>
      </c>
      <c r="F64" s="3" t="s">
        <v>48</v>
      </c>
      <c r="G64" s="3" t="s">
        <v>25</v>
      </c>
      <c r="H64" s="3" t="s">
        <v>26</v>
      </c>
      <c r="I64" s="3" t="s">
        <v>27</v>
      </c>
      <c r="J64" s="3" t="s">
        <v>28</v>
      </c>
      <c r="K64" s="4" t="s">
        <v>28</v>
      </c>
      <c r="L64" s="4" t="s">
        <v>421</v>
      </c>
      <c r="M64" s="4" t="s">
        <v>422</v>
      </c>
      <c r="N64" s="4" t="s">
        <v>423</v>
      </c>
      <c r="O64" s="4" t="s">
        <v>424</v>
      </c>
      <c r="P64" s="4" t="s">
        <v>425</v>
      </c>
      <c r="Q64" s="4" t="s">
        <v>426</v>
      </c>
      <c r="R64" s="3" t="str">
        <f t="shared" si="0"/>
        <v>Outstanding</v>
      </c>
      <c r="S64" s="11" t="s">
        <v>28</v>
      </c>
    </row>
    <row r="65" spans="1:19" ht="60" customHeight="1" x14ac:dyDescent="0.35">
      <c r="A65" s="9" t="s">
        <v>410</v>
      </c>
      <c r="B65" s="2" t="s">
        <v>427</v>
      </c>
      <c r="C65" s="1" t="s">
        <v>428</v>
      </c>
      <c r="D65" s="3" t="s">
        <v>22</v>
      </c>
      <c r="E65" s="3" t="s">
        <v>23</v>
      </c>
      <c r="F65" s="3" t="s">
        <v>48</v>
      </c>
      <c r="G65" s="3" t="s">
        <v>25</v>
      </c>
      <c r="H65" s="3" t="s">
        <v>26</v>
      </c>
      <c r="I65" s="3" t="s">
        <v>27</v>
      </c>
      <c r="J65" s="3" t="s">
        <v>28</v>
      </c>
      <c r="K65" s="4" t="s">
        <v>28</v>
      </c>
      <c r="L65" s="4" t="s">
        <v>429</v>
      </c>
      <c r="M65" s="4" t="s">
        <v>430</v>
      </c>
      <c r="N65" s="4" t="s">
        <v>423</v>
      </c>
      <c r="O65" s="4" t="s">
        <v>431</v>
      </c>
      <c r="P65" s="4" t="s">
        <v>432</v>
      </c>
      <c r="Q65" s="4" t="s">
        <v>433</v>
      </c>
      <c r="R65" s="3" t="str">
        <f t="shared" si="0"/>
        <v>Outstanding</v>
      </c>
      <c r="S65" s="11" t="s">
        <v>28</v>
      </c>
    </row>
    <row r="66" spans="1:19" ht="60" customHeight="1" x14ac:dyDescent="0.35">
      <c r="A66" s="9" t="s">
        <v>410</v>
      </c>
      <c r="B66" s="2" t="s">
        <v>434</v>
      </c>
      <c r="C66" s="1" t="s">
        <v>435</v>
      </c>
      <c r="D66" s="3" t="s">
        <v>22</v>
      </c>
      <c r="E66" s="3" t="s">
        <v>23</v>
      </c>
      <c r="F66" s="3" t="s">
        <v>48</v>
      </c>
      <c r="G66" s="3" t="s">
        <v>25</v>
      </c>
      <c r="H66" s="3" t="s">
        <v>26</v>
      </c>
      <c r="I66" s="3" t="s">
        <v>27</v>
      </c>
      <c r="J66" s="3" t="s">
        <v>28</v>
      </c>
      <c r="K66" s="4" t="s">
        <v>28</v>
      </c>
      <c r="L66" s="4" t="s">
        <v>436</v>
      </c>
      <c r="M66" s="4"/>
      <c r="N66" s="4"/>
      <c r="O66" s="4"/>
      <c r="P66" s="4"/>
      <c r="Q66" s="4"/>
      <c r="R66" s="3" t="str">
        <f t="shared" si="0"/>
        <v>Outstanding</v>
      </c>
      <c r="S66" s="11" t="s">
        <v>28</v>
      </c>
    </row>
    <row r="67" spans="1:19" ht="60" customHeight="1" x14ac:dyDescent="0.35">
      <c r="A67" s="9" t="s">
        <v>410</v>
      </c>
      <c r="B67" s="2" t="s">
        <v>437</v>
      </c>
      <c r="C67" s="1" t="s">
        <v>438</v>
      </c>
      <c r="D67" s="3" t="s">
        <v>22</v>
      </c>
      <c r="E67" s="3" t="s">
        <v>23</v>
      </c>
      <c r="F67" s="3" t="s">
        <v>48</v>
      </c>
      <c r="G67" s="3" t="s">
        <v>25</v>
      </c>
      <c r="H67" s="3" t="s">
        <v>26</v>
      </c>
      <c r="I67" s="3" t="s">
        <v>27</v>
      </c>
      <c r="J67" s="3" t="s">
        <v>28</v>
      </c>
      <c r="K67" s="4" t="s">
        <v>28</v>
      </c>
      <c r="L67" s="4" t="s">
        <v>439</v>
      </c>
      <c r="M67" s="4" t="s">
        <v>440</v>
      </c>
      <c r="N67" s="4" t="s">
        <v>423</v>
      </c>
      <c r="O67" s="4" t="s">
        <v>441</v>
      </c>
      <c r="P67" s="4" t="s">
        <v>442</v>
      </c>
      <c r="Q67" s="4" t="s">
        <v>443</v>
      </c>
      <c r="R67" s="3" t="str">
        <f t="shared" si="0"/>
        <v>Outstanding</v>
      </c>
      <c r="S67" s="11" t="s">
        <v>28</v>
      </c>
    </row>
    <row r="68" spans="1:19" ht="60" customHeight="1" x14ac:dyDescent="0.35">
      <c r="A68" s="9" t="s">
        <v>410</v>
      </c>
      <c r="B68" s="2" t="s">
        <v>444</v>
      </c>
      <c r="C68" s="1" t="s">
        <v>445</v>
      </c>
      <c r="D68" s="3" t="s">
        <v>22</v>
      </c>
      <c r="E68" s="3" t="s">
        <v>23</v>
      </c>
      <c r="F68" s="3" t="s">
        <v>48</v>
      </c>
      <c r="G68" s="3" t="s">
        <v>25</v>
      </c>
      <c r="H68" s="3" t="s">
        <v>26</v>
      </c>
      <c r="I68" s="3" t="s">
        <v>27</v>
      </c>
      <c r="J68" s="3" t="s">
        <v>28</v>
      </c>
      <c r="K68" s="4" t="s">
        <v>28</v>
      </c>
      <c r="L68" s="4" t="s">
        <v>446</v>
      </c>
      <c r="M68" s="4" t="s">
        <v>447</v>
      </c>
      <c r="N68" s="4" t="s">
        <v>448</v>
      </c>
      <c r="O68" s="4" t="s">
        <v>265</v>
      </c>
      <c r="P68" s="4" t="s">
        <v>449</v>
      </c>
      <c r="Q68" s="4" t="s">
        <v>450</v>
      </c>
      <c r="R68" s="3" t="str">
        <f t="shared" si="0"/>
        <v>Outstanding</v>
      </c>
      <c r="S68" s="11" t="s">
        <v>28</v>
      </c>
    </row>
    <row r="69" spans="1:19" ht="60" customHeight="1" x14ac:dyDescent="0.35">
      <c r="A69" s="9" t="s">
        <v>451</v>
      </c>
      <c r="B69" s="2" t="s">
        <v>452</v>
      </c>
      <c r="C69" s="1" t="s">
        <v>453</v>
      </c>
      <c r="D69" s="3" t="s">
        <v>22</v>
      </c>
      <c r="E69" s="3" t="s">
        <v>23</v>
      </c>
      <c r="F69" s="3" t="s">
        <v>24</v>
      </c>
      <c r="G69" s="3" t="s">
        <v>25</v>
      </c>
      <c r="H69" s="3" t="s">
        <v>26</v>
      </c>
      <c r="I69" s="3" t="s">
        <v>27</v>
      </c>
      <c r="J69" s="3" t="s">
        <v>28</v>
      </c>
      <c r="K69" s="4" t="s">
        <v>28</v>
      </c>
      <c r="L69" s="4" t="s">
        <v>454</v>
      </c>
      <c r="M69" s="4" t="s">
        <v>455</v>
      </c>
      <c r="N69" s="4"/>
      <c r="O69" s="4"/>
      <c r="P69" s="4"/>
      <c r="Q69" s="4"/>
      <c r="R69" s="3" t="str">
        <f t="shared" si="0"/>
        <v>Outstanding</v>
      </c>
      <c r="S69" s="11" t="s">
        <v>28</v>
      </c>
    </row>
    <row r="70" spans="1:19" ht="60" customHeight="1" x14ac:dyDescent="0.35">
      <c r="A70" s="9" t="s">
        <v>456</v>
      </c>
      <c r="B70" s="2" t="s">
        <v>457</v>
      </c>
      <c r="C70" s="1" t="s">
        <v>458</v>
      </c>
      <c r="D70" s="3" t="s">
        <v>22</v>
      </c>
      <c r="E70" s="3" t="s">
        <v>23</v>
      </c>
      <c r="F70" s="3" t="s">
        <v>24</v>
      </c>
      <c r="G70" s="3" t="s">
        <v>25</v>
      </c>
      <c r="H70" s="3" t="s">
        <v>26</v>
      </c>
      <c r="I70" s="3" t="s">
        <v>27</v>
      </c>
      <c r="J70" s="3" t="s">
        <v>28</v>
      </c>
      <c r="K70" s="4" t="s">
        <v>28</v>
      </c>
      <c r="L70" s="4" t="s">
        <v>459</v>
      </c>
      <c r="M70" s="4" t="s">
        <v>460</v>
      </c>
      <c r="N70" s="4"/>
      <c r="O70" s="4"/>
      <c r="P70" s="4"/>
      <c r="Q70" s="4"/>
      <c r="R70" s="3" t="str">
        <f t="shared" si="0"/>
        <v>Outstanding</v>
      </c>
      <c r="S70" s="11" t="s">
        <v>28</v>
      </c>
    </row>
    <row r="71" spans="1:19" ht="60" customHeight="1" x14ac:dyDescent="0.35">
      <c r="A71" s="9" t="s">
        <v>461</v>
      </c>
      <c r="B71" s="2" t="s">
        <v>462</v>
      </c>
      <c r="C71" s="1" t="s">
        <v>463</v>
      </c>
      <c r="D71" s="3" t="s">
        <v>22</v>
      </c>
      <c r="E71" s="3" t="s">
        <v>23</v>
      </c>
      <c r="F71" s="3" t="s">
        <v>24</v>
      </c>
      <c r="G71" s="3" t="s">
        <v>25</v>
      </c>
      <c r="H71" s="3" t="s">
        <v>26</v>
      </c>
      <c r="I71" s="3" t="s">
        <v>27</v>
      </c>
      <c r="J71" s="3" t="s">
        <v>28</v>
      </c>
      <c r="K71" s="4" t="s">
        <v>28</v>
      </c>
      <c r="L71" s="4" t="s">
        <v>464</v>
      </c>
      <c r="M71" s="4" t="s">
        <v>465</v>
      </c>
      <c r="N71" s="4"/>
      <c r="O71" s="4"/>
      <c r="P71" s="4"/>
      <c r="Q71" s="4"/>
      <c r="R71" s="3" t="str">
        <f t="shared" si="0"/>
        <v>Outstanding</v>
      </c>
      <c r="S71" s="11" t="s">
        <v>28</v>
      </c>
    </row>
    <row r="72" spans="1:19" ht="60" customHeight="1" x14ac:dyDescent="0.35">
      <c r="A72" s="9" t="s">
        <v>461</v>
      </c>
      <c r="B72" s="2" t="s">
        <v>466</v>
      </c>
      <c r="C72" s="1" t="s">
        <v>467</v>
      </c>
      <c r="D72" s="3" t="s">
        <v>22</v>
      </c>
      <c r="E72" s="3" t="s">
        <v>23</v>
      </c>
      <c r="F72" s="3" t="s">
        <v>48</v>
      </c>
      <c r="G72" s="3" t="s">
        <v>25</v>
      </c>
      <c r="H72" s="3" t="s">
        <v>26</v>
      </c>
      <c r="I72" s="3" t="s">
        <v>27</v>
      </c>
      <c r="J72" s="3" t="s">
        <v>28</v>
      </c>
      <c r="K72" s="4" t="s">
        <v>28</v>
      </c>
      <c r="L72" s="4" t="s">
        <v>468</v>
      </c>
      <c r="M72" s="4"/>
      <c r="N72" s="4"/>
      <c r="O72" s="4"/>
      <c r="P72" s="4"/>
      <c r="Q72" s="4"/>
      <c r="R72" s="3" t="str">
        <f t="shared" si="0"/>
        <v>Outstanding</v>
      </c>
      <c r="S72" s="11" t="s">
        <v>28</v>
      </c>
    </row>
    <row r="73" spans="1:19" ht="60" customHeight="1" x14ac:dyDescent="0.35">
      <c r="A73" s="9" t="s">
        <v>461</v>
      </c>
      <c r="B73" s="2" t="s">
        <v>469</v>
      </c>
      <c r="C73" s="1" t="s">
        <v>470</v>
      </c>
      <c r="D73" s="3" t="s">
        <v>22</v>
      </c>
      <c r="E73" s="3" t="s">
        <v>23</v>
      </c>
      <c r="F73" s="3" t="s">
        <v>48</v>
      </c>
      <c r="G73" s="3" t="s">
        <v>25</v>
      </c>
      <c r="H73" s="3" t="s">
        <v>26</v>
      </c>
      <c r="I73" s="3" t="s">
        <v>27</v>
      </c>
      <c r="J73" s="3" t="s">
        <v>28</v>
      </c>
      <c r="K73" s="4" t="s">
        <v>28</v>
      </c>
      <c r="L73" s="4" t="s">
        <v>471</v>
      </c>
      <c r="M73" s="4"/>
      <c r="N73" s="4"/>
      <c r="O73" s="4"/>
      <c r="P73" s="4"/>
      <c r="Q73" s="4"/>
      <c r="R73" s="3" t="str">
        <f t="shared" si="0"/>
        <v>Outstanding</v>
      </c>
      <c r="S73" s="11" t="s">
        <v>28</v>
      </c>
    </row>
    <row r="74" spans="1:19" ht="60" customHeight="1" x14ac:dyDescent="0.35">
      <c r="A74" s="9" t="s">
        <v>461</v>
      </c>
      <c r="B74" s="2" t="s">
        <v>472</v>
      </c>
      <c r="C74" s="1" t="s">
        <v>473</v>
      </c>
      <c r="D74" s="3" t="s">
        <v>22</v>
      </c>
      <c r="E74" s="3" t="s">
        <v>23</v>
      </c>
      <c r="F74" s="3" t="s">
        <v>48</v>
      </c>
      <c r="G74" s="3" t="s">
        <v>25</v>
      </c>
      <c r="H74" s="3" t="s">
        <v>26</v>
      </c>
      <c r="I74" s="3" t="s">
        <v>27</v>
      </c>
      <c r="J74" s="3" t="s">
        <v>28</v>
      </c>
      <c r="K74" s="4" t="s">
        <v>28</v>
      </c>
      <c r="L74" s="4" t="s">
        <v>474</v>
      </c>
      <c r="M74" s="4"/>
      <c r="N74" s="4"/>
      <c r="O74" s="4"/>
      <c r="P74" s="4"/>
      <c r="Q74" s="4"/>
      <c r="R74" s="3" t="str">
        <f t="shared" si="0"/>
        <v>Outstanding</v>
      </c>
      <c r="S74" s="11" t="s">
        <v>28</v>
      </c>
    </row>
    <row r="75" spans="1:19" ht="60" customHeight="1" x14ac:dyDescent="0.35">
      <c r="A75" s="9" t="s">
        <v>461</v>
      </c>
      <c r="B75" s="2" t="s">
        <v>475</v>
      </c>
      <c r="C75" s="1" t="s">
        <v>476</v>
      </c>
      <c r="D75" s="3" t="s">
        <v>22</v>
      </c>
      <c r="E75" s="3" t="s">
        <v>23</v>
      </c>
      <c r="F75" s="3" t="s">
        <v>48</v>
      </c>
      <c r="G75" s="3" t="s">
        <v>25</v>
      </c>
      <c r="H75" s="3" t="s">
        <v>26</v>
      </c>
      <c r="I75" s="3" t="s">
        <v>27</v>
      </c>
      <c r="J75" s="3" t="s">
        <v>28</v>
      </c>
      <c r="K75" s="4" t="s">
        <v>28</v>
      </c>
      <c r="L75" s="4" t="s">
        <v>477</v>
      </c>
      <c r="M75" s="4"/>
      <c r="N75" s="4"/>
      <c r="O75" s="4"/>
      <c r="P75" s="4"/>
      <c r="Q75" s="4"/>
      <c r="R75" s="3" t="str">
        <f t="shared" si="0"/>
        <v>Outstanding</v>
      </c>
      <c r="S75" s="11" t="s">
        <v>28</v>
      </c>
    </row>
    <row r="76" spans="1:19" ht="60" customHeight="1" x14ac:dyDescent="0.35">
      <c r="A76" s="9" t="s">
        <v>461</v>
      </c>
      <c r="B76" s="2" t="s">
        <v>478</v>
      </c>
      <c r="C76" s="1" t="s">
        <v>479</v>
      </c>
      <c r="D76" s="3" t="s">
        <v>22</v>
      </c>
      <c r="E76" s="3" t="s">
        <v>23</v>
      </c>
      <c r="F76" s="3" t="s">
        <v>48</v>
      </c>
      <c r="G76" s="3" t="s">
        <v>25</v>
      </c>
      <c r="H76" s="3" t="s">
        <v>26</v>
      </c>
      <c r="I76" s="3" t="s">
        <v>27</v>
      </c>
      <c r="J76" s="3" t="s">
        <v>28</v>
      </c>
      <c r="K76" s="4" t="s">
        <v>28</v>
      </c>
      <c r="L76" s="4" t="s">
        <v>480</v>
      </c>
      <c r="M76" s="4"/>
      <c r="N76" s="4"/>
      <c r="O76" s="4"/>
      <c r="P76" s="4"/>
      <c r="Q76" s="4"/>
      <c r="R76" s="3" t="str">
        <f t="shared" si="0"/>
        <v>Outstanding</v>
      </c>
      <c r="S76" s="11" t="s">
        <v>28</v>
      </c>
    </row>
    <row r="77" spans="1:19" ht="60" customHeight="1" x14ac:dyDescent="0.35">
      <c r="A77" s="9" t="s">
        <v>461</v>
      </c>
      <c r="B77" s="2" t="s">
        <v>481</v>
      </c>
      <c r="C77" s="1" t="s">
        <v>482</v>
      </c>
      <c r="D77" s="3" t="s">
        <v>22</v>
      </c>
      <c r="E77" s="3" t="s">
        <v>23</v>
      </c>
      <c r="F77" s="3" t="s">
        <v>48</v>
      </c>
      <c r="G77" s="3" t="s">
        <v>25</v>
      </c>
      <c r="H77" s="3" t="s">
        <v>26</v>
      </c>
      <c r="I77" s="3" t="s">
        <v>27</v>
      </c>
      <c r="J77" s="3" t="s">
        <v>28</v>
      </c>
      <c r="K77" s="4" t="s">
        <v>28</v>
      </c>
      <c r="L77" s="4" t="s">
        <v>483</v>
      </c>
      <c r="M77" s="4"/>
      <c r="N77" s="4"/>
      <c r="O77" s="4"/>
      <c r="P77" s="4"/>
      <c r="Q77" s="4"/>
      <c r="R77" s="3" t="str">
        <f t="shared" si="0"/>
        <v>Outstanding</v>
      </c>
      <c r="S77" s="11" t="s">
        <v>28</v>
      </c>
    </row>
    <row r="78" spans="1:19" ht="60" customHeight="1" x14ac:dyDescent="0.35">
      <c r="A78" s="9" t="s">
        <v>484</v>
      </c>
      <c r="B78" s="2" t="s">
        <v>485</v>
      </c>
      <c r="C78" s="1" t="s">
        <v>486</v>
      </c>
      <c r="D78" s="3" t="s">
        <v>22</v>
      </c>
      <c r="E78" s="3" t="s">
        <v>23</v>
      </c>
      <c r="F78" s="3" t="s">
        <v>24</v>
      </c>
      <c r="G78" s="3" t="s">
        <v>25</v>
      </c>
      <c r="H78" s="3" t="s">
        <v>26</v>
      </c>
      <c r="I78" s="3" t="s">
        <v>27</v>
      </c>
      <c r="J78" s="3" t="s">
        <v>28</v>
      </c>
      <c r="K78" s="4" t="s">
        <v>28</v>
      </c>
      <c r="L78" s="4" t="s">
        <v>487</v>
      </c>
      <c r="M78" s="4" t="s">
        <v>488</v>
      </c>
      <c r="N78" s="4"/>
      <c r="O78" s="4"/>
      <c r="P78" s="4"/>
      <c r="Q78" s="4"/>
      <c r="R78" s="3" t="str">
        <f t="shared" si="0"/>
        <v>Outstanding</v>
      </c>
      <c r="S78" s="11" t="s">
        <v>28</v>
      </c>
    </row>
    <row r="79" spans="1:19" ht="60" customHeight="1" x14ac:dyDescent="0.35">
      <c r="A79" s="9" t="s">
        <v>489</v>
      </c>
      <c r="B79" s="2" t="s">
        <v>490</v>
      </c>
      <c r="C79" s="1" t="s">
        <v>491</v>
      </c>
      <c r="D79" s="3" t="s">
        <v>22</v>
      </c>
      <c r="E79" s="3" t="s">
        <v>23</v>
      </c>
      <c r="F79" s="3" t="s">
        <v>24</v>
      </c>
      <c r="G79" s="3" t="s">
        <v>25</v>
      </c>
      <c r="H79" s="3" t="s">
        <v>26</v>
      </c>
      <c r="I79" s="3" t="s">
        <v>27</v>
      </c>
      <c r="J79" s="3" t="s">
        <v>28</v>
      </c>
      <c r="K79" s="4" t="s">
        <v>28</v>
      </c>
      <c r="L79" s="4" t="s">
        <v>492</v>
      </c>
      <c r="M79" s="4" t="s">
        <v>493</v>
      </c>
      <c r="N79" s="4"/>
      <c r="O79" s="4"/>
      <c r="P79" s="4"/>
      <c r="Q79" s="4"/>
      <c r="R79" s="3" t="str">
        <f t="shared" si="0"/>
        <v>Outstanding</v>
      </c>
      <c r="S79" s="11" t="s">
        <v>28</v>
      </c>
    </row>
    <row r="80" spans="1:19" ht="60" customHeight="1" x14ac:dyDescent="0.35">
      <c r="A80" s="9" t="s">
        <v>489</v>
      </c>
      <c r="B80" s="2" t="s">
        <v>494</v>
      </c>
      <c r="C80" s="1" t="s">
        <v>495</v>
      </c>
      <c r="D80" s="3" t="s">
        <v>22</v>
      </c>
      <c r="E80" s="3" t="s">
        <v>23</v>
      </c>
      <c r="F80" s="3" t="s">
        <v>48</v>
      </c>
      <c r="G80" s="3" t="s">
        <v>25</v>
      </c>
      <c r="H80" s="3" t="s">
        <v>26</v>
      </c>
      <c r="I80" s="3" t="s">
        <v>27</v>
      </c>
      <c r="J80" s="3" t="s">
        <v>28</v>
      </c>
      <c r="K80" s="4" t="s">
        <v>28</v>
      </c>
      <c r="L80" s="4" t="s">
        <v>496</v>
      </c>
      <c r="M80" s="4" t="s">
        <v>497</v>
      </c>
      <c r="N80" s="4" t="s">
        <v>498</v>
      </c>
      <c r="O80" s="4" t="s">
        <v>499</v>
      </c>
      <c r="P80" s="4" t="s">
        <v>500</v>
      </c>
      <c r="Q80" s="4" t="s">
        <v>501</v>
      </c>
      <c r="R80" s="3" t="str">
        <f t="shared" si="0"/>
        <v>Outstanding</v>
      </c>
      <c r="S80" s="11" t="s">
        <v>28</v>
      </c>
    </row>
    <row r="81" spans="1:19" ht="60" customHeight="1" x14ac:dyDescent="0.35">
      <c r="A81" s="9" t="s">
        <v>489</v>
      </c>
      <c r="B81" s="2" t="s">
        <v>502</v>
      </c>
      <c r="C81" s="1" t="s">
        <v>503</v>
      </c>
      <c r="D81" s="3" t="s">
        <v>22</v>
      </c>
      <c r="E81" s="3" t="s">
        <v>23</v>
      </c>
      <c r="F81" s="3" t="s">
        <v>48</v>
      </c>
      <c r="G81" s="3" t="s">
        <v>25</v>
      </c>
      <c r="H81" s="3" t="s">
        <v>26</v>
      </c>
      <c r="I81" s="3" t="s">
        <v>27</v>
      </c>
      <c r="J81" s="3" t="s">
        <v>28</v>
      </c>
      <c r="K81" s="4" t="s">
        <v>28</v>
      </c>
      <c r="L81" s="4" t="s">
        <v>504</v>
      </c>
      <c r="M81" s="4"/>
      <c r="N81" s="4"/>
      <c r="O81" s="4"/>
      <c r="P81" s="4"/>
      <c r="Q81" s="4"/>
      <c r="R81" s="3" t="str">
        <f t="shared" si="0"/>
        <v>Outstanding</v>
      </c>
      <c r="S81" s="11" t="s">
        <v>28</v>
      </c>
    </row>
    <row r="82" spans="1:19" ht="60" customHeight="1" x14ac:dyDescent="0.35">
      <c r="A82" s="9" t="s">
        <v>489</v>
      </c>
      <c r="B82" s="2" t="s">
        <v>505</v>
      </c>
      <c r="C82" s="1" t="s">
        <v>506</v>
      </c>
      <c r="D82" s="3" t="s">
        <v>22</v>
      </c>
      <c r="E82" s="3" t="s">
        <v>23</v>
      </c>
      <c r="F82" s="3" t="s">
        <v>48</v>
      </c>
      <c r="G82" s="3" t="s">
        <v>25</v>
      </c>
      <c r="H82" s="3" t="s">
        <v>26</v>
      </c>
      <c r="I82" s="3" t="s">
        <v>27</v>
      </c>
      <c r="J82" s="3" t="s">
        <v>28</v>
      </c>
      <c r="K82" s="4" t="s">
        <v>28</v>
      </c>
      <c r="L82" s="4" t="s">
        <v>507</v>
      </c>
      <c r="M82" s="4"/>
      <c r="N82" s="4"/>
      <c r="O82" s="4"/>
      <c r="P82" s="4"/>
      <c r="Q82" s="4"/>
      <c r="R82" s="3" t="str">
        <f t="shared" si="0"/>
        <v>Outstanding</v>
      </c>
      <c r="S82" s="11" t="s">
        <v>28</v>
      </c>
    </row>
    <row r="83" spans="1:19" ht="60" customHeight="1" x14ac:dyDescent="0.35">
      <c r="A83" s="9" t="s">
        <v>489</v>
      </c>
      <c r="B83" s="2" t="s">
        <v>508</v>
      </c>
      <c r="C83" s="1" t="s">
        <v>509</v>
      </c>
      <c r="D83" s="3" t="s">
        <v>22</v>
      </c>
      <c r="E83" s="3" t="s">
        <v>23</v>
      </c>
      <c r="F83" s="3" t="s">
        <v>48</v>
      </c>
      <c r="G83" s="3" t="s">
        <v>25</v>
      </c>
      <c r="H83" s="3" t="s">
        <v>26</v>
      </c>
      <c r="I83" s="3" t="s">
        <v>27</v>
      </c>
      <c r="J83" s="3" t="s">
        <v>28</v>
      </c>
      <c r="K83" s="4" t="s">
        <v>28</v>
      </c>
      <c r="L83" s="4" t="s">
        <v>510</v>
      </c>
      <c r="M83" s="4"/>
      <c r="N83" s="4"/>
      <c r="O83" s="4"/>
      <c r="P83" s="4"/>
      <c r="Q83" s="4"/>
      <c r="R83" s="3" t="str">
        <f t="shared" si="0"/>
        <v>Outstanding</v>
      </c>
      <c r="S83" s="11" t="s">
        <v>28</v>
      </c>
    </row>
    <row r="84" spans="1:19" ht="60" customHeight="1" x14ac:dyDescent="0.35">
      <c r="A84" s="9" t="s">
        <v>489</v>
      </c>
      <c r="B84" s="2" t="s">
        <v>511</v>
      </c>
      <c r="C84" s="1" t="s">
        <v>512</v>
      </c>
      <c r="D84" s="3" t="s">
        <v>22</v>
      </c>
      <c r="E84" s="3" t="s">
        <v>23</v>
      </c>
      <c r="F84" s="3" t="s">
        <v>24</v>
      </c>
      <c r="G84" s="3" t="s">
        <v>25</v>
      </c>
      <c r="H84" s="3" t="s">
        <v>26</v>
      </c>
      <c r="I84" s="3" t="s">
        <v>27</v>
      </c>
      <c r="J84" s="3" t="s">
        <v>28</v>
      </c>
      <c r="K84" s="4" t="s">
        <v>28</v>
      </c>
      <c r="L84" s="4" t="s">
        <v>513</v>
      </c>
      <c r="M84" s="4"/>
      <c r="N84" s="4"/>
      <c r="O84" s="4"/>
      <c r="P84" s="4"/>
      <c r="Q84" s="4"/>
      <c r="R84" s="3" t="str">
        <f t="shared" si="0"/>
        <v>Outstanding</v>
      </c>
      <c r="S84" s="11" t="s">
        <v>28</v>
      </c>
    </row>
    <row r="85" spans="1:19" ht="60" customHeight="1" x14ac:dyDescent="0.35">
      <c r="A85" s="9" t="s">
        <v>514</v>
      </c>
      <c r="B85" s="2" t="s">
        <v>515</v>
      </c>
      <c r="C85" s="1" t="s">
        <v>516</v>
      </c>
      <c r="D85" s="3" t="s">
        <v>22</v>
      </c>
      <c r="E85" s="3" t="s">
        <v>23</v>
      </c>
      <c r="F85" s="3" t="s">
        <v>24</v>
      </c>
      <c r="G85" s="3" t="s">
        <v>25</v>
      </c>
      <c r="H85" s="3" t="s">
        <v>26</v>
      </c>
      <c r="I85" s="3" t="s">
        <v>27</v>
      </c>
      <c r="J85" s="3" t="s">
        <v>28</v>
      </c>
      <c r="K85" s="4" t="s">
        <v>28</v>
      </c>
      <c r="L85" s="4" t="s">
        <v>517</v>
      </c>
      <c r="M85" s="4" t="s">
        <v>518</v>
      </c>
      <c r="N85" s="4"/>
      <c r="O85" s="4"/>
      <c r="P85" s="4"/>
      <c r="Q85" s="4"/>
      <c r="R85" s="3" t="str">
        <f t="shared" si="0"/>
        <v>Outstanding</v>
      </c>
      <c r="S85" s="11" t="s">
        <v>28</v>
      </c>
    </row>
    <row r="86" spans="1:19" ht="60" customHeight="1" x14ac:dyDescent="0.35">
      <c r="A86" s="9" t="s">
        <v>519</v>
      </c>
      <c r="B86" s="2" t="s">
        <v>520</v>
      </c>
      <c r="C86" s="1" t="s">
        <v>521</v>
      </c>
      <c r="D86" s="3" t="s">
        <v>22</v>
      </c>
      <c r="E86" s="3" t="s">
        <v>23</v>
      </c>
      <c r="F86" s="3" t="s">
        <v>24</v>
      </c>
      <c r="G86" s="3" t="s">
        <v>25</v>
      </c>
      <c r="H86" s="3" t="s">
        <v>26</v>
      </c>
      <c r="I86" s="3" t="s">
        <v>27</v>
      </c>
      <c r="J86" s="3" t="s">
        <v>28</v>
      </c>
      <c r="K86" s="4" t="s">
        <v>28</v>
      </c>
      <c r="L86" s="4" t="s">
        <v>522</v>
      </c>
      <c r="M86" s="4" t="s">
        <v>523</v>
      </c>
      <c r="N86" s="4"/>
      <c r="O86" s="4"/>
      <c r="P86" s="4"/>
      <c r="Q86" s="4"/>
      <c r="R86" s="3" t="str">
        <f t="shared" si="0"/>
        <v>Outstanding</v>
      </c>
      <c r="S86" s="11" t="s">
        <v>28</v>
      </c>
    </row>
    <row r="87" spans="1:19" ht="60" customHeight="1" x14ac:dyDescent="0.35">
      <c r="A87" s="9" t="s">
        <v>524</v>
      </c>
      <c r="B87" s="2" t="s">
        <v>525</v>
      </c>
      <c r="C87" s="1" t="s">
        <v>526</v>
      </c>
      <c r="D87" s="3" t="s">
        <v>22</v>
      </c>
      <c r="E87" s="3" t="s">
        <v>23</v>
      </c>
      <c r="F87" s="3" t="s">
        <v>24</v>
      </c>
      <c r="G87" s="3" t="s">
        <v>25</v>
      </c>
      <c r="H87" s="3" t="s">
        <v>26</v>
      </c>
      <c r="I87" s="3" t="s">
        <v>27</v>
      </c>
      <c r="J87" s="3" t="s">
        <v>28</v>
      </c>
      <c r="K87" s="4" t="s">
        <v>28</v>
      </c>
      <c r="L87" s="4" t="s">
        <v>527</v>
      </c>
      <c r="M87" s="4" t="s">
        <v>528</v>
      </c>
      <c r="N87" s="4"/>
      <c r="O87" s="4"/>
      <c r="P87" s="4"/>
      <c r="Q87" s="4"/>
      <c r="R87" s="3" t="str">
        <f t="shared" si="0"/>
        <v>Outstanding</v>
      </c>
      <c r="S87" s="11" t="s">
        <v>28</v>
      </c>
    </row>
    <row r="88" spans="1:19" ht="60" customHeight="1" x14ac:dyDescent="0.35">
      <c r="A88" s="9" t="s">
        <v>529</v>
      </c>
      <c r="B88" s="2" t="s">
        <v>530</v>
      </c>
      <c r="C88" s="1" t="s">
        <v>531</v>
      </c>
      <c r="D88" s="3" t="s">
        <v>532</v>
      </c>
      <c r="E88" s="3" t="s">
        <v>23</v>
      </c>
      <c r="F88" s="3" t="s">
        <v>24</v>
      </c>
      <c r="G88" s="3" t="s">
        <v>25</v>
      </c>
      <c r="H88" s="3" t="s">
        <v>26</v>
      </c>
      <c r="I88" s="3" t="s">
        <v>27</v>
      </c>
      <c r="J88" s="3" t="s">
        <v>28</v>
      </c>
      <c r="K88" s="4" t="s">
        <v>28</v>
      </c>
      <c r="L88" s="4" t="s">
        <v>533</v>
      </c>
      <c r="M88" s="4" t="s">
        <v>534</v>
      </c>
      <c r="N88" s="4"/>
      <c r="O88" s="4"/>
      <c r="P88" s="4"/>
      <c r="Q88" s="4"/>
      <c r="R88" s="3" t="str">
        <f t="shared" si="0"/>
        <v>Outstanding</v>
      </c>
      <c r="S88" s="11" t="s">
        <v>28</v>
      </c>
    </row>
    <row r="89" spans="1:19" ht="60" customHeight="1" x14ac:dyDescent="0.35">
      <c r="A89" s="9" t="s">
        <v>529</v>
      </c>
      <c r="B89" s="2" t="s">
        <v>535</v>
      </c>
      <c r="C89" s="1" t="s">
        <v>536</v>
      </c>
      <c r="D89" s="3" t="s">
        <v>532</v>
      </c>
      <c r="E89" s="3" t="s">
        <v>23</v>
      </c>
      <c r="F89" s="3" t="s">
        <v>48</v>
      </c>
      <c r="G89" s="3" t="s">
        <v>25</v>
      </c>
      <c r="H89" s="3" t="s">
        <v>26</v>
      </c>
      <c r="I89" s="3" t="s">
        <v>27</v>
      </c>
      <c r="J89" s="3" t="s">
        <v>28</v>
      </c>
      <c r="K89" s="4" t="s">
        <v>28</v>
      </c>
      <c r="L89" s="4" t="s">
        <v>537</v>
      </c>
      <c r="M89" s="4" t="s">
        <v>538</v>
      </c>
      <c r="N89" s="4" t="s">
        <v>539</v>
      </c>
      <c r="O89" s="4" t="s">
        <v>540</v>
      </c>
      <c r="P89" s="4" t="s">
        <v>541</v>
      </c>
      <c r="Q89" s="4" t="s">
        <v>542</v>
      </c>
      <c r="R89" s="3" t="str">
        <f t="shared" si="0"/>
        <v>Outstanding</v>
      </c>
      <c r="S89" s="11" t="s">
        <v>28</v>
      </c>
    </row>
    <row r="90" spans="1:19" ht="60" customHeight="1" x14ac:dyDescent="0.35">
      <c r="A90" s="9" t="s">
        <v>529</v>
      </c>
      <c r="B90" s="2" t="s">
        <v>543</v>
      </c>
      <c r="C90" s="1" t="s">
        <v>544</v>
      </c>
      <c r="D90" s="3" t="s">
        <v>532</v>
      </c>
      <c r="E90" s="3" t="s">
        <v>23</v>
      </c>
      <c r="F90" s="3" t="s">
        <v>48</v>
      </c>
      <c r="G90" s="3" t="s">
        <v>25</v>
      </c>
      <c r="H90" s="3" t="s">
        <v>26</v>
      </c>
      <c r="I90" s="3" t="s">
        <v>27</v>
      </c>
      <c r="J90" s="3" t="s">
        <v>28</v>
      </c>
      <c r="K90" s="4" t="s">
        <v>28</v>
      </c>
      <c r="L90" s="4" t="s">
        <v>545</v>
      </c>
      <c r="M90" s="4" t="s">
        <v>546</v>
      </c>
      <c r="N90" s="4" t="s">
        <v>547</v>
      </c>
      <c r="O90" s="4" t="s">
        <v>548</v>
      </c>
      <c r="P90" s="4" t="s">
        <v>541</v>
      </c>
      <c r="Q90" s="4" t="s">
        <v>549</v>
      </c>
      <c r="R90" s="3" t="str">
        <f t="shared" si="0"/>
        <v>Outstanding</v>
      </c>
      <c r="S90" s="11" t="s">
        <v>28</v>
      </c>
    </row>
    <row r="91" spans="1:19" ht="60" customHeight="1" x14ac:dyDescent="0.35">
      <c r="A91" s="9" t="s">
        <v>529</v>
      </c>
      <c r="B91" s="2" t="s">
        <v>550</v>
      </c>
      <c r="C91" s="1" t="s">
        <v>551</v>
      </c>
      <c r="D91" s="3" t="s">
        <v>532</v>
      </c>
      <c r="E91" s="3" t="s">
        <v>23</v>
      </c>
      <c r="F91" s="3" t="s">
        <v>24</v>
      </c>
      <c r="G91" s="3" t="s">
        <v>25</v>
      </c>
      <c r="H91" s="3" t="s">
        <v>26</v>
      </c>
      <c r="I91" s="3" t="s">
        <v>27</v>
      </c>
      <c r="J91" s="3" t="s">
        <v>28</v>
      </c>
      <c r="K91" s="4" t="s">
        <v>28</v>
      </c>
      <c r="L91" s="4" t="s">
        <v>552</v>
      </c>
      <c r="M91" s="4" t="s">
        <v>553</v>
      </c>
      <c r="N91" s="4" t="s">
        <v>554</v>
      </c>
      <c r="O91" s="4" t="s">
        <v>555</v>
      </c>
      <c r="P91" s="4" t="s">
        <v>541</v>
      </c>
      <c r="Q91" s="4" t="s">
        <v>556</v>
      </c>
      <c r="R91" s="3" t="str">
        <f t="shared" si="0"/>
        <v>Outstanding</v>
      </c>
      <c r="S91" s="11" t="s">
        <v>28</v>
      </c>
    </row>
    <row r="92" spans="1:19" ht="60" customHeight="1" x14ac:dyDescent="0.35">
      <c r="A92" s="9" t="s">
        <v>529</v>
      </c>
      <c r="B92" s="2" t="s">
        <v>557</v>
      </c>
      <c r="C92" s="1" t="s">
        <v>558</v>
      </c>
      <c r="D92" s="3" t="s">
        <v>532</v>
      </c>
      <c r="E92" s="3" t="s">
        <v>23</v>
      </c>
      <c r="F92" s="3" t="s">
        <v>48</v>
      </c>
      <c r="G92" s="3" t="s">
        <v>25</v>
      </c>
      <c r="H92" s="3" t="s">
        <v>26</v>
      </c>
      <c r="I92" s="3" t="s">
        <v>27</v>
      </c>
      <c r="J92" s="3" t="s">
        <v>28</v>
      </c>
      <c r="K92" s="4" t="s">
        <v>28</v>
      </c>
      <c r="L92" s="4" t="s">
        <v>559</v>
      </c>
      <c r="M92" s="4" t="s">
        <v>560</v>
      </c>
      <c r="N92" s="4" t="s">
        <v>561</v>
      </c>
      <c r="O92" s="4" t="s">
        <v>562</v>
      </c>
      <c r="P92" s="4" t="s">
        <v>541</v>
      </c>
      <c r="Q92" s="4" t="s">
        <v>542</v>
      </c>
      <c r="R92" s="3" t="str">
        <f t="shared" si="0"/>
        <v>Outstanding</v>
      </c>
      <c r="S92" s="11" t="s">
        <v>28</v>
      </c>
    </row>
    <row r="93" spans="1:19" ht="60" customHeight="1" x14ac:dyDescent="0.35">
      <c r="A93" s="9" t="s">
        <v>563</v>
      </c>
      <c r="B93" s="2" t="s">
        <v>564</v>
      </c>
      <c r="C93" s="1" t="s">
        <v>565</v>
      </c>
      <c r="D93" s="3" t="s">
        <v>532</v>
      </c>
      <c r="E93" s="3" t="s">
        <v>23</v>
      </c>
      <c r="F93" s="3" t="s">
        <v>24</v>
      </c>
      <c r="G93" s="3" t="s">
        <v>25</v>
      </c>
      <c r="H93" s="3" t="s">
        <v>26</v>
      </c>
      <c r="I93" s="3" t="s">
        <v>27</v>
      </c>
      <c r="J93" s="3" t="s">
        <v>28</v>
      </c>
      <c r="K93" s="4" t="s">
        <v>28</v>
      </c>
      <c r="L93" s="4" t="s">
        <v>566</v>
      </c>
      <c r="M93" s="4" t="s">
        <v>567</v>
      </c>
      <c r="N93" s="4"/>
      <c r="O93" s="4"/>
      <c r="P93" s="4"/>
      <c r="Q93" s="4"/>
      <c r="R93" s="3" t="str">
        <f t="shared" si="0"/>
        <v>Outstanding</v>
      </c>
      <c r="S93" s="11" t="s">
        <v>28</v>
      </c>
    </row>
    <row r="94" spans="1:19" ht="60" customHeight="1" x14ac:dyDescent="0.35">
      <c r="A94" s="9" t="s">
        <v>563</v>
      </c>
      <c r="B94" s="2" t="s">
        <v>568</v>
      </c>
      <c r="C94" s="1" t="s">
        <v>569</v>
      </c>
      <c r="D94" s="3" t="s">
        <v>532</v>
      </c>
      <c r="E94" s="3" t="s">
        <v>23</v>
      </c>
      <c r="F94" s="3" t="s">
        <v>48</v>
      </c>
      <c r="G94" s="3" t="s">
        <v>25</v>
      </c>
      <c r="H94" s="3" t="s">
        <v>26</v>
      </c>
      <c r="I94" s="3" t="s">
        <v>27</v>
      </c>
      <c r="J94" s="3" t="s">
        <v>28</v>
      </c>
      <c r="K94" s="4" t="s">
        <v>28</v>
      </c>
      <c r="L94" s="4" t="s">
        <v>570</v>
      </c>
      <c r="M94" s="4" t="s">
        <v>571</v>
      </c>
      <c r="N94" s="4" t="s">
        <v>572</v>
      </c>
      <c r="O94" s="4" t="s">
        <v>573</v>
      </c>
      <c r="P94" s="4" t="s">
        <v>574</v>
      </c>
      <c r="Q94" s="4" t="s">
        <v>575</v>
      </c>
      <c r="R94" s="3" t="str">
        <f t="shared" si="0"/>
        <v>Outstanding</v>
      </c>
      <c r="S94" s="11" t="s">
        <v>28</v>
      </c>
    </row>
    <row r="95" spans="1:19" ht="60" customHeight="1" x14ac:dyDescent="0.35">
      <c r="A95" s="9" t="s">
        <v>563</v>
      </c>
      <c r="B95" s="2" t="s">
        <v>576</v>
      </c>
      <c r="C95" s="1" t="s">
        <v>577</v>
      </c>
      <c r="D95" s="3" t="s">
        <v>532</v>
      </c>
      <c r="E95" s="3" t="s">
        <v>23</v>
      </c>
      <c r="F95" s="3" t="s">
        <v>48</v>
      </c>
      <c r="G95" s="3" t="s">
        <v>25</v>
      </c>
      <c r="H95" s="3" t="s">
        <v>26</v>
      </c>
      <c r="I95" s="3" t="s">
        <v>27</v>
      </c>
      <c r="J95" s="3" t="s">
        <v>28</v>
      </c>
      <c r="K95" s="4" t="s">
        <v>28</v>
      </c>
      <c r="L95" s="4" t="s">
        <v>578</v>
      </c>
      <c r="M95" s="4" t="s">
        <v>579</v>
      </c>
      <c r="N95" s="4" t="s">
        <v>580</v>
      </c>
      <c r="O95" s="4" t="s">
        <v>265</v>
      </c>
      <c r="P95" s="4" t="s">
        <v>541</v>
      </c>
      <c r="Q95" s="4" t="s">
        <v>581</v>
      </c>
      <c r="R95" s="3" t="str">
        <f t="shared" si="0"/>
        <v>Outstanding</v>
      </c>
      <c r="S95" s="11" t="s">
        <v>28</v>
      </c>
    </row>
    <row r="96" spans="1:19" ht="60" customHeight="1" x14ac:dyDescent="0.35">
      <c r="A96" s="9" t="s">
        <v>563</v>
      </c>
      <c r="B96" s="2" t="s">
        <v>582</v>
      </c>
      <c r="C96" s="1" t="s">
        <v>583</v>
      </c>
      <c r="D96" s="3" t="s">
        <v>532</v>
      </c>
      <c r="E96" s="3" t="s">
        <v>23</v>
      </c>
      <c r="F96" s="3" t="s">
        <v>48</v>
      </c>
      <c r="G96" s="3" t="s">
        <v>25</v>
      </c>
      <c r="H96" s="3" t="s">
        <v>26</v>
      </c>
      <c r="I96" s="3" t="s">
        <v>27</v>
      </c>
      <c r="J96" s="3" t="s">
        <v>28</v>
      </c>
      <c r="K96" s="4" t="s">
        <v>28</v>
      </c>
      <c r="L96" s="4" t="s">
        <v>584</v>
      </c>
      <c r="M96" s="4" t="s">
        <v>585</v>
      </c>
      <c r="N96" s="4" t="s">
        <v>586</v>
      </c>
      <c r="O96" s="4" t="s">
        <v>587</v>
      </c>
      <c r="P96" s="4" t="s">
        <v>588</v>
      </c>
      <c r="Q96" s="4" t="s">
        <v>589</v>
      </c>
      <c r="R96" s="3" t="str">
        <f t="shared" si="0"/>
        <v>Outstanding</v>
      </c>
      <c r="S96" s="11" t="s">
        <v>28</v>
      </c>
    </row>
    <row r="97" spans="1:19" ht="60" customHeight="1" x14ac:dyDescent="0.35">
      <c r="A97" s="9" t="s">
        <v>563</v>
      </c>
      <c r="B97" s="2" t="s">
        <v>590</v>
      </c>
      <c r="C97" s="1" t="s">
        <v>591</v>
      </c>
      <c r="D97" s="3" t="s">
        <v>532</v>
      </c>
      <c r="E97" s="3" t="s">
        <v>23</v>
      </c>
      <c r="F97" s="3" t="s">
        <v>48</v>
      </c>
      <c r="G97" s="3" t="s">
        <v>25</v>
      </c>
      <c r="H97" s="3" t="s">
        <v>26</v>
      </c>
      <c r="I97" s="3" t="s">
        <v>27</v>
      </c>
      <c r="J97" s="3" t="s">
        <v>28</v>
      </c>
      <c r="K97" s="4" t="s">
        <v>28</v>
      </c>
      <c r="L97" s="4" t="s">
        <v>592</v>
      </c>
      <c r="M97" s="4" t="s">
        <v>593</v>
      </c>
      <c r="N97" s="4" t="s">
        <v>594</v>
      </c>
      <c r="O97" s="4" t="s">
        <v>595</v>
      </c>
      <c r="P97" s="4" t="s">
        <v>596</v>
      </c>
      <c r="Q97" s="4" t="s">
        <v>597</v>
      </c>
      <c r="R97" s="3" t="str">
        <f t="shared" si="0"/>
        <v>Outstanding</v>
      </c>
      <c r="S97" s="11" t="s">
        <v>28</v>
      </c>
    </row>
    <row r="98" spans="1:19" ht="60" customHeight="1" x14ac:dyDescent="0.35">
      <c r="A98" s="9" t="s">
        <v>563</v>
      </c>
      <c r="B98" s="2" t="s">
        <v>598</v>
      </c>
      <c r="C98" s="1" t="s">
        <v>599</v>
      </c>
      <c r="D98" s="3" t="s">
        <v>532</v>
      </c>
      <c r="E98" s="3" t="s">
        <v>23</v>
      </c>
      <c r="F98" s="3" t="s">
        <v>48</v>
      </c>
      <c r="G98" s="3" t="s">
        <v>25</v>
      </c>
      <c r="H98" s="3" t="s">
        <v>26</v>
      </c>
      <c r="I98" s="3" t="s">
        <v>27</v>
      </c>
      <c r="J98" s="3" t="s">
        <v>28</v>
      </c>
      <c r="K98" s="4" t="s">
        <v>28</v>
      </c>
      <c r="L98" s="4" t="s">
        <v>600</v>
      </c>
      <c r="M98" s="4" t="s">
        <v>601</v>
      </c>
      <c r="N98" s="4" t="s">
        <v>602</v>
      </c>
      <c r="O98" s="4" t="s">
        <v>265</v>
      </c>
      <c r="P98" s="4" t="s">
        <v>603</v>
      </c>
      <c r="Q98" s="4" t="s">
        <v>604</v>
      </c>
      <c r="R98" s="3" t="str">
        <f t="shared" si="0"/>
        <v>Outstanding</v>
      </c>
      <c r="S98" s="11" t="s">
        <v>28</v>
      </c>
    </row>
    <row r="99" spans="1:19" ht="60" customHeight="1" x14ac:dyDescent="0.35">
      <c r="A99" s="9" t="s">
        <v>563</v>
      </c>
      <c r="B99" s="2" t="s">
        <v>605</v>
      </c>
      <c r="C99" s="1" t="s">
        <v>606</v>
      </c>
      <c r="D99" s="3" t="s">
        <v>532</v>
      </c>
      <c r="E99" s="3" t="s">
        <v>23</v>
      </c>
      <c r="F99" s="3" t="s">
        <v>48</v>
      </c>
      <c r="G99" s="3" t="s">
        <v>25</v>
      </c>
      <c r="H99" s="3" t="s">
        <v>26</v>
      </c>
      <c r="I99" s="3" t="s">
        <v>27</v>
      </c>
      <c r="J99" s="3" t="s">
        <v>28</v>
      </c>
      <c r="K99" s="4" t="s">
        <v>28</v>
      </c>
      <c r="L99" s="4" t="s">
        <v>607</v>
      </c>
      <c r="M99" s="4" t="s">
        <v>608</v>
      </c>
      <c r="N99" s="4" t="s">
        <v>609</v>
      </c>
      <c r="O99" s="4" t="s">
        <v>610</v>
      </c>
      <c r="P99" s="4" t="s">
        <v>611</v>
      </c>
      <c r="Q99" s="4" t="s">
        <v>612</v>
      </c>
      <c r="R99" s="3" t="str">
        <f t="shared" si="0"/>
        <v>Outstanding</v>
      </c>
      <c r="S99" s="11" t="s">
        <v>28</v>
      </c>
    </row>
    <row r="100" spans="1:19" ht="60" customHeight="1" x14ac:dyDescent="0.35">
      <c r="A100" s="9" t="s">
        <v>563</v>
      </c>
      <c r="B100" s="2" t="s">
        <v>613</v>
      </c>
      <c r="C100" s="1" t="s">
        <v>614</v>
      </c>
      <c r="D100" s="3" t="s">
        <v>532</v>
      </c>
      <c r="E100" s="3" t="s">
        <v>23</v>
      </c>
      <c r="F100" s="3" t="s">
        <v>48</v>
      </c>
      <c r="G100" s="3" t="s">
        <v>25</v>
      </c>
      <c r="H100" s="3" t="s">
        <v>26</v>
      </c>
      <c r="I100" s="3" t="s">
        <v>27</v>
      </c>
      <c r="J100" s="3" t="s">
        <v>28</v>
      </c>
      <c r="K100" s="4" t="s">
        <v>28</v>
      </c>
      <c r="L100" s="4" t="s">
        <v>615</v>
      </c>
      <c r="M100" s="4" t="s">
        <v>616</v>
      </c>
      <c r="N100" s="4" t="s">
        <v>617</v>
      </c>
      <c r="O100" s="4" t="s">
        <v>265</v>
      </c>
      <c r="P100" s="4" t="s">
        <v>618</v>
      </c>
      <c r="Q100" s="4" t="s">
        <v>619</v>
      </c>
      <c r="R100" s="3" t="str">
        <f t="shared" si="0"/>
        <v>Outstanding</v>
      </c>
      <c r="S100" s="11" t="s">
        <v>28</v>
      </c>
    </row>
    <row r="101" spans="1:19" ht="60" customHeight="1" x14ac:dyDescent="0.35">
      <c r="A101" s="9" t="s">
        <v>563</v>
      </c>
      <c r="B101" s="2" t="s">
        <v>620</v>
      </c>
      <c r="C101" s="1" t="s">
        <v>621</v>
      </c>
      <c r="D101" s="3" t="s">
        <v>532</v>
      </c>
      <c r="E101" s="3" t="s">
        <v>23</v>
      </c>
      <c r="F101" s="3" t="s">
        <v>48</v>
      </c>
      <c r="G101" s="3" t="s">
        <v>25</v>
      </c>
      <c r="H101" s="3" t="s">
        <v>26</v>
      </c>
      <c r="I101" s="3" t="s">
        <v>27</v>
      </c>
      <c r="J101" s="3" t="s">
        <v>28</v>
      </c>
      <c r="K101" s="4" t="s">
        <v>28</v>
      </c>
      <c r="L101" s="4" t="s">
        <v>622</v>
      </c>
      <c r="M101" s="4" t="s">
        <v>623</v>
      </c>
      <c r="N101" s="4" t="s">
        <v>624</v>
      </c>
      <c r="O101" s="4" t="s">
        <v>625</v>
      </c>
      <c r="P101" s="4" t="s">
        <v>626</v>
      </c>
      <c r="Q101" s="4" t="s">
        <v>627</v>
      </c>
      <c r="R101" s="3" t="str">
        <f t="shared" si="0"/>
        <v>Outstanding</v>
      </c>
      <c r="S101" s="11" t="s">
        <v>28</v>
      </c>
    </row>
    <row r="102" spans="1:19" ht="60" customHeight="1" x14ac:dyDescent="0.35">
      <c r="A102" s="9" t="s">
        <v>628</v>
      </c>
      <c r="B102" s="2" t="s">
        <v>629</v>
      </c>
      <c r="C102" s="1" t="s">
        <v>630</v>
      </c>
      <c r="D102" s="3" t="s">
        <v>532</v>
      </c>
      <c r="E102" s="3" t="s">
        <v>23</v>
      </c>
      <c r="F102" s="3" t="s">
        <v>24</v>
      </c>
      <c r="G102" s="3" t="s">
        <v>25</v>
      </c>
      <c r="H102" s="3" t="s">
        <v>26</v>
      </c>
      <c r="I102" s="3" t="s">
        <v>27</v>
      </c>
      <c r="J102" s="3" t="s">
        <v>28</v>
      </c>
      <c r="K102" s="4" t="s">
        <v>28</v>
      </c>
      <c r="L102" s="4" t="s">
        <v>631</v>
      </c>
      <c r="M102" s="4" t="s">
        <v>632</v>
      </c>
      <c r="N102" s="4"/>
      <c r="O102" s="4"/>
      <c r="P102" s="4"/>
      <c r="Q102" s="4"/>
      <c r="R102" s="3" t="str">
        <f t="shared" si="0"/>
        <v>Outstanding</v>
      </c>
      <c r="S102" s="11" t="s">
        <v>28</v>
      </c>
    </row>
    <row r="103" spans="1:19" ht="60" customHeight="1" x14ac:dyDescent="0.35">
      <c r="A103" s="9" t="s">
        <v>628</v>
      </c>
      <c r="B103" s="2" t="s">
        <v>633</v>
      </c>
      <c r="C103" s="1" t="s">
        <v>634</v>
      </c>
      <c r="D103" s="3" t="s">
        <v>532</v>
      </c>
      <c r="E103" s="3" t="s">
        <v>23</v>
      </c>
      <c r="F103" s="3" t="s">
        <v>48</v>
      </c>
      <c r="G103" s="3" t="s">
        <v>25</v>
      </c>
      <c r="H103" s="3" t="s">
        <v>26</v>
      </c>
      <c r="I103" s="3" t="s">
        <v>27</v>
      </c>
      <c r="J103" s="3" t="s">
        <v>28</v>
      </c>
      <c r="K103" s="4" t="s">
        <v>28</v>
      </c>
      <c r="L103" s="4" t="s">
        <v>635</v>
      </c>
      <c r="M103" s="4" t="s">
        <v>636</v>
      </c>
      <c r="N103" s="4" t="s">
        <v>637</v>
      </c>
      <c r="O103" s="4" t="s">
        <v>638</v>
      </c>
      <c r="P103" s="4" t="s">
        <v>639</v>
      </c>
      <c r="Q103" s="4" t="s">
        <v>640</v>
      </c>
      <c r="R103" s="3" t="str">
        <f t="shared" si="0"/>
        <v>Outstanding</v>
      </c>
      <c r="S103" s="11" t="s">
        <v>28</v>
      </c>
    </row>
    <row r="104" spans="1:19" ht="60" customHeight="1" x14ac:dyDescent="0.35">
      <c r="A104" s="9" t="s">
        <v>628</v>
      </c>
      <c r="B104" s="2" t="s">
        <v>641</v>
      </c>
      <c r="C104" s="1" t="s">
        <v>642</v>
      </c>
      <c r="D104" s="3" t="s">
        <v>532</v>
      </c>
      <c r="E104" s="3" t="s">
        <v>23</v>
      </c>
      <c r="F104" s="3" t="s">
        <v>48</v>
      </c>
      <c r="G104" s="3" t="s">
        <v>25</v>
      </c>
      <c r="H104" s="3" t="s">
        <v>26</v>
      </c>
      <c r="I104" s="3" t="s">
        <v>27</v>
      </c>
      <c r="J104" s="3" t="s">
        <v>28</v>
      </c>
      <c r="K104" s="4" t="s">
        <v>28</v>
      </c>
      <c r="L104" s="4" t="s">
        <v>643</v>
      </c>
      <c r="M104" s="4"/>
      <c r="N104" s="4"/>
      <c r="O104" s="4"/>
      <c r="P104" s="4"/>
      <c r="Q104" s="4"/>
      <c r="R104" s="3" t="str">
        <f t="shared" si="0"/>
        <v>Outstanding</v>
      </c>
      <c r="S104" s="11" t="s">
        <v>28</v>
      </c>
    </row>
    <row r="105" spans="1:19" ht="60" customHeight="1" x14ac:dyDescent="0.35">
      <c r="A105" s="9" t="s">
        <v>628</v>
      </c>
      <c r="B105" s="2" t="s">
        <v>644</v>
      </c>
      <c r="C105" s="1" t="s">
        <v>645</v>
      </c>
      <c r="D105" s="3" t="s">
        <v>532</v>
      </c>
      <c r="E105" s="3" t="s">
        <v>23</v>
      </c>
      <c r="F105" s="3" t="s">
        <v>48</v>
      </c>
      <c r="G105" s="3" t="s">
        <v>25</v>
      </c>
      <c r="H105" s="3" t="s">
        <v>26</v>
      </c>
      <c r="I105" s="3" t="s">
        <v>27</v>
      </c>
      <c r="J105" s="3" t="s">
        <v>28</v>
      </c>
      <c r="K105" s="4" t="s">
        <v>28</v>
      </c>
      <c r="L105" s="4" t="s">
        <v>646</v>
      </c>
      <c r="M105" s="4" t="s">
        <v>647</v>
      </c>
      <c r="N105" s="4" t="s">
        <v>648</v>
      </c>
      <c r="O105" s="4" t="s">
        <v>649</v>
      </c>
      <c r="P105" s="4" t="s">
        <v>650</v>
      </c>
      <c r="Q105" s="4" t="s">
        <v>651</v>
      </c>
      <c r="R105" s="3" t="str">
        <f t="shared" si="0"/>
        <v>Outstanding</v>
      </c>
      <c r="S105" s="11" t="s">
        <v>28</v>
      </c>
    </row>
    <row r="106" spans="1:19" ht="60" customHeight="1" x14ac:dyDescent="0.35">
      <c r="A106" s="9" t="s">
        <v>628</v>
      </c>
      <c r="B106" s="2" t="s">
        <v>652</v>
      </c>
      <c r="C106" s="1" t="s">
        <v>653</v>
      </c>
      <c r="D106" s="3" t="s">
        <v>532</v>
      </c>
      <c r="E106" s="3" t="s">
        <v>23</v>
      </c>
      <c r="F106" s="3" t="s">
        <v>48</v>
      </c>
      <c r="G106" s="3" t="s">
        <v>25</v>
      </c>
      <c r="H106" s="3" t="s">
        <v>26</v>
      </c>
      <c r="I106" s="3" t="s">
        <v>27</v>
      </c>
      <c r="J106" s="3" t="s">
        <v>28</v>
      </c>
      <c r="K106" s="4" t="s">
        <v>28</v>
      </c>
      <c r="L106" s="4" t="s">
        <v>654</v>
      </c>
      <c r="M106" s="4"/>
      <c r="N106" s="4"/>
      <c r="O106" s="4"/>
      <c r="P106" s="4"/>
      <c r="Q106" s="4"/>
      <c r="R106" s="3" t="str">
        <f t="shared" si="0"/>
        <v>Outstanding</v>
      </c>
      <c r="S106" s="11" t="s">
        <v>28</v>
      </c>
    </row>
    <row r="107" spans="1:19" ht="60" customHeight="1" x14ac:dyDescent="0.35">
      <c r="A107" s="9" t="s">
        <v>628</v>
      </c>
      <c r="B107" s="2" t="s">
        <v>655</v>
      </c>
      <c r="C107" s="1" t="s">
        <v>656</v>
      </c>
      <c r="D107" s="3" t="s">
        <v>532</v>
      </c>
      <c r="E107" s="3" t="s">
        <v>23</v>
      </c>
      <c r="F107" s="3" t="s">
        <v>48</v>
      </c>
      <c r="G107" s="3" t="s">
        <v>25</v>
      </c>
      <c r="H107" s="3" t="s">
        <v>26</v>
      </c>
      <c r="I107" s="3" t="s">
        <v>27</v>
      </c>
      <c r="J107" s="3" t="s">
        <v>28</v>
      </c>
      <c r="K107" s="4" t="s">
        <v>28</v>
      </c>
      <c r="L107" s="4" t="s">
        <v>657</v>
      </c>
      <c r="M107" s="4" t="s">
        <v>658</v>
      </c>
      <c r="N107" s="4" t="s">
        <v>659</v>
      </c>
      <c r="O107" s="4" t="s">
        <v>265</v>
      </c>
      <c r="P107" s="4" t="s">
        <v>660</v>
      </c>
      <c r="Q107" s="4" t="s">
        <v>661</v>
      </c>
      <c r="R107" s="3" t="str">
        <f t="shared" si="0"/>
        <v>Outstanding</v>
      </c>
      <c r="S107" s="11" t="s">
        <v>28</v>
      </c>
    </row>
    <row r="108" spans="1:19" ht="60" customHeight="1" x14ac:dyDescent="0.35">
      <c r="A108" s="9" t="s">
        <v>628</v>
      </c>
      <c r="B108" s="2" t="s">
        <v>662</v>
      </c>
      <c r="C108" s="1" t="s">
        <v>663</v>
      </c>
      <c r="D108" s="3" t="s">
        <v>532</v>
      </c>
      <c r="E108" s="3" t="s">
        <v>23</v>
      </c>
      <c r="F108" s="3" t="s">
        <v>48</v>
      </c>
      <c r="G108" s="3" t="s">
        <v>25</v>
      </c>
      <c r="H108" s="3" t="s">
        <v>26</v>
      </c>
      <c r="I108" s="3" t="s">
        <v>27</v>
      </c>
      <c r="J108" s="3" t="s">
        <v>28</v>
      </c>
      <c r="K108" s="4" t="s">
        <v>28</v>
      </c>
      <c r="L108" s="4" t="s">
        <v>664</v>
      </c>
      <c r="M108" s="4" t="s">
        <v>665</v>
      </c>
      <c r="N108" s="4" t="s">
        <v>666</v>
      </c>
      <c r="O108" s="4" t="s">
        <v>265</v>
      </c>
      <c r="P108" s="4" t="s">
        <v>667</v>
      </c>
      <c r="Q108" s="4" t="s">
        <v>668</v>
      </c>
      <c r="R108" s="3" t="str">
        <f t="shared" si="0"/>
        <v>Outstanding</v>
      </c>
      <c r="S108" s="11" t="s">
        <v>28</v>
      </c>
    </row>
    <row r="109" spans="1:19" ht="60" customHeight="1" x14ac:dyDescent="0.35">
      <c r="A109" s="9" t="s">
        <v>628</v>
      </c>
      <c r="B109" s="2" t="s">
        <v>669</v>
      </c>
      <c r="C109" s="1" t="s">
        <v>670</v>
      </c>
      <c r="D109" s="3" t="s">
        <v>532</v>
      </c>
      <c r="E109" s="3" t="s">
        <v>23</v>
      </c>
      <c r="F109" s="3" t="s">
        <v>48</v>
      </c>
      <c r="G109" s="3" t="s">
        <v>25</v>
      </c>
      <c r="H109" s="3" t="s">
        <v>26</v>
      </c>
      <c r="I109" s="3" t="s">
        <v>27</v>
      </c>
      <c r="J109" s="3" t="s">
        <v>28</v>
      </c>
      <c r="K109" s="4" t="s">
        <v>28</v>
      </c>
      <c r="L109" s="4" t="s">
        <v>671</v>
      </c>
      <c r="M109" s="4" t="s">
        <v>672</v>
      </c>
      <c r="N109" s="4" t="s">
        <v>673</v>
      </c>
      <c r="O109" s="4" t="s">
        <v>674</v>
      </c>
      <c r="P109" s="4" t="s">
        <v>675</v>
      </c>
      <c r="Q109" s="4"/>
      <c r="R109" s="3" t="str">
        <f t="shared" si="0"/>
        <v>Outstanding</v>
      </c>
      <c r="S109" s="11" t="s">
        <v>28</v>
      </c>
    </row>
    <row r="110" spans="1:19" ht="60" customHeight="1" x14ac:dyDescent="0.35">
      <c r="A110" s="9" t="s">
        <v>628</v>
      </c>
      <c r="B110" s="2" t="s">
        <v>676</v>
      </c>
      <c r="C110" s="1" t="s">
        <v>677</v>
      </c>
      <c r="D110" s="3" t="s">
        <v>532</v>
      </c>
      <c r="E110" s="3" t="s">
        <v>23</v>
      </c>
      <c r="F110" s="3" t="s">
        <v>48</v>
      </c>
      <c r="G110" s="3" t="s">
        <v>25</v>
      </c>
      <c r="H110" s="3" t="s">
        <v>26</v>
      </c>
      <c r="I110" s="3" t="s">
        <v>27</v>
      </c>
      <c r="J110" s="3" t="s">
        <v>28</v>
      </c>
      <c r="K110" s="4" t="s">
        <v>28</v>
      </c>
      <c r="L110" s="4" t="s">
        <v>678</v>
      </c>
      <c r="M110" s="4" t="s">
        <v>679</v>
      </c>
      <c r="N110" s="4" t="s">
        <v>680</v>
      </c>
      <c r="O110" s="4" t="s">
        <v>681</v>
      </c>
      <c r="P110" s="4" t="s">
        <v>682</v>
      </c>
      <c r="Q110" s="4" t="s">
        <v>683</v>
      </c>
      <c r="R110" s="3" t="str">
        <f t="shared" si="0"/>
        <v>Outstanding</v>
      </c>
      <c r="S110" s="11" t="s">
        <v>28</v>
      </c>
    </row>
    <row r="111" spans="1:19" ht="60" customHeight="1" x14ac:dyDescent="0.35">
      <c r="A111" s="9" t="s">
        <v>628</v>
      </c>
      <c r="B111" s="2" t="s">
        <v>684</v>
      </c>
      <c r="C111" s="1" t="s">
        <v>685</v>
      </c>
      <c r="D111" s="3" t="s">
        <v>532</v>
      </c>
      <c r="E111" s="3" t="s">
        <v>23</v>
      </c>
      <c r="F111" s="3" t="s">
        <v>48</v>
      </c>
      <c r="G111" s="3" t="s">
        <v>25</v>
      </c>
      <c r="H111" s="3" t="s">
        <v>26</v>
      </c>
      <c r="I111" s="3" t="s">
        <v>27</v>
      </c>
      <c r="J111" s="3" t="s">
        <v>28</v>
      </c>
      <c r="K111" s="4" t="s">
        <v>28</v>
      </c>
      <c r="L111" s="4" t="s">
        <v>686</v>
      </c>
      <c r="M111" s="4" t="s">
        <v>687</v>
      </c>
      <c r="N111" s="4" t="s">
        <v>688</v>
      </c>
      <c r="O111" s="4" t="s">
        <v>689</v>
      </c>
      <c r="P111" s="4" t="s">
        <v>690</v>
      </c>
      <c r="Q111" s="4" t="s">
        <v>691</v>
      </c>
      <c r="R111" s="3" t="str">
        <f t="shared" si="0"/>
        <v>Outstanding</v>
      </c>
      <c r="S111" s="11" t="s">
        <v>28</v>
      </c>
    </row>
    <row r="112" spans="1:19" ht="60" customHeight="1" x14ac:dyDescent="0.35">
      <c r="A112" s="9" t="s">
        <v>628</v>
      </c>
      <c r="B112" s="2" t="s">
        <v>692</v>
      </c>
      <c r="C112" s="1" t="s">
        <v>693</v>
      </c>
      <c r="D112" s="3" t="s">
        <v>532</v>
      </c>
      <c r="E112" s="3" t="s">
        <v>23</v>
      </c>
      <c r="F112" s="3" t="s">
        <v>48</v>
      </c>
      <c r="G112" s="3" t="s">
        <v>25</v>
      </c>
      <c r="H112" s="3" t="s">
        <v>26</v>
      </c>
      <c r="I112" s="3" t="s">
        <v>27</v>
      </c>
      <c r="J112" s="3" t="s">
        <v>28</v>
      </c>
      <c r="K112" s="4" t="s">
        <v>28</v>
      </c>
      <c r="L112" s="4" t="s">
        <v>694</v>
      </c>
      <c r="M112" s="4"/>
      <c r="N112" s="4"/>
      <c r="O112" s="4"/>
      <c r="P112" s="4"/>
      <c r="Q112" s="4"/>
      <c r="R112" s="3" t="str">
        <f t="shared" si="0"/>
        <v>Outstanding</v>
      </c>
      <c r="S112" s="11" t="s">
        <v>28</v>
      </c>
    </row>
    <row r="113" spans="1:19" ht="60" customHeight="1" x14ac:dyDescent="0.35">
      <c r="A113" s="9" t="s">
        <v>628</v>
      </c>
      <c r="B113" s="2" t="s">
        <v>695</v>
      </c>
      <c r="C113" s="1" t="s">
        <v>696</v>
      </c>
      <c r="D113" s="3" t="s">
        <v>532</v>
      </c>
      <c r="E113" s="3" t="s">
        <v>23</v>
      </c>
      <c r="F113" s="3" t="s">
        <v>48</v>
      </c>
      <c r="G113" s="3" t="s">
        <v>25</v>
      </c>
      <c r="H113" s="3" t="s">
        <v>26</v>
      </c>
      <c r="I113" s="3" t="s">
        <v>27</v>
      </c>
      <c r="J113" s="3" t="s">
        <v>28</v>
      </c>
      <c r="K113" s="4" t="s">
        <v>28</v>
      </c>
      <c r="L113" s="4" t="s">
        <v>697</v>
      </c>
      <c r="M113" s="4" t="s">
        <v>698</v>
      </c>
      <c r="N113" s="4" t="s">
        <v>699</v>
      </c>
      <c r="O113" s="4" t="s">
        <v>700</v>
      </c>
      <c r="P113" s="4" t="s">
        <v>701</v>
      </c>
      <c r="Q113" s="4" t="s">
        <v>702</v>
      </c>
      <c r="R113" s="3" t="str">
        <f t="shared" si="0"/>
        <v>Outstanding</v>
      </c>
      <c r="S113" s="11" t="s">
        <v>28</v>
      </c>
    </row>
    <row r="114" spans="1:19" ht="60" customHeight="1" x14ac:dyDescent="0.35">
      <c r="A114" s="9" t="s">
        <v>628</v>
      </c>
      <c r="B114" s="2" t="s">
        <v>703</v>
      </c>
      <c r="C114" s="1" t="s">
        <v>704</v>
      </c>
      <c r="D114" s="3" t="s">
        <v>532</v>
      </c>
      <c r="E114" s="3" t="s">
        <v>23</v>
      </c>
      <c r="F114" s="3" t="s">
        <v>48</v>
      </c>
      <c r="G114" s="3" t="s">
        <v>25</v>
      </c>
      <c r="H114" s="3" t="s">
        <v>26</v>
      </c>
      <c r="I114" s="3" t="s">
        <v>27</v>
      </c>
      <c r="J114" s="3" t="s">
        <v>28</v>
      </c>
      <c r="K114" s="4" t="s">
        <v>28</v>
      </c>
      <c r="L114" s="4" t="s">
        <v>705</v>
      </c>
      <c r="M114" s="4" t="s">
        <v>706</v>
      </c>
      <c r="N114" s="4" t="s">
        <v>707</v>
      </c>
      <c r="O114" s="4" t="s">
        <v>708</v>
      </c>
      <c r="P114" s="4" t="s">
        <v>709</v>
      </c>
      <c r="Q114" s="4" t="s">
        <v>710</v>
      </c>
      <c r="R114" s="3" t="str">
        <f t="shared" si="0"/>
        <v>Outstanding</v>
      </c>
      <c r="S114" s="11" t="s">
        <v>28</v>
      </c>
    </row>
    <row r="115" spans="1:19" ht="60" customHeight="1" x14ac:dyDescent="0.35">
      <c r="A115" s="9" t="s">
        <v>628</v>
      </c>
      <c r="B115" s="2" t="s">
        <v>711</v>
      </c>
      <c r="C115" s="1" t="s">
        <v>712</v>
      </c>
      <c r="D115" s="3" t="s">
        <v>532</v>
      </c>
      <c r="E115" s="3" t="s">
        <v>23</v>
      </c>
      <c r="F115" s="3" t="s">
        <v>48</v>
      </c>
      <c r="G115" s="3" t="s">
        <v>25</v>
      </c>
      <c r="H115" s="3" t="s">
        <v>26</v>
      </c>
      <c r="I115" s="3" t="s">
        <v>27</v>
      </c>
      <c r="J115" s="3" t="s">
        <v>28</v>
      </c>
      <c r="K115" s="4" t="s">
        <v>28</v>
      </c>
      <c r="L115" s="4" t="s">
        <v>713</v>
      </c>
      <c r="M115" s="4"/>
      <c r="N115" s="4"/>
      <c r="O115" s="4"/>
      <c r="P115" s="4"/>
      <c r="Q115" s="4"/>
      <c r="R115" s="3" t="str">
        <f t="shared" si="0"/>
        <v>Outstanding</v>
      </c>
      <c r="S115" s="11" t="s">
        <v>28</v>
      </c>
    </row>
    <row r="116" spans="1:19" ht="60" customHeight="1" x14ac:dyDescent="0.35">
      <c r="A116" s="9" t="s">
        <v>628</v>
      </c>
      <c r="B116" s="2" t="s">
        <v>714</v>
      </c>
      <c r="C116" s="1" t="s">
        <v>715</v>
      </c>
      <c r="D116" s="3" t="s">
        <v>532</v>
      </c>
      <c r="E116" s="3" t="s">
        <v>23</v>
      </c>
      <c r="F116" s="3" t="s">
        <v>48</v>
      </c>
      <c r="G116" s="3" t="s">
        <v>25</v>
      </c>
      <c r="H116" s="3" t="s">
        <v>26</v>
      </c>
      <c r="I116" s="3" t="s">
        <v>27</v>
      </c>
      <c r="J116" s="3" t="s">
        <v>28</v>
      </c>
      <c r="K116" s="4" t="s">
        <v>28</v>
      </c>
      <c r="L116" s="4" t="s">
        <v>716</v>
      </c>
      <c r="M116" s="4" t="s">
        <v>717</v>
      </c>
      <c r="N116" s="4" t="s">
        <v>718</v>
      </c>
      <c r="O116" s="4" t="s">
        <v>265</v>
      </c>
      <c r="P116" s="4" t="s">
        <v>719</v>
      </c>
      <c r="Q116" s="4" t="s">
        <v>720</v>
      </c>
      <c r="R116" s="3" t="str">
        <f t="shared" si="0"/>
        <v>Outstanding</v>
      </c>
      <c r="S116" s="11" t="s">
        <v>28</v>
      </c>
    </row>
    <row r="117" spans="1:19" ht="60" customHeight="1" x14ac:dyDescent="0.35">
      <c r="A117" s="9" t="s">
        <v>628</v>
      </c>
      <c r="B117" s="2" t="s">
        <v>721</v>
      </c>
      <c r="C117" s="1" t="s">
        <v>722</v>
      </c>
      <c r="D117" s="3" t="s">
        <v>532</v>
      </c>
      <c r="E117" s="3" t="s">
        <v>23</v>
      </c>
      <c r="F117" s="3" t="s">
        <v>48</v>
      </c>
      <c r="G117" s="3" t="s">
        <v>25</v>
      </c>
      <c r="H117" s="3" t="s">
        <v>26</v>
      </c>
      <c r="I117" s="3" t="s">
        <v>27</v>
      </c>
      <c r="J117" s="3" t="s">
        <v>28</v>
      </c>
      <c r="K117" s="4" t="s">
        <v>28</v>
      </c>
      <c r="L117" s="4" t="s">
        <v>723</v>
      </c>
      <c r="M117" s="4" t="s">
        <v>724</v>
      </c>
      <c r="N117" s="4" t="s">
        <v>725</v>
      </c>
      <c r="O117" s="4" t="s">
        <v>265</v>
      </c>
      <c r="P117" s="4" t="s">
        <v>726</v>
      </c>
      <c r="Q117" s="4" t="s">
        <v>727</v>
      </c>
      <c r="R117" s="3" t="str">
        <f t="shared" si="0"/>
        <v>Outstanding</v>
      </c>
      <c r="S117" s="11" t="s">
        <v>28</v>
      </c>
    </row>
    <row r="118" spans="1:19" ht="60" customHeight="1" x14ac:dyDescent="0.35">
      <c r="A118" s="9" t="s">
        <v>628</v>
      </c>
      <c r="B118" s="2" t="s">
        <v>728</v>
      </c>
      <c r="C118" s="1" t="s">
        <v>729</v>
      </c>
      <c r="D118" s="3" t="s">
        <v>532</v>
      </c>
      <c r="E118" s="3" t="s">
        <v>23</v>
      </c>
      <c r="F118" s="3" t="s">
        <v>48</v>
      </c>
      <c r="G118" s="3" t="s">
        <v>25</v>
      </c>
      <c r="H118" s="3" t="s">
        <v>26</v>
      </c>
      <c r="I118" s="3" t="s">
        <v>27</v>
      </c>
      <c r="J118" s="3" t="s">
        <v>28</v>
      </c>
      <c r="K118" s="4" t="s">
        <v>28</v>
      </c>
      <c r="L118" s="4" t="s">
        <v>730</v>
      </c>
      <c r="M118" s="4" t="s">
        <v>731</v>
      </c>
      <c r="N118" s="4" t="s">
        <v>725</v>
      </c>
      <c r="O118" s="4" t="s">
        <v>265</v>
      </c>
      <c r="P118" s="4" t="s">
        <v>732</v>
      </c>
      <c r="Q118" s="4" t="s">
        <v>733</v>
      </c>
      <c r="R118" s="3" t="str">
        <f t="shared" si="0"/>
        <v>Outstanding</v>
      </c>
      <c r="S118" s="11" t="s">
        <v>28</v>
      </c>
    </row>
    <row r="119" spans="1:19" ht="60" customHeight="1" x14ac:dyDescent="0.35">
      <c r="A119" s="9" t="s">
        <v>628</v>
      </c>
      <c r="B119" s="2" t="s">
        <v>734</v>
      </c>
      <c r="C119" s="1" t="s">
        <v>735</v>
      </c>
      <c r="D119" s="3" t="s">
        <v>532</v>
      </c>
      <c r="E119" s="3" t="s">
        <v>23</v>
      </c>
      <c r="F119" s="3" t="s">
        <v>48</v>
      </c>
      <c r="G119" s="3" t="s">
        <v>25</v>
      </c>
      <c r="H119" s="3" t="s">
        <v>26</v>
      </c>
      <c r="I119" s="3" t="s">
        <v>27</v>
      </c>
      <c r="J119" s="3" t="s">
        <v>28</v>
      </c>
      <c r="K119" s="4" t="s">
        <v>28</v>
      </c>
      <c r="L119" s="4" t="s">
        <v>736</v>
      </c>
      <c r="M119" s="4" t="s">
        <v>737</v>
      </c>
      <c r="N119" s="4" t="s">
        <v>725</v>
      </c>
      <c r="O119" s="4" t="s">
        <v>265</v>
      </c>
      <c r="P119" s="4" t="s">
        <v>738</v>
      </c>
      <c r="Q119" s="4" t="s">
        <v>739</v>
      </c>
      <c r="R119" s="3" t="str">
        <f t="shared" si="0"/>
        <v>Outstanding</v>
      </c>
      <c r="S119" s="11" t="s">
        <v>28</v>
      </c>
    </row>
    <row r="120" spans="1:19" ht="60" customHeight="1" x14ac:dyDescent="0.35">
      <c r="A120" s="9" t="s">
        <v>628</v>
      </c>
      <c r="B120" s="2" t="s">
        <v>740</v>
      </c>
      <c r="C120" s="1" t="s">
        <v>741</v>
      </c>
      <c r="D120" s="3" t="s">
        <v>532</v>
      </c>
      <c r="E120" s="3" t="s">
        <v>23</v>
      </c>
      <c r="F120" s="3" t="s">
        <v>48</v>
      </c>
      <c r="G120" s="3" t="s">
        <v>25</v>
      </c>
      <c r="H120" s="3" t="s">
        <v>26</v>
      </c>
      <c r="I120" s="3" t="s">
        <v>27</v>
      </c>
      <c r="J120" s="3" t="s">
        <v>28</v>
      </c>
      <c r="K120" s="4" t="s">
        <v>28</v>
      </c>
      <c r="L120" s="4" t="s">
        <v>742</v>
      </c>
      <c r="M120" s="4" t="s">
        <v>743</v>
      </c>
      <c r="N120" s="4" t="s">
        <v>725</v>
      </c>
      <c r="O120" s="4" t="s">
        <v>265</v>
      </c>
      <c r="P120" s="4" t="s">
        <v>744</v>
      </c>
      <c r="Q120" s="4" t="s">
        <v>720</v>
      </c>
      <c r="R120" s="3" t="str">
        <f t="shared" si="0"/>
        <v>Outstanding</v>
      </c>
      <c r="S120" s="11" t="s">
        <v>28</v>
      </c>
    </row>
    <row r="121" spans="1:19" ht="60" customHeight="1" x14ac:dyDescent="0.35">
      <c r="A121" s="9" t="s">
        <v>628</v>
      </c>
      <c r="B121" s="2" t="s">
        <v>745</v>
      </c>
      <c r="C121" s="1" t="s">
        <v>746</v>
      </c>
      <c r="D121" s="3" t="s">
        <v>532</v>
      </c>
      <c r="E121" s="3" t="s">
        <v>23</v>
      </c>
      <c r="F121" s="3" t="s">
        <v>48</v>
      </c>
      <c r="G121" s="3" t="s">
        <v>25</v>
      </c>
      <c r="H121" s="3" t="s">
        <v>26</v>
      </c>
      <c r="I121" s="3" t="s">
        <v>27</v>
      </c>
      <c r="J121" s="3" t="s">
        <v>28</v>
      </c>
      <c r="K121" s="4" t="s">
        <v>28</v>
      </c>
      <c r="L121" s="4" t="s">
        <v>747</v>
      </c>
      <c r="M121" s="4" t="s">
        <v>748</v>
      </c>
      <c r="N121" s="4" t="s">
        <v>725</v>
      </c>
      <c r="O121" s="4" t="s">
        <v>265</v>
      </c>
      <c r="P121" s="4" t="s">
        <v>749</v>
      </c>
      <c r="Q121" s="4" t="s">
        <v>750</v>
      </c>
      <c r="R121" s="3" t="str">
        <f t="shared" si="0"/>
        <v>Outstanding</v>
      </c>
      <c r="S121" s="11" t="s">
        <v>28</v>
      </c>
    </row>
    <row r="122" spans="1:19" ht="60" customHeight="1" x14ac:dyDescent="0.35">
      <c r="A122" s="9" t="s">
        <v>628</v>
      </c>
      <c r="B122" s="2" t="s">
        <v>751</v>
      </c>
      <c r="C122" s="1" t="s">
        <v>752</v>
      </c>
      <c r="D122" s="3" t="s">
        <v>532</v>
      </c>
      <c r="E122" s="3" t="s">
        <v>23</v>
      </c>
      <c r="F122" s="3" t="s">
        <v>48</v>
      </c>
      <c r="G122" s="3" t="s">
        <v>25</v>
      </c>
      <c r="H122" s="3" t="s">
        <v>26</v>
      </c>
      <c r="I122" s="3" t="s">
        <v>27</v>
      </c>
      <c r="J122" s="3" t="s">
        <v>28</v>
      </c>
      <c r="K122" s="4" t="s">
        <v>28</v>
      </c>
      <c r="L122" s="4" t="s">
        <v>753</v>
      </c>
      <c r="M122" s="4"/>
      <c r="N122" s="4"/>
      <c r="O122" s="4"/>
      <c r="P122" s="4"/>
      <c r="Q122" s="4"/>
      <c r="R122" s="3" t="str">
        <f t="shared" si="0"/>
        <v>Outstanding</v>
      </c>
      <c r="S122" s="11" t="s">
        <v>28</v>
      </c>
    </row>
    <row r="123" spans="1:19" ht="60" customHeight="1" x14ac:dyDescent="0.35">
      <c r="A123" s="9" t="s">
        <v>628</v>
      </c>
      <c r="B123" s="2" t="s">
        <v>754</v>
      </c>
      <c r="C123" s="1" t="s">
        <v>755</v>
      </c>
      <c r="D123" s="3" t="s">
        <v>532</v>
      </c>
      <c r="E123" s="3" t="s">
        <v>23</v>
      </c>
      <c r="F123" s="3" t="s">
        <v>48</v>
      </c>
      <c r="G123" s="3" t="s">
        <v>25</v>
      </c>
      <c r="H123" s="3" t="s">
        <v>26</v>
      </c>
      <c r="I123" s="3" t="s">
        <v>27</v>
      </c>
      <c r="J123" s="3" t="s">
        <v>28</v>
      </c>
      <c r="K123" s="4" t="s">
        <v>28</v>
      </c>
      <c r="L123" s="4" t="s">
        <v>756</v>
      </c>
      <c r="M123" s="4" t="s">
        <v>757</v>
      </c>
      <c r="N123" s="4" t="s">
        <v>758</v>
      </c>
      <c r="O123" s="4" t="s">
        <v>759</v>
      </c>
      <c r="P123" s="4" t="s">
        <v>760</v>
      </c>
      <c r="Q123" s="4" t="s">
        <v>761</v>
      </c>
      <c r="R123" s="3" t="str">
        <f t="shared" si="0"/>
        <v>Outstanding</v>
      </c>
      <c r="S123" s="11" t="s">
        <v>28</v>
      </c>
    </row>
    <row r="124" spans="1:19" ht="60" customHeight="1" x14ac:dyDescent="0.35">
      <c r="A124" s="9" t="s">
        <v>628</v>
      </c>
      <c r="B124" s="2" t="s">
        <v>762</v>
      </c>
      <c r="C124" s="1" t="s">
        <v>763</v>
      </c>
      <c r="D124" s="3" t="s">
        <v>532</v>
      </c>
      <c r="E124" s="3" t="s">
        <v>23</v>
      </c>
      <c r="F124" s="3" t="s">
        <v>48</v>
      </c>
      <c r="G124" s="3" t="s">
        <v>25</v>
      </c>
      <c r="H124" s="3" t="s">
        <v>26</v>
      </c>
      <c r="I124" s="3" t="s">
        <v>27</v>
      </c>
      <c r="J124" s="3" t="s">
        <v>28</v>
      </c>
      <c r="K124" s="4" t="s">
        <v>28</v>
      </c>
      <c r="L124" s="4" t="s">
        <v>764</v>
      </c>
      <c r="M124" s="4" t="s">
        <v>765</v>
      </c>
      <c r="N124" s="4" t="s">
        <v>766</v>
      </c>
      <c r="O124" s="4" t="s">
        <v>265</v>
      </c>
      <c r="P124" s="4" t="s">
        <v>767</v>
      </c>
      <c r="Q124" s="4" t="s">
        <v>720</v>
      </c>
      <c r="R124" s="3" t="str">
        <f t="shared" si="0"/>
        <v>Outstanding</v>
      </c>
      <c r="S124" s="11" t="s">
        <v>28</v>
      </c>
    </row>
    <row r="125" spans="1:19" ht="60" customHeight="1" x14ac:dyDescent="0.35">
      <c r="A125" s="9" t="s">
        <v>628</v>
      </c>
      <c r="B125" s="2" t="s">
        <v>768</v>
      </c>
      <c r="C125" s="1" t="s">
        <v>769</v>
      </c>
      <c r="D125" s="3" t="s">
        <v>532</v>
      </c>
      <c r="E125" s="3" t="s">
        <v>23</v>
      </c>
      <c r="F125" s="3" t="s">
        <v>48</v>
      </c>
      <c r="G125" s="3" t="s">
        <v>25</v>
      </c>
      <c r="H125" s="3" t="s">
        <v>26</v>
      </c>
      <c r="I125" s="3" t="s">
        <v>27</v>
      </c>
      <c r="J125" s="3" t="s">
        <v>28</v>
      </c>
      <c r="K125" s="4" t="s">
        <v>28</v>
      </c>
      <c r="L125" s="4" t="s">
        <v>770</v>
      </c>
      <c r="M125" s="4" t="s">
        <v>771</v>
      </c>
      <c r="N125" s="4" t="s">
        <v>772</v>
      </c>
      <c r="O125" s="4" t="s">
        <v>773</v>
      </c>
      <c r="P125" s="4" t="s">
        <v>774</v>
      </c>
      <c r="Q125" s="4" t="s">
        <v>775</v>
      </c>
      <c r="R125" s="3" t="str">
        <f t="shared" si="0"/>
        <v>Outstanding</v>
      </c>
      <c r="S125" s="11" t="s">
        <v>28</v>
      </c>
    </row>
    <row r="126" spans="1:19" ht="60" customHeight="1" x14ac:dyDescent="0.35">
      <c r="A126" s="9" t="s">
        <v>628</v>
      </c>
      <c r="B126" s="2" t="s">
        <v>776</v>
      </c>
      <c r="C126" s="1" t="s">
        <v>777</v>
      </c>
      <c r="D126" s="3" t="s">
        <v>532</v>
      </c>
      <c r="E126" s="3" t="s">
        <v>23</v>
      </c>
      <c r="F126" s="3" t="s">
        <v>48</v>
      </c>
      <c r="G126" s="3" t="s">
        <v>25</v>
      </c>
      <c r="H126" s="3" t="s">
        <v>26</v>
      </c>
      <c r="I126" s="3" t="s">
        <v>27</v>
      </c>
      <c r="J126" s="3" t="s">
        <v>28</v>
      </c>
      <c r="K126" s="4" t="s">
        <v>28</v>
      </c>
      <c r="L126" s="4" t="s">
        <v>778</v>
      </c>
      <c r="M126" s="4" t="s">
        <v>779</v>
      </c>
      <c r="N126" s="4" t="s">
        <v>780</v>
      </c>
      <c r="O126" s="4" t="s">
        <v>781</v>
      </c>
      <c r="P126" s="4" t="s">
        <v>782</v>
      </c>
      <c r="Q126" s="4" t="s">
        <v>783</v>
      </c>
      <c r="R126" s="3" t="str">
        <f t="shared" si="0"/>
        <v>Outstanding</v>
      </c>
      <c r="S126" s="11" t="s">
        <v>28</v>
      </c>
    </row>
    <row r="127" spans="1:19" ht="60" customHeight="1" x14ac:dyDescent="0.35">
      <c r="A127" s="9" t="s">
        <v>628</v>
      </c>
      <c r="B127" s="2" t="s">
        <v>784</v>
      </c>
      <c r="C127" s="1" t="s">
        <v>785</v>
      </c>
      <c r="D127" s="3" t="s">
        <v>532</v>
      </c>
      <c r="E127" s="3" t="s">
        <v>23</v>
      </c>
      <c r="F127" s="3" t="s">
        <v>48</v>
      </c>
      <c r="G127" s="3" t="s">
        <v>25</v>
      </c>
      <c r="H127" s="3" t="s">
        <v>26</v>
      </c>
      <c r="I127" s="3" t="s">
        <v>27</v>
      </c>
      <c r="J127" s="3" t="s">
        <v>28</v>
      </c>
      <c r="K127" s="4" t="s">
        <v>28</v>
      </c>
      <c r="L127" s="4" t="s">
        <v>786</v>
      </c>
      <c r="M127" s="4" t="s">
        <v>787</v>
      </c>
      <c r="N127" s="4" t="s">
        <v>788</v>
      </c>
      <c r="O127" s="4" t="s">
        <v>789</v>
      </c>
      <c r="P127" s="4" t="s">
        <v>790</v>
      </c>
      <c r="Q127" s="4" t="s">
        <v>791</v>
      </c>
      <c r="R127" s="3" t="str">
        <f t="shared" si="0"/>
        <v>Outstanding</v>
      </c>
      <c r="S127" s="11" t="s">
        <v>28</v>
      </c>
    </row>
    <row r="128" spans="1:19" ht="60" customHeight="1" x14ac:dyDescent="0.35">
      <c r="A128" s="9" t="s">
        <v>792</v>
      </c>
      <c r="B128" s="2" t="s">
        <v>793</v>
      </c>
      <c r="C128" s="1" t="s">
        <v>794</v>
      </c>
      <c r="D128" s="3" t="s">
        <v>532</v>
      </c>
      <c r="E128" s="3" t="s">
        <v>23</v>
      </c>
      <c r="F128" s="3" t="s">
        <v>24</v>
      </c>
      <c r="G128" s="3" t="s">
        <v>25</v>
      </c>
      <c r="H128" s="3" t="s">
        <v>26</v>
      </c>
      <c r="I128" s="3" t="s">
        <v>27</v>
      </c>
      <c r="J128" s="3" t="s">
        <v>28</v>
      </c>
      <c r="K128" s="4" t="s">
        <v>28</v>
      </c>
      <c r="L128" s="4" t="s">
        <v>795</v>
      </c>
      <c r="M128" s="4" t="s">
        <v>796</v>
      </c>
      <c r="N128" s="4"/>
      <c r="O128" s="4"/>
      <c r="P128" s="4"/>
      <c r="Q128" s="4"/>
      <c r="R128" s="3" t="str">
        <f t="shared" si="0"/>
        <v>Outstanding</v>
      </c>
      <c r="S128" s="11" t="s">
        <v>28</v>
      </c>
    </row>
    <row r="129" spans="1:19" ht="60" customHeight="1" x14ac:dyDescent="0.35">
      <c r="A129" s="9" t="s">
        <v>792</v>
      </c>
      <c r="B129" s="2" t="s">
        <v>797</v>
      </c>
      <c r="C129" s="1" t="s">
        <v>798</v>
      </c>
      <c r="D129" s="3" t="s">
        <v>532</v>
      </c>
      <c r="E129" s="3" t="s">
        <v>23</v>
      </c>
      <c r="F129" s="3" t="s">
        <v>48</v>
      </c>
      <c r="G129" s="3" t="s">
        <v>25</v>
      </c>
      <c r="H129" s="3" t="s">
        <v>26</v>
      </c>
      <c r="I129" s="3" t="s">
        <v>27</v>
      </c>
      <c r="J129" s="3" t="s">
        <v>28</v>
      </c>
      <c r="K129" s="4" t="s">
        <v>28</v>
      </c>
      <c r="L129" s="4" t="s">
        <v>799</v>
      </c>
      <c r="M129" s="4" t="s">
        <v>800</v>
      </c>
      <c r="N129" s="4" t="s">
        <v>801</v>
      </c>
      <c r="O129" s="4" t="s">
        <v>265</v>
      </c>
      <c r="P129" s="4" t="s">
        <v>802</v>
      </c>
      <c r="Q129" s="4" t="s">
        <v>803</v>
      </c>
      <c r="R129" s="3" t="str">
        <f t="shared" si="0"/>
        <v>Outstanding</v>
      </c>
      <c r="S129" s="11" t="s">
        <v>28</v>
      </c>
    </row>
    <row r="130" spans="1:19" ht="60" customHeight="1" x14ac:dyDescent="0.35">
      <c r="A130" s="9" t="s">
        <v>792</v>
      </c>
      <c r="B130" s="2" t="s">
        <v>804</v>
      </c>
      <c r="C130" s="1" t="s">
        <v>805</v>
      </c>
      <c r="D130" s="3" t="s">
        <v>532</v>
      </c>
      <c r="E130" s="3" t="s">
        <v>806</v>
      </c>
      <c r="F130" s="3" t="s">
        <v>48</v>
      </c>
      <c r="G130" s="3" t="s">
        <v>25</v>
      </c>
      <c r="H130" s="3" t="s">
        <v>26</v>
      </c>
      <c r="I130" s="3" t="s">
        <v>27</v>
      </c>
      <c r="J130" s="3" t="s">
        <v>28</v>
      </c>
      <c r="K130" s="4" t="s">
        <v>28</v>
      </c>
      <c r="L130" s="4" t="s">
        <v>807</v>
      </c>
      <c r="M130" s="4"/>
      <c r="N130" s="4"/>
      <c r="O130" s="4"/>
      <c r="P130" s="4"/>
      <c r="Q130" s="4"/>
      <c r="R130" s="3" t="str">
        <f t="shared" si="0"/>
        <v>Outstanding</v>
      </c>
      <c r="S130" s="11" t="s">
        <v>28</v>
      </c>
    </row>
    <row r="131" spans="1:19" ht="60" customHeight="1" x14ac:dyDescent="0.35">
      <c r="A131" s="9" t="s">
        <v>808</v>
      </c>
      <c r="B131" s="2" t="s">
        <v>809</v>
      </c>
      <c r="C131" s="1" t="s">
        <v>810</v>
      </c>
      <c r="D131" s="3" t="s">
        <v>532</v>
      </c>
      <c r="E131" s="3" t="s">
        <v>23</v>
      </c>
      <c r="F131" s="3" t="s">
        <v>24</v>
      </c>
      <c r="G131" s="3" t="s">
        <v>25</v>
      </c>
      <c r="H131" s="3" t="s">
        <v>26</v>
      </c>
      <c r="I131" s="3" t="s">
        <v>27</v>
      </c>
      <c r="J131" s="3" t="s">
        <v>28</v>
      </c>
      <c r="K131" s="4" t="s">
        <v>28</v>
      </c>
      <c r="L131" s="4" t="s">
        <v>811</v>
      </c>
      <c r="M131" s="4" t="s">
        <v>812</v>
      </c>
      <c r="N131" s="4"/>
      <c r="O131" s="4"/>
      <c r="P131" s="4"/>
      <c r="Q131" s="4"/>
      <c r="R131" s="3" t="str">
        <f t="shared" si="0"/>
        <v>Outstanding</v>
      </c>
      <c r="S131" s="11" t="s">
        <v>28</v>
      </c>
    </row>
    <row r="132" spans="1:19" ht="60" customHeight="1" x14ac:dyDescent="0.35">
      <c r="A132" s="9" t="s">
        <v>808</v>
      </c>
      <c r="B132" s="2" t="s">
        <v>813</v>
      </c>
      <c r="C132" s="1" t="s">
        <v>814</v>
      </c>
      <c r="D132" s="3" t="s">
        <v>532</v>
      </c>
      <c r="E132" s="3" t="s">
        <v>23</v>
      </c>
      <c r="F132" s="3" t="s">
        <v>48</v>
      </c>
      <c r="G132" s="3" t="s">
        <v>25</v>
      </c>
      <c r="H132" s="3" t="s">
        <v>26</v>
      </c>
      <c r="I132" s="3" t="s">
        <v>27</v>
      </c>
      <c r="J132" s="3" t="s">
        <v>28</v>
      </c>
      <c r="K132" s="4" t="s">
        <v>28</v>
      </c>
      <c r="L132" s="4" t="s">
        <v>815</v>
      </c>
      <c r="M132" s="4" t="s">
        <v>816</v>
      </c>
      <c r="N132" s="4" t="s">
        <v>817</v>
      </c>
      <c r="O132" s="4" t="s">
        <v>818</v>
      </c>
      <c r="P132" s="4" t="s">
        <v>819</v>
      </c>
      <c r="Q132" s="4" t="s">
        <v>820</v>
      </c>
      <c r="R132" s="3" t="str">
        <f t="shared" si="0"/>
        <v>Outstanding</v>
      </c>
      <c r="S132" s="11" t="s">
        <v>28</v>
      </c>
    </row>
    <row r="133" spans="1:19" ht="60" customHeight="1" x14ac:dyDescent="0.35">
      <c r="A133" s="9" t="s">
        <v>808</v>
      </c>
      <c r="B133" s="2" t="s">
        <v>821</v>
      </c>
      <c r="C133" s="1" t="s">
        <v>822</v>
      </c>
      <c r="D133" s="3" t="s">
        <v>532</v>
      </c>
      <c r="E133" s="3" t="s">
        <v>23</v>
      </c>
      <c r="F133" s="3" t="s">
        <v>24</v>
      </c>
      <c r="G133" s="3" t="s">
        <v>25</v>
      </c>
      <c r="H133" s="3" t="s">
        <v>26</v>
      </c>
      <c r="I133" s="3" t="s">
        <v>27</v>
      </c>
      <c r="J133" s="3" t="s">
        <v>28</v>
      </c>
      <c r="K133" s="4" t="s">
        <v>28</v>
      </c>
      <c r="L133" s="4" t="s">
        <v>823</v>
      </c>
      <c r="M133" s="4"/>
      <c r="N133" s="4"/>
      <c r="O133" s="4"/>
      <c r="P133" s="4"/>
      <c r="Q133" s="4"/>
      <c r="R133" s="3" t="str">
        <f t="shared" si="0"/>
        <v>Outstanding</v>
      </c>
      <c r="S133" s="11" t="s">
        <v>28</v>
      </c>
    </row>
    <row r="134" spans="1:19" ht="60" customHeight="1" x14ac:dyDescent="0.35">
      <c r="A134" s="9" t="s">
        <v>808</v>
      </c>
      <c r="B134" s="2" t="s">
        <v>824</v>
      </c>
      <c r="C134" s="1" t="s">
        <v>825</v>
      </c>
      <c r="D134" s="3" t="s">
        <v>532</v>
      </c>
      <c r="E134" s="3" t="s">
        <v>23</v>
      </c>
      <c r="F134" s="3" t="s">
        <v>48</v>
      </c>
      <c r="G134" s="3" t="s">
        <v>25</v>
      </c>
      <c r="H134" s="3" t="s">
        <v>26</v>
      </c>
      <c r="I134" s="3" t="s">
        <v>27</v>
      </c>
      <c r="J134" s="3" t="s">
        <v>28</v>
      </c>
      <c r="K134" s="4" t="s">
        <v>28</v>
      </c>
      <c r="L134" s="4" t="s">
        <v>826</v>
      </c>
      <c r="M134" s="4" t="s">
        <v>827</v>
      </c>
      <c r="N134" s="4" t="s">
        <v>828</v>
      </c>
      <c r="O134" s="4" t="s">
        <v>829</v>
      </c>
      <c r="P134" s="4" t="s">
        <v>830</v>
      </c>
      <c r="Q134" s="4" t="s">
        <v>831</v>
      </c>
      <c r="R134" s="3" t="str">
        <f t="shared" si="0"/>
        <v>Outstanding</v>
      </c>
      <c r="S134" s="11" t="s">
        <v>28</v>
      </c>
    </row>
    <row r="135" spans="1:19" ht="60" customHeight="1" x14ac:dyDescent="0.35">
      <c r="A135" s="9" t="s">
        <v>808</v>
      </c>
      <c r="B135" s="2" t="s">
        <v>832</v>
      </c>
      <c r="C135" s="1" t="s">
        <v>833</v>
      </c>
      <c r="D135" s="3" t="s">
        <v>532</v>
      </c>
      <c r="E135" s="3" t="s">
        <v>23</v>
      </c>
      <c r="F135" s="3" t="s">
        <v>48</v>
      </c>
      <c r="G135" s="3" t="s">
        <v>25</v>
      </c>
      <c r="H135" s="3" t="s">
        <v>26</v>
      </c>
      <c r="I135" s="3" t="s">
        <v>27</v>
      </c>
      <c r="J135" s="3" t="s">
        <v>28</v>
      </c>
      <c r="K135" s="4" t="s">
        <v>28</v>
      </c>
      <c r="L135" s="4" t="s">
        <v>834</v>
      </c>
      <c r="M135" s="4"/>
      <c r="N135" s="4"/>
      <c r="O135" s="4"/>
      <c r="P135" s="4"/>
      <c r="Q135" s="4"/>
      <c r="R135" s="3" t="str">
        <f t="shared" si="0"/>
        <v>Outstanding</v>
      </c>
      <c r="S135" s="11" t="s">
        <v>28</v>
      </c>
    </row>
    <row r="136" spans="1:19" ht="60" customHeight="1" x14ac:dyDescent="0.35">
      <c r="A136" s="9" t="s">
        <v>808</v>
      </c>
      <c r="B136" s="2" t="s">
        <v>835</v>
      </c>
      <c r="C136" s="1" t="s">
        <v>836</v>
      </c>
      <c r="D136" s="3" t="s">
        <v>532</v>
      </c>
      <c r="E136" s="3" t="s">
        <v>23</v>
      </c>
      <c r="F136" s="3" t="s">
        <v>48</v>
      </c>
      <c r="G136" s="3" t="s">
        <v>25</v>
      </c>
      <c r="H136" s="3" t="s">
        <v>26</v>
      </c>
      <c r="I136" s="3" t="s">
        <v>27</v>
      </c>
      <c r="J136" s="3" t="s">
        <v>28</v>
      </c>
      <c r="K136" s="4" t="s">
        <v>28</v>
      </c>
      <c r="L136" s="4" t="s">
        <v>837</v>
      </c>
      <c r="M136" s="4"/>
      <c r="N136" s="4"/>
      <c r="O136" s="4"/>
      <c r="P136" s="4"/>
      <c r="Q136" s="4"/>
      <c r="R136" s="3" t="str">
        <f t="shared" si="0"/>
        <v>Outstanding</v>
      </c>
      <c r="S136" s="11" t="s">
        <v>28</v>
      </c>
    </row>
    <row r="137" spans="1:19" ht="60" customHeight="1" x14ac:dyDescent="0.35">
      <c r="A137" s="9" t="s">
        <v>808</v>
      </c>
      <c r="B137" s="2" t="s">
        <v>838</v>
      </c>
      <c r="C137" s="1" t="s">
        <v>839</v>
      </c>
      <c r="D137" s="3" t="s">
        <v>532</v>
      </c>
      <c r="E137" s="3" t="s">
        <v>23</v>
      </c>
      <c r="F137" s="3" t="s">
        <v>48</v>
      </c>
      <c r="G137" s="3" t="s">
        <v>25</v>
      </c>
      <c r="H137" s="3" t="s">
        <v>26</v>
      </c>
      <c r="I137" s="3" t="s">
        <v>27</v>
      </c>
      <c r="J137" s="3" t="s">
        <v>28</v>
      </c>
      <c r="K137" s="4" t="s">
        <v>28</v>
      </c>
      <c r="L137" s="4" t="s">
        <v>840</v>
      </c>
      <c r="M137" s="4" t="s">
        <v>841</v>
      </c>
      <c r="N137" s="4" t="s">
        <v>842</v>
      </c>
      <c r="O137" s="4" t="s">
        <v>265</v>
      </c>
      <c r="P137" s="4" t="s">
        <v>541</v>
      </c>
      <c r="Q137" s="4" t="s">
        <v>843</v>
      </c>
      <c r="R137" s="3" t="str">
        <f t="shared" si="0"/>
        <v>Outstanding</v>
      </c>
      <c r="S137" s="11" t="s">
        <v>28</v>
      </c>
    </row>
    <row r="138" spans="1:19" ht="60" customHeight="1" x14ac:dyDescent="0.35">
      <c r="A138" s="9" t="s">
        <v>808</v>
      </c>
      <c r="B138" s="2" t="s">
        <v>844</v>
      </c>
      <c r="C138" s="1" t="s">
        <v>845</v>
      </c>
      <c r="D138" s="3" t="s">
        <v>532</v>
      </c>
      <c r="E138" s="3" t="s">
        <v>23</v>
      </c>
      <c r="F138" s="3" t="s">
        <v>48</v>
      </c>
      <c r="G138" s="3" t="s">
        <v>25</v>
      </c>
      <c r="H138" s="3" t="s">
        <v>26</v>
      </c>
      <c r="I138" s="3" t="s">
        <v>27</v>
      </c>
      <c r="J138" s="3" t="s">
        <v>28</v>
      </c>
      <c r="K138" s="4" t="s">
        <v>28</v>
      </c>
      <c r="L138" s="4" t="s">
        <v>846</v>
      </c>
      <c r="M138" s="4" t="s">
        <v>847</v>
      </c>
      <c r="N138" s="4" t="s">
        <v>848</v>
      </c>
      <c r="O138" s="4" t="s">
        <v>849</v>
      </c>
      <c r="P138" s="4" t="s">
        <v>850</v>
      </c>
      <c r="Q138" s="4" t="s">
        <v>851</v>
      </c>
      <c r="R138" s="3" t="str">
        <f t="shared" si="0"/>
        <v>Outstanding</v>
      </c>
      <c r="S138" s="11" t="s">
        <v>28</v>
      </c>
    </row>
    <row r="139" spans="1:19" ht="60" customHeight="1" x14ac:dyDescent="0.35">
      <c r="A139" s="9" t="s">
        <v>808</v>
      </c>
      <c r="B139" s="2" t="s">
        <v>852</v>
      </c>
      <c r="C139" s="1" t="s">
        <v>853</v>
      </c>
      <c r="D139" s="3" t="s">
        <v>532</v>
      </c>
      <c r="E139" s="3" t="s">
        <v>23</v>
      </c>
      <c r="F139" s="3" t="s">
        <v>48</v>
      </c>
      <c r="G139" s="3" t="s">
        <v>25</v>
      </c>
      <c r="H139" s="3" t="s">
        <v>26</v>
      </c>
      <c r="I139" s="3" t="s">
        <v>27</v>
      </c>
      <c r="J139" s="3" t="s">
        <v>28</v>
      </c>
      <c r="K139" s="4" t="s">
        <v>28</v>
      </c>
      <c r="L139" s="4" t="s">
        <v>854</v>
      </c>
      <c r="M139" s="4"/>
      <c r="N139" s="4"/>
      <c r="O139" s="4"/>
      <c r="P139" s="4"/>
      <c r="Q139" s="4"/>
      <c r="R139" s="3" t="str">
        <f t="shared" si="0"/>
        <v>Outstanding</v>
      </c>
      <c r="S139" s="11" t="s">
        <v>28</v>
      </c>
    </row>
    <row r="140" spans="1:19" ht="60" customHeight="1" x14ac:dyDescent="0.35">
      <c r="A140" s="9" t="s">
        <v>808</v>
      </c>
      <c r="B140" s="2" t="s">
        <v>855</v>
      </c>
      <c r="C140" s="1" t="s">
        <v>856</v>
      </c>
      <c r="D140" s="3" t="s">
        <v>532</v>
      </c>
      <c r="E140" s="3" t="s">
        <v>23</v>
      </c>
      <c r="F140" s="3" t="s">
        <v>48</v>
      </c>
      <c r="G140" s="3" t="s">
        <v>25</v>
      </c>
      <c r="H140" s="3" t="s">
        <v>26</v>
      </c>
      <c r="I140" s="3" t="s">
        <v>27</v>
      </c>
      <c r="J140" s="3" t="s">
        <v>28</v>
      </c>
      <c r="K140" s="4" t="s">
        <v>28</v>
      </c>
      <c r="L140" s="4" t="s">
        <v>857</v>
      </c>
      <c r="M140" s="4"/>
      <c r="N140" s="4"/>
      <c r="O140" s="4"/>
      <c r="P140" s="4"/>
      <c r="Q140" s="4"/>
      <c r="R140" s="3" t="str">
        <f t="shared" si="0"/>
        <v>Outstanding</v>
      </c>
      <c r="S140" s="11" t="s">
        <v>28</v>
      </c>
    </row>
    <row r="141" spans="1:19" ht="60" customHeight="1" x14ac:dyDescent="0.35">
      <c r="A141" s="9" t="s">
        <v>808</v>
      </c>
      <c r="B141" s="2" t="s">
        <v>858</v>
      </c>
      <c r="C141" s="1" t="s">
        <v>859</v>
      </c>
      <c r="D141" s="3" t="s">
        <v>532</v>
      </c>
      <c r="E141" s="3" t="s">
        <v>23</v>
      </c>
      <c r="F141" s="3" t="s">
        <v>48</v>
      </c>
      <c r="G141" s="3" t="s">
        <v>25</v>
      </c>
      <c r="H141" s="3" t="s">
        <v>26</v>
      </c>
      <c r="I141" s="3" t="s">
        <v>27</v>
      </c>
      <c r="J141" s="3" t="s">
        <v>28</v>
      </c>
      <c r="K141" s="4" t="s">
        <v>28</v>
      </c>
      <c r="L141" s="4" t="s">
        <v>860</v>
      </c>
      <c r="M141" s="4" t="s">
        <v>861</v>
      </c>
      <c r="N141" s="4" t="s">
        <v>862</v>
      </c>
      <c r="O141" s="4" t="s">
        <v>863</v>
      </c>
      <c r="P141" s="4" t="s">
        <v>864</v>
      </c>
      <c r="Q141" s="4" t="s">
        <v>865</v>
      </c>
      <c r="R141" s="3" t="str">
        <f t="shared" si="0"/>
        <v>Outstanding</v>
      </c>
      <c r="S141" s="11" t="s">
        <v>28</v>
      </c>
    </row>
    <row r="142" spans="1:19" ht="60" customHeight="1" x14ac:dyDescent="0.35">
      <c r="A142" s="9" t="s">
        <v>808</v>
      </c>
      <c r="B142" s="2" t="s">
        <v>866</v>
      </c>
      <c r="C142" s="1" t="s">
        <v>867</v>
      </c>
      <c r="D142" s="3" t="s">
        <v>532</v>
      </c>
      <c r="E142" s="3" t="s">
        <v>23</v>
      </c>
      <c r="F142" s="3" t="s">
        <v>48</v>
      </c>
      <c r="G142" s="3" t="s">
        <v>25</v>
      </c>
      <c r="H142" s="3" t="s">
        <v>26</v>
      </c>
      <c r="I142" s="3" t="s">
        <v>27</v>
      </c>
      <c r="J142" s="3" t="s">
        <v>28</v>
      </c>
      <c r="K142" s="4" t="s">
        <v>28</v>
      </c>
      <c r="L142" s="4" t="s">
        <v>868</v>
      </c>
      <c r="M142" s="4" t="s">
        <v>869</v>
      </c>
      <c r="N142" s="4" t="s">
        <v>862</v>
      </c>
      <c r="O142" s="4" t="s">
        <v>863</v>
      </c>
      <c r="P142" s="4" t="s">
        <v>870</v>
      </c>
      <c r="Q142" s="4" t="s">
        <v>865</v>
      </c>
      <c r="R142" s="3" t="str">
        <f t="shared" si="0"/>
        <v>Outstanding</v>
      </c>
      <c r="S142" s="11" t="s">
        <v>28</v>
      </c>
    </row>
    <row r="143" spans="1:19" ht="60" customHeight="1" x14ac:dyDescent="0.35">
      <c r="A143" s="9" t="s">
        <v>808</v>
      </c>
      <c r="B143" s="2" t="s">
        <v>871</v>
      </c>
      <c r="C143" s="1" t="s">
        <v>872</v>
      </c>
      <c r="D143" s="3" t="s">
        <v>532</v>
      </c>
      <c r="E143" s="3" t="s">
        <v>23</v>
      </c>
      <c r="F143" s="3" t="s">
        <v>48</v>
      </c>
      <c r="G143" s="3" t="s">
        <v>25</v>
      </c>
      <c r="H143" s="3" t="s">
        <v>26</v>
      </c>
      <c r="I143" s="3" t="s">
        <v>27</v>
      </c>
      <c r="J143" s="3" t="s">
        <v>28</v>
      </c>
      <c r="K143" s="4" t="s">
        <v>28</v>
      </c>
      <c r="L143" s="4" t="s">
        <v>873</v>
      </c>
      <c r="M143" s="4" t="s">
        <v>874</v>
      </c>
      <c r="N143" s="4" t="s">
        <v>862</v>
      </c>
      <c r="O143" s="4" t="s">
        <v>863</v>
      </c>
      <c r="P143" s="4" t="s">
        <v>875</v>
      </c>
      <c r="Q143" s="4" t="s">
        <v>876</v>
      </c>
      <c r="R143" s="3" t="str">
        <f t="shared" si="0"/>
        <v>Outstanding</v>
      </c>
      <c r="S143" s="11" t="s">
        <v>28</v>
      </c>
    </row>
    <row r="144" spans="1:19" ht="60" customHeight="1" x14ac:dyDescent="0.35">
      <c r="A144" s="9" t="s">
        <v>808</v>
      </c>
      <c r="B144" s="2" t="s">
        <v>877</v>
      </c>
      <c r="C144" s="1" t="s">
        <v>878</v>
      </c>
      <c r="D144" s="3" t="s">
        <v>532</v>
      </c>
      <c r="E144" s="3" t="s">
        <v>23</v>
      </c>
      <c r="F144" s="3" t="s">
        <v>48</v>
      </c>
      <c r="G144" s="3" t="s">
        <v>25</v>
      </c>
      <c r="H144" s="3" t="s">
        <v>26</v>
      </c>
      <c r="I144" s="3" t="s">
        <v>27</v>
      </c>
      <c r="J144" s="3" t="s">
        <v>28</v>
      </c>
      <c r="K144" s="4" t="s">
        <v>28</v>
      </c>
      <c r="L144" s="4" t="s">
        <v>879</v>
      </c>
      <c r="M144" s="4"/>
      <c r="N144" s="4"/>
      <c r="O144" s="4"/>
      <c r="P144" s="4"/>
      <c r="Q144" s="4"/>
      <c r="R144" s="3" t="str">
        <f t="shared" si="0"/>
        <v>Outstanding</v>
      </c>
      <c r="S144" s="11" t="s">
        <v>28</v>
      </c>
    </row>
    <row r="145" spans="1:19" ht="60" customHeight="1" x14ac:dyDescent="0.35">
      <c r="A145" s="9" t="s">
        <v>808</v>
      </c>
      <c r="B145" s="2" t="s">
        <v>880</v>
      </c>
      <c r="C145" s="1" t="s">
        <v>881</v>
      </c>
      <c r="D145" s="3" t="s">
        <v>532</v>
      </c>
      <c r="E145" s="3" t="s">
        <v>23</v>
      </c>
      <c r="F145" s="3" t="s">
        <v>48</v>
      </c>
      <c r="G145" s="3" t="s">
        <v>25</v>
      </c>
      <c r="H145" s="3" t="s">
        <v>26</v>
      </c>
      <c r="I145" s="3" t="s">
        <v>27</v>
      </c>
      <c r="J145" s="3" t="s">
        <v>28</v>
      </c>
      <c r="K145" s="4" t="s">
        <v>28</v>
      </c>
      <c r="L145" s="4" t="s">
        <v>882</v>
      </c>
      <c r="M145" s="4" t="s">
        <v>883</v>
      </c>
      <c r="N145" s="4" t="s">
        <v>862</v>
      </c>
      <c r="O145" s="4" t="s">
        <v>863</v>
      </c>
      <c r="P145" s="4" t="s">
        <v>884</v>
      </c>
      <c r="Q145" s="4" t="s">
        <v>865</v>
      </c>
      <c r="R145" s="3" t="str">
        <f t="shared" si="0"/>
        <v>Outstanding</v>
      </c>
      <c r="S145" s="11" t="s">
        <v>28</v>
      </c>
    </row>
    <row r="146" spans="1:19" ht="60" customHeight="1" x14ac:dyDescent="0.35">
      <c r="A146" s="9" t="s">
        <v>808</v>
      </c>
      <c r="B146" s="2" t="s">
        <v>885</v>
      </c>
      <c r="C146" s="1" t="s">
        <v>886</v>
      </c>
      <c r="D146" s="3" t="s">
        <v>532</v>
      </c>
      <c r="E146" s="3" t="s">
        <v>23</v>
      </c>
      <c r="F146" s="3" t="s">
        <v>48</v>
      </c>
      <c r="G146" s="3" t="s">
        <v>25</v>
      </c>
      <c r="H146" s="3" t="s">
        <v>26</v>
      </c>
      <c r="I146" s="3" t="s">
        <v>27</v>
      </c>
      <c r="J146" s="3" t="s">
        <v>28</v>
      </c>
      <c r="K146" s="4" t="s">
        <v>28</v>
      </c>
      <c r="L146" s="4" t="s">
        <v>887</v>
      </c>
      <c r="M146" s="4" t="s">
        <v>888</v>
      </c>
      <c r="N146" s="4" t="s">
        <v>862</v>
      </c>
      <c r="O146" s="4" t="s">
        <v>863</v>
      </c>
      <c r="P146" s="4" t="s">
        <v>889</v>
      </c>
      <c r="Q146" s="4" t="s">
        <v>876</v>
      </c>
      <c r="R146" s="3" t="str">
        <f t="shared" si="0"/>
        <v>Outstanding</v>
      </c>
      <c r="S146" s="11" t="s">
        <v>28</v>
      </c>
    </row>
    <row r="147" spans="1:19" ht="60" customHeight="1" x14ac:dyDescent="0.35">
      <c r="A147" s="9" t="s">
        <v>808</v>
      </c>
      <c r="B147" s="2" t="s">
        <v>890</v>
      </c>
      <c r="C147" s="1" t="s">
        <v>891</v>
      </c>
      <c r="D147" s="3" t="s">
        <v>532</v>
      </c>
      <c r="E147" s="3" t="s">
        <v>23</v>
      </c>
      <c r="F147" s="3" t="s">
        <v>48</v>
      </c>
      <c r="G147" s="3" t="s">
        <v>25</v>
      </c>
      <c r="H147" s="3" t="s">
        <v>26</v>
      </c>
      <c r="I147" s="3" t="s">
        <v>27</v>
      </c>
      <c r="J147" s="3" t="s">
        <v>28</v>
      </c>
      <c r="K147" s="4" t="s">
        <v>28</v>
      </c>
      <c r="L147" s="4" t="s">
        <v>892</v>
      </c>
      <c r="M147" s="4" t="s">
        <v>893</v>
      </c>
      <c r="N147" s="4" t="s">
        <v>862</v>
      </c>
      <c r="O147" s="4" t="s">
        <v>863</v>
      </c>
      <c r="P147" s="4" t="s">
        <v>894</v>
      </c>
      <c r="Q147" s="4" t="s">
        <v>865</v>
      </c>
      <c r="R147" s="3" t="str">
        <f t="shared" si="0"/>
        <v>Outstanding</v>
      </c>
      <c r="S147" s="11" t="s">
        <v>28</v>
      </c>
    </row>
    <row r="148" spans="1:19" ht="60" customHeight="1" x14ac:dyDescent="0.35">
      <c r="A148" s="9" t="s">
        <v>808</v>
      </c>
      <c r="B148" s="2" t="s">
        <v>895</v>
      </c>
      <c r="C148" s="1" t="s">
        <v>896</v>
      </c>
      <c r="D148" s="3" t="s">
        <v>532</v>
      </c>
      <c r="E148" s="3" t="s">
        <v>23</v>
      </c>
      <c r="F148" s="3" t="s">
        <v>48</v>
      </c>
      <c r="G148" s="3" t="s">
        <v>25</v>
      </c>
      <c r="H148" s="3" t="s">
        <v>26</v>
      </c>
      <c r="I148" s="3" t="s">
        <v>27</v>
      </c>
      <c r="J148" s="3" t="s">
        <v>28</v>
      </c>
      <c r="K148" s="4" t="s">
        <v>28</v>
      </c>
      <c r="L148" s="4" t="s">
        <v>897</v>
      </c>
      <c r="M148" s="4" t="s">
        <v>898</v>
      </c>
      <c r="N148" s="4" t="s">
        <v>862</v>
      </c>
      <c r="O148" s="4" t="s">
        <v>863</v>
      </c>
      <c r="P148" s="4" t="s">
        <v>899</v>
      </c>
      <c r="Q148" s="4" t="s">
        <v>865</v>
      </c>
      <c r="R148" s="3" t="str">
        <f t="shared" si="0"/>
        <v>Outstanding</v>
      </c>
      <c r="S148" s="11" t="s">
        <v>28</v>
      </c>
    </row>
    <row r="149" spans="1:19" ht="60" customHeight="1" x14ac:dyDescent="0.35">
      <c r="A149" s="9" t="s">
        <v>808</v>
      </c>
      <c r="B149" s="2" t="s">
        <v>900</v>
      </c>
      <c r="C149" s="1" t="s">
        <v>901</v>
      </c>
      <c r="D149" s="3" t="s">
        <v>532</v>
      </c>
      <c r="E149" s="3" t="s">
        <v>23</v>
      </c>
      <c r="F149" s="3" t="s">
        <v>48</v>
      </c>
      <c r="G149" s="3" t="s">
        <v>25</v>
      </c>
      <c r="H149" s="3" t="s">
        <v>26</v>
      </c>
      <c r="I149" s="3" t="s">
        <v>27</v>
      </c>
      <c r="J149" s="3" t="s">
        <v>28</v>
      </c>
      <c r="K149" s="4" t="s">
        <v>28</v>
      </c>
      <c r="L149" s="4" t="s">
        <v>902</v>
      </c>
      <c r="M149" s="4" t="s">
        <v>903</v>
      </c>
      <c r="N149" s="4" t="s">
        <v>862</v>
      </c>
      <c r="O149" s="4" t="s">
        <v>863</v>
      </c>
      <c r="P149" s="4" t="s">
        <v>904</v>
      </c>
      <c r="Q149" s="4" t="s">
        <v>876</v>
      </c>
      <c r="R149" s="3" t="str">
        <f t="shared" si="0"/>
        <v>Outstanding</v>
      </c>
      <c r="S149" s="11" t="s">
        <v>28</v>
      </c>
    </row>
    <row r="150" spans="1:19" ht="60" customHeight="1" x14ac:dyDescent="0.35">
      <c r="A150" s="9" t="s">
        <v>808</v>
      </c>
      <c r="B150" s="2" t="s">
        <v>905</v>
      </c>
      <c r="C150" s="1" t="s">
        <v>906</v>
      </c>
      <c r="D150" s="3" t="s">
        <v>532</v>
      </c>
      <c r="E150" s="3" t="s">
        <v>23</v>
      </c>
      <c r="F150" s="3" t="s">
        <v>48</v>
      </c>
      <c r="G150" s="3" t="s">
        <v>25</v>
      </c>
      <c r="H150" s="3" t="s">
        <v>26</v>
      </c>
      <c r="I150" s="3" t="s">
        <v>27</v>
      </c>
      <c r="J150" s="3" t="s">
        <v>28</v>
      </c>
      <c r="K150" s="4" t="s">
        <v>28</v>
      </c>
      <c r="L150" s="4" t="s">
        <v>907</v>
      </c>
      <c r="M150" s="4" t="s">
        <v>908</v>
      </c>
      <c r="N150" s="4" t="s">
        <v>862</v>
      </c>
      <c r="O150" s="4" t="s">
        <v>863</v>
      </c>
      <c r="P150" s="4" t="s">
        <v>909</v>
      </c>
      <c r="Q150" s="4" t="s">
        <v>865</v>
      </c>
      <c r="R150" s="3" t="str">
        <f t="shared" si="0"/>
        <v>Outstanding</v>
      </c>
      <c r="S150" s="11" t="s">
        <v>28</v>
      </c>
    </row>
    <row r="151" spans="1:19" ht="60" customHeight="1" x14ac:dyDescent="0.35">
      <c r="A151" s="9" t="s">
        <v>808</v>
      </c>
      <c r="B151" s="2" t="s">
        <v>910</v>
      </c>
      <c r="C151" s="1" t="s">
        <v>911</v>
      </c>
      <c r="D151" s="3" t="s">
        <v>532</v>
      </c>
      <c r="E151" s="3" t="s">
        <v>23</v>
      </c>
      <c r="F151" s="3" t="s">
        <v>48</v>
      </c>
      <c r="G151" s="3" t="s">
        <v>25</v>
      </c>
      <c r="H151" s="3" t="s">
        <v>26</v>
      </c>
      <c r="I151" s="3" t="s">
        <v>27</v>
      </c>
      <c r="J151" s="3" t="s">
        <v>28</v>
      </c>
      <c r="K151" s="4" t="s">
        <v>28</v>
      </c>
      <c r="L151" s="4" t="s">
        <v>912</v>
      </c>
      <c r="M151" s="4" t="s">
        <v>913</v>
      </c>
      <c r="N151" s="4" t="s">
        <v>914</v>
      </c>
      <c r="O151" s="4" t="s">
        <v>863</v>
      </c>
      <c r="P151" s="4" t="s">
        <v>915</v>
      </c>
      <c r="Q151" s="4" t="s">
        <v>876</v>
      </c>
      <c r="R151" s="3" t="str">
        <f t="shared" si="0"/>
        <v>Outstanding</v>
      </c>
      <c r="S151" s="11" t="s">
        <v>28</v>
      </c>
    </row>
    <row r="152" spans="1:19" ht="60" customHeight="1" x14ac:dyDescent="0.35">
      <c r="A152" s="9" t="s">
        <v>808</v>
      </c>
      <c r="B152" s="2" t="s">
        <v>916</v>
      </c>
      <c r="C152" s="1" t="s">
        <v>917</v>
      </c>
      <c r="D152" s="3" t="s">
        <v>532</v>
      </c>
      <c r="E152" s="3" t="s">
        <v>23</v>
      </c>
      <c r="F152" s="3" t="s">
        <v>48</v>
      </c>
      <c r="G152" s="3" t="s">
        <v>25</v>
      </c>
      <c r="H152" s="3" t="s">
        <v>26</v>
      </c>
      <c r="I152" s="3" t="s">
        <v>27</v>
      </c>
      <c r="J152" s="3" t="s">
        <v>28</v>
      </c>
      <c r="K152" s="4" t="s">
        <v>28</v>
      </c>
      <c r="L152" s="4" t="s">
        <v>918</v>
      </c>
      <c r="M152" s="4"/>
      <c r="N152" s="4"/>
      <c r="O152" s="4"/>
      <c r="P152" s="4"/>
      <c r="Q152" s="4"/>
      <c r="R152" s="3" t="str">
        <f t="shared" si="0"/>
        <v>Outstanding</v>
      </c>
      <c r="S152" s="11" t="s">
        <v>28</v>
      </c>
    </row>
    <row r="153" spans="1:19" ht="60" customHeight="1" x14ac:dyDescent="0.35">
      <c r="A153" s="9" t="s">
        <v>808</v>
      </c>
      <c r="B153" s="2" t="s">
        <v>919</v>
      </c>
      <c r="C153" s="1" t="s">
        <v>920</v>
      </c>
      <c r="D153" s="3" t="s">
        <v>532</v>
      </c>
      <c r="E153" s="3" t="s">
        <v>23</v>
      </c>
      <c r="F153" s="3" t="s">
        <v>48</v>
      </c>
      <c r="G153" s="3" t="s">
        <v>25</v>
      </c>
      <c r="H153" s="3" t="s">
        <v>26</v>
      </c>
      <c r="I153" s="3" t="s">
        <v>27</v>
      </c>
      <c r="J153" s="3" t="s">
        <v>28</v>
      </c>
      <c r="K153" s="4" t="s">
        <v>28</v>
      </c>
      <c r="L153" s="4" t="s">
        <v>921</v>
      </c>
      <c r="M153" s="4"/>
      <c r="N153" s="4"/>
      <c r="O153" s="4"/>
      <c r="P153" s="4"/>
      <c r="Q153" s="4"/>
      <c r="R153" s="3" t="str">
        <f t="shared" si="0"/>
        <v>Outstanding</v>
      </c>
      <c r="S153" s="11" t="s">
        <v>28</v>
      </c>
    </row>
    <row r="154" spans="1:19" ht="60" customHeight="1" x14ac:dyDescent="0.35">
      <c r="A154" s="9" t="s">
        <v>808</v>
      </c>
      <c r="B154" s="2" t="s">
        <v>922</v>
      </c>
      <c r="C154" s="1" t="s">
        <v>923</v>
      </c>
      <c r="D154" s="3" t="s">
        <v>532</v>
      </c>
      <c r="E154" s="3" t="s">
        <v>23</v>
      </c>
      <c r="F154" s="3" t="s">
        <v>48</v>
      </c>
      <c r="G154" s="3" t="s">
        <v>25</v>
      </c>
      <c r="H154" s="3" t="s">
        <v>26</v>
      </c>
      <c r="I154" s="3" t="s">
        <v>27</v>
      </c>
      <c r="J154" s="3" t="s">
        <v>28</v>
      </c>
      <c r="K154" s="4" t="s">
        <v>28</v>
      </c>
      <c r="L154" s="4" t="s">
        <v>924</v>
      </c>
      <c r="M154" s="4" t="s">
        <v>925</v>
      </c>
      <c r="N154" s="4" t="s">
        <v>926</v>
      </c>
      <c r="O154" s="4" t="s">
        <v>863</v>
      </c>
      <c r="P154" s="4" t="s">
        <v>927</v>
      </c>
      <c r="Q154" s="4" t="s">
        <v>876</v>
      </c>
      <c r="R154" s="3" t="str">
        <f t="shared" si="0"/>
        <v>Outstanding</v>
      </c>
      <c r="S154" s="11" t="s">
        <v>28</v>
      </c>
    </row>
    <row r="155" spans="1:19" ht="60" customHeight="1" x14ac:dyDescent="0.35">
      <c r="A155" s="9" t="s">
        <v>808</v>
      </c>
      <c r="B155" s="2" t="s">
        <v>928</v>
      </c>
      <c r="C155" s="1" t="s">
        <v>929</v>
      </c>
      <c r="D155" s="3" t="s">
        <v>532</v>
      </c>
      <c r="E155" s="3" t="s">
        <v>23</v>
      </c>
      <c r="F155" s="3" t="s">
        <v>48</v>
      </c>
      <c r="G155" s="3" t="s">
        <v>25</v>
      </c>
      <c r="H155" s="3" t="s">
        <v>26</v>
      </c>
      <c r="I155" s="3" t="s">
        <v>27</v>
      </c>
      <c r="J155" s="3" t="s">
        <v>28</v>
      </c>
      <c r="K155" s="4" t="s">
        <v>28</v>
      </c>
      <c r="L155" s="4" t="s">
        <v>930</v>
      </c>
      <c r="M155" s="4"/>
      <c r="N155" s="4"/>
      <c r="O155" s="4"/>
      <c r="P155" s="4"/>
      <c r="Q155" s="4"/>
      <c r="R155" s="3" t="str">
        <f t="shared" si="0"/>
        <v>Outstanding</v>
      </c>
      <c r="S155" s="11" t="s">
        <v>28</v>
      </c>
    </row>
    <row r="156" spans="1:19" ht="60" customHeight="1" x14ac:dyDescent="0.35">
      <c r="A156" s="9" t="s">
        <v>808</v>
      </c>
      <c r="B156" s="2" t="s">
        <v>931</v>
      </c>
      <c r="C156" s="1" t="s">
        <v>932</v>
      </c>
      <c r="D156" s="3" t="s">
        <v>532</v>
      </c>
      <c r="E156" s="3" t="s">
        <v>23</v>
      </c>
      <c r="F156" s="3" t="s">
        <v>48</v>
      </c>
      <c r="G156" s="3" t="s">
        <v>25</v>
      </c>
      <c r="H156" s="3" t="s">
        <v>26</v>
      </c>
      <c r="I156" s="3" t="s">
        <v>27</v>
      </c>
      <c r="J156" s="3" t="s">
        <v>28</v>
      </c>
      <c r="K156" s="4" t="s">
        <v>28</v>
      </c>
      <c r="L156" s="4" t="s">
        <v>933</v>
      </c>
      <c r="M156" s="4" t="s">
        <v>934</v>
      </c>
      <c r="N156" s="4" t="s">
        <v>862</v>
      </c>
      <c r="O156" s="4" t="s">
        <v>863</v>
      </c>
      <c r="P156" s="4" t="s">
        <v>935</v>
      </c>
      <c r="Q156" s="4" t="s">
        <v>865</v>
      </c>
      <c r="R156" s="3" t="str">
        <f t="shared" si="0"/>
        <v>Outstanding</v>
      </c>
      <c r="S156" s="11" t="s">
        <v>28</v>
      </c>
    </row>
    <row r="157" spans="1:19" ht="60" customHeight="1" x14ac:dyDescent="0.35">
      <c r="A157" s="9" t="s">
        <v>808</v>
      </c>
      <c r="B157" s="2" t="s">
        <v>936</v>
      </c>
      <c r="C157" s="1" t="s">
        <v>937</v>
      </c>
      <c r="D157" s="3" t="s">
        <v>532</v>
      </c>
      <c r="E157" s="3" t="s">
        <v>23</v>
      </c>
      <c r="F157" s="3" t="s">
        <v>48</v>
      </c>
      <c r="G157" s="3" t="s">
        <v>25</v>
      </c>
      <c r="H157" s="3" t="s">
        <v>26</v>
      </c>
      <c r="I157" s="3" t="s">
        <v>27</v>
      </c>
      <c r="J157" s="3" t="s">
        <v>28</v>
      </c>
      <c r="K157" s="4" t="s">
        <v>28</v>
      </c>
      <c r="L157" s="4" t="s">
        <v>938</v>
      </c>
      <c r="M157" s="4" t="s">
        <v>939</v>
      </c>
      <c r="N157" s="4" t="s">
        <v>940</v>
      </c>
      <c r="O157" s="4" t="s">
        <v>863</v>
      </c>
      <c r="P157" s="4" t="s">
        <v>941</v>
      </c>
      <c r="Q157" s="4" t="s">
        <v>876</v>
      </c>
      <c r="R157" s="3" t="str">
        <f t="shared" si="0"/>
        <v>Outstanding</v>
      </c>
      <c r="S157" s="11" t="s">
        <v>28</v>
      </c>
    </row>
    <row r="158" spans="1:19" ht="60" customHeight="1" x14ac:dyDescent="0.35">
      <c r="A158" s="9" t="s">
        <v>808</v>
      </c>
      <c r="B158" s="2" t="s">
        <v>942</v>
      </c>
      <c r="C158" s="1" t="s">
        <v>943</v>
      </c>
      <c r="D158" s="3" t="s">
        <v>532</v>
      </c>
      <c r="E158" s="3" t="s">
        <v>23</v>
      </c>
      <c r="F158" s="3" t="s">
        <v>48</v>
      </c>
      <c r="G158" s="3" t="s">
        <v>25</v>
      </c>
      <c r="H158" s="3" t="s">
        <v>26</v>
      </c>
      <c r="I158" s="3" t="s">
        <v>27</v>
      </c>
      <c r="J158" s="3" t="s">
        <v>28</v>
      </c>
      <c r="K158" s="4" t="s">
        <v>28</v>
      </c>
      <c r="L158" s="4" t="s">
        <v>944</v>
      </c>
      <c r="M158" s="4" t="s">
        <v>945</v>
      </c>
      <c r="N158" s="4" t="s">
        <v>862</v>
      </c>
      <c r="O158" s="4" t="s">
        <v>863</v>
      </c>
      <c r="P158" s="4" t="s">
        <v>946</v>
      </c>
      <c r="Q158" s="4" t="s">
        <v>947</v>
      </c>
      <c r="R158" s="3" t="str">
        <f t="shared" si="0"/>
        <v>Outstanding</v>
      </c>
      <c r="S158" s="11" t="s">
        <v>28</v>
      </c>
    </row>
    <row r="159" spans="1:19" ht="60" customHeight="1" x14ac:dyDescent="0.35">
      <c r="A159" s="9" t="s">
        <v>808</v>
      </c>
      <c r="B159" s="2" t="s">
        <v>948</v>
      </c>
      <c r="C159" s="1" t="s">
        <v>949</v>
      </c>
      <c r="D159" s="3" t="s">
        <v>532</v>
      </c>
      <c r="E159" s="3" t="s">
        <v>23</v>
      </c>
      <c r="F159" s="3" t="s">
        <v>48</v>
      </c>
      <c r="G159" s="3" t="s">
        <v>25</v>
      </c>
      <c r="H159" s="3" t="s">
        <v>26</v>
      </c>
      <c r="I159" s="3" t="s">
        <v>27</v>
      </c>
      <c r="J159" s="3" t="s">
        <v>28</v>
      </c>
      <c r="K159" s="4" t="s">
        <v>28</v>
      </c>
      <c r="L159" s="4" t="s">
        <v>950</v>
      </c>
      <c r="M159" s="4" t="s">
        <v>951</v>
      </c>
      <c r="N159" s="4" t="s">
        <v>952</v>
      </c>
      <c r="O159" s="4" t="s">
        <v>265</v>
      </c>
      <c r="P159" s="4" t="s">
        <v>953</v>
      </c>
      <c r="Q159" s="4" t="s">
        <v>954</v>
      </c>
      <c r="R159" s="3" t="str">
        <f t="shared" si="0"/>
        <v>Outstanding</v>
      </c>
      <c r="S159" s="11" t="s">
        <v>28</v>
      </c>
    </row>
    <row r="160" spans="1:19" ht="60" customHeight="1" x14ac:dyDescent="0.35">
      <c r="A160" s="9" t="s">
        <v>808</v>
      </c>
      <c r="B160" s="2" t="s">
        <v>955</v>
      </c>
      <c r="C160" s="1" t="s">
        <v>956</v>
      </c>
      <c r="D160" s="3" t="s">
        <v>532</v>
      </c>
      <c r="E160" s="3" t="s">
        <v>23</v>
      </c>
      <c r="F160" s="3" t="s">
        <v>48</v>
      </c>
      <c r="G160" s="3" t="s">
        <v>25</v>
      </c>
      <c r="H160" s="3" t="s">
        <v>26</v>
      </c>
      <c r="I160" s="3" t="s">
        <v>27</v>
      </c>
      <c r="J160" s="3" t="s">
        <v>28</v>
      </c>
      <c r="K160" s="4" t="s">
        <v>28</v>
      </c>
      <c r="L160" s="4" t="s">
        <v>957</v>
      </c>
      <c r="M160" s="4" t="s">
        <v>958</v>
      </c>
      <c r="N160" s="4" t="s">
        <v>959</v>
      </c>
      <c r="O160" s="4" t="s">
        <v>960</v>
      </c>
      <c r="P160" s="4" t="s">
        <v>541</v>
      </c>
      <c r="Q160" s="4" t="s">
        <v>961</v>
      </c>
      <c r="R160" s="3" t="str">
        <f t="shared" si="0"/>
        <v>Outstanding</v>
      </c>
      <c r="S160" s="11" t="s">
        <v>28</v>
      </c>
    </row>
    <row r="161" spans="1:19" ht="60" customHeight="1" x14ac:dyDescent="0.35">
      <c r="A161" s="9" t="s">
        <v>962</v>
      </c>
      <c r="B161" s="2" t="s">
        <v>963</v>
      </c>
      <c r="C161" s="1" t="s">
        <v>964</v>
      </c>
      <c r="D161" s="3" t="s">
        <v>532</v>
      </c>
      <c r="E161" s="3" t="s">
        <v>23</v>
      </c>
      <c r="F161" s="3" t="s">
        <v>24</v>
      </c>
      <c r="G161" s="3" t="s">
        <v>25</v>
      </c>
      <c r="H161" s="3" t="s">
        <v>26</v>
      </c>
      <c r="I161" s="3" t="s">
        <v>27</v>
      </c>
      <c r="J161" s="3" t="s">
        <v>28</v>
      </c>
      <c r="K161" s="4" t="s">
        <v>28</v>
      </c>
      <c r="L161" s="4" t="s">
        <v>965</v>
      </c>
      <c r="M161" s="4" t="s">
        <v>966</v>
      </c>
      <c r="N161" s="4"/>
      <c r="O161" s="4"/>
      <c r="P161" s="4"/>
      <c r="Q161" s="4"/>
      <c r="R161" s="3" t="str">
        <f t="shared" si="0"/>
        <v>Outstanding</v>
      </c>
      <c r="S161" s="11" t="s">
        <v>28</v>
      </c>
    </row>
    <row r="162" spans="1:19" ht="60" customHeight="1" x14ac:dyDescent="0.35">
      <c r="A162" s="9" t="s">
        <v>962</v>
      </c>
      <c r="B162" s="2" t="s">
        <v>967</v>
      </c>
      <c r="C162" s="1" t="s">
        <v>968</v>
      </c>
      <c r="D162" s="3" t="s">
        <v>532</v>
      </c>
      <c r="E162" s="3" t="s">
        <v>23</v>
      </c>
      <c r="F162" s="3" t="s">
        <v>48</v>
      </c>
      <c r="G162" s="3" t="s">
        <v>25</v>
      </c>
      <c r="H162" s="3" t="s">
        <v>26</v>
      </c>
      <c r="I162" s="3" t="s">
        <v>27</v>
      </c>
      <c r="J162" s="3" t="s">
        <v>28</v>
      </c>
      <c r="K162" s="4" t="s">
        <v>28</v>
      </c>
      <c r="L162" s="4" t="s">
        <v>969</v>
      </c>
      <c r="M162" s="4" t="s">
        <v>970</v>
      </c>
      <c r="N162" s="4" t="s">
        <v>971</v>
      </c>
      <c r="O162" s="4" t="s">
        <v>972</v>
      </c>
      <c r="P162" s="4" t="s">
        <v>973</v>
      </c>
      <c r="Q162" s="4" t="s">
        <v>974</v>
      </c>
      <c r="R162" s="3" t="str">
        <f t="shared" si="0"/>
        <v>Outstanding</v>
      </c>
      <c r="S162" s="11" t="s">
        <v>28</v>
      </c>
    </row>
    <row r="163" spans="1:19" ht="60" customHeight="1" x14ac:dyDescent="0.35">
      <c r="A163" s="9" t="s">
        <v>962</v>
      </c>
      <c r="B163" s="2" t="s">
        <v>975</v>
      </c>
      <c r="C163" s="1" t="s">
        <v>976</v>
      </c>
      <c r="D163" s="3" t="s">
        <v>532</v>
      </c>
      <c r="E163" s="3" t="s">
        <v>23</v>
      </c>
      <c r="F163" s="3" t="s">
        <v>48</v>
      </c>
      <c r="G163" s="3" t="s">
        <v>25</v>
      </c>
      <c r="H163" s="3" t="s">
        <v>26</v>
      </c>
      <c r="I163" s="3" t="s">
        <v>27</v>
      </c>
      <c r="J163" s="3" t="s">
        <v>28</v>
      </c>
      <c r="K163" s="4" t="s">
        <v>28</v>
      </c>
      <c r="L163" s="4" t="s">
        <v>977</v>
      </c>
      <c r="M163" s="4" t="s">
        <v>978</v>
      </c>
      <c r="N163" s="4" t="s">
        <v>979</v>
      </c>
      <c r="O163" s="4" t="s">
        <v>980</v>
      </c>
      <c r="P163" s="4" t="s">
        <v>981</v>
      </c>
      <c r="Q163" s="4" t="s">
        <v>982</v>
      </c>
      <c r="R163" s="3" t="str">
        <f t="shared" si="0"/>
        <v>Outstanding</v>
      </c>
      <c r="S163" s="11" t="s">
        <v>28</v>
      </c>
    </row>
    <row r="164" spans="1:19" ht="60" customHeight="1" x14ac:dyDescent="0.35">
      <c r="A164" s="9" t="s">
        <v>962</v>
      </c>
      <c r="B164" s="2" t="s">
        <v>983</v>
      </c>
      <c r="C164" s="1" t="s">
        <v>984</v>
      </c>
      <c r="D164" s="3" t="s">
        <v>532</v>
      </c>
      <c r="E164" s="3" t="s">
        <v>23</v>
      </c>
      <c r="F164" s="3" t="s">
        <v>48</v>
      </c>
      <c r="G164" s="3" t="s">
        <v>25</v>
      </c>
      <c r="H164" s="3" t="s">
        <v>26</v>
      </c>
      <c r="I164" s="3" t="s">
        <v>27</v>
      </c>
      <c r="J164" s="3" t="s">
        <v>28</v>
      </c>
      <c r="K164" s="4" t="s">
        <v>28</v>
      </c>
      <c r="L164" s="4" t="s">
        <v>985</v>
      </c>
      <c r="M164" s="4" t="s">
        <v>986</v>
      </c>
      <c r="N164" s="4" t="s">
        <v>971</v>
      </c>
      <c r="O164" s="4" t="s">
        <v>987</v>
      </c>
      <c r="P164" s="4" t="s">
        <v>988</v>
      </c>
      <c r="Q164" s="4" t="s">
        <v>989</v>
      </c>
      <c r="R164" s="3" t="str">
        <f t="shared" si="0"/>
        <v>Outstanding</v>
      </c>
      <c r="S164" s="11" t="s">
        <v>28</v>
      </c>
    </row>
    <row r="165" spans="1:19" ht="60" customHeight="1" x14ac:dyDescent="0.35">
      <c r="A165" s="9" t="s">
        <v>990</v>
      </c>
      <c r="B165" s="2" t="s">
        <v>991</v>
      </c>
      <c r="C165" s="1" t="s">
        <v>992</v>
      </c>
      <c r="D165" s="3" t="s">
        <v>532</v>
      </c>
      <c r="E165" s="3" t="s">
        <v>23</v>
      </c>
      <c r="F165" s="3" t="s">
        <v>24</v>
      </c>
      <c r="G165" s="3" t="s">
        <v>25</v>
      </c>
      <c r="H165" s="3" t="s">
        <v>26</v>
      </c>
      <c r="I165" s="3" t="s">
        <v>27</v>
      </c>
      <c r="J165" s="3" t="s">
        <v>28</v>
      </c>
      <c r="K165" s="4" t="s">
        <v>28</v>
      </c>
      <c r="L165" s="4" t="s">
        <v>993</v>
      </c>
      <c r="M165" s="4" t="s">
        <v>994</v>
      </c>
      <c r="N165" s="4"/>
      <c r="O165" s="4"/>
      <c r="P165" s="4"/>
      <c r="Q165" s="4"/>
      <c r="R165" s="3" t="str">
        <f t="shared" si="0"/>
        <v>Outstanding</v>
      </c>
      <c r="S165" s="11" t="s">
        <v>28</v>
      </c>
    </row>
    <row r="166" spans="1:19" ht="60" customHeight="1" x14ac:dyDescent="0.35">
      <c r="A166" s="9" t="s">
        <v>995</v>
      </c>
      <c r="B166" s="2" t="s">
        <v>996</v>
      </c>
      <c r="C166" s="1" t="s">
        <v>997</v>
      </c>
      <c r="D166" s="3" t="s">
        <v>532</v>
      </c>
      <c r="E166" s="3" t="s">
        <v>23</v>
      </c>
      <c r="F166" s="3" t="s">
        <v>24</v>
      </c>
      <c r="G166" s="3" t="s">
        <v>25</v>
      </c>
      <c r="H166" s="3" t="s">
        <v>26</v>
      </c>
      <c r="I166" s="3" t="s">
        <v>27</v>
      </c>
      <c r="J166" s="3" t="s">
        <v>28</v>
      </c>
      <c r="K166" s="4" t="s">
        <v>28</v>
      </c>
      <c r="L166" s="4" t="s">
        <v>998</v>
      </c>
      <c r="M166" s="4" t="s">
        <v>999</v>
      </c>
      <c r="N166" s="4"/>
      <c r="O166" s="4"/>
      <c r="P166" s="4"/>
      <c r="Q166" s="4"/>
      <c r="R166" s="3" t="str">
        <f t="shared" si="0"/>
        <v>Outstanding</v>
      </c>
      <c r="S166" s="11" t="s">
        <v>28</v>
      </c>
    </row>
    <row r="167" spans="1:19" ht="60" customHeight="1" x14ac:dyDescent="0.35">
      <c r="A167" s="9" t="s">
        <v>995</v>
      </c>
      <c r="B167" s="2" t="s">
        <v>1000</v>
      </c>
      <c r="C167" s="1" t="s">
        <v>1001</v>
      </c>
      <c r="D167" s="3" t="s">
        <v>532</v>
      </c>
      <c r="E167" s="3" t="s">
        <v>23</v>
      </c>
      <c r="F167" s="3" t="s">
        <v>48</v>
      </c>
      <c r="G167" s="3" t="s">
        <v>25</v>
      </c>
      <c r="H167" s="3" t="s">
        <v>26</v>
      </c>
      <c r="I167" s="3" t="s">
        <v>27</v>
      </c>
      <c r="J167" s="3" t="s">
        <v>28</v>
      </c>
      <c r="K167" s="4" t="s">
        <v>28</v>
      </c>
      <c r="L167" s="4" t="s">
        <v>1002</v>
      </c>
      <c r="M167" s="4" t="s">
        <v>1003</v>
      </c>
      <c r="N167" s="4" t="s">
        <v>1004</v>
      </c>
      <c r="O167" s="4" t="s">
        <v>1005</v>
      </c>
      <c r="P167" s="4" t="s">
        <v>1006</v>
      </c>
      <c r="Q167" s="4" t="s">
        <v>1007</v>
      </c>
      <c r="R167" s="3" t="str">
        <f t="shared" si="0"/>
        <v>Outstanding</v>
      </c>
      <c r="S167" s="11" t="s">
        <v>28</v>
      </c>
    </row>
    <row r="168" spans="1:19" ht="60" customHeight="1" x14ac:dyDescent="0.35">
      <c r="A168" s="9" t="s">
        <v>995</v>
      </c>
      <c r="B168" s="2" t="s">
        <v>1008</v>
      </c>
      <c r="C168" s="1" t="s">
        <v>1009</v>
      </c>
      <c r="D168" s="3" t="s">
        <v>532</v>
      </c>
      <c r="E168" s="3" t="s">
        <v>23</v>
      </c>
      <c r="F168" s="3" t="s">
        <v>48</v>
      </c>
      <c r="G168" s="3" t="s">
        <v>25</v>
      </c>
      <c r="H168" s="3" t="s">
        <v>26</v>
      </c>
      <c r="I168" s="3" t="s">
        <v>27</v>
      </c>
      <c r="J168" s="3" t="s">
        <v>28</v>
      </c>
      <c r="K168" s="4" t="s">
        <v>28</v>
      </c>
      <c r="L168" s="4" t="s">
        <v>1010</v>
      </c>
      <c r="M168" s="4" t="s">
        <v>1011</v>
      </c>
      <c r="N168" s="4" t="s">
        <v>1012</v>
      </c>
      <c r="O168" s="4" t="s">
        <v>1013</v>
      </c>
      <c r="P168" s="4" t="s">
        <v>1014</v>
      </c>
      <c r="Q168" s="4" t="s">
        <v>1015</v>
      </c>
      <c r="R168" s="3" t="str">
        <f t="shared" si="0"/>
        <v>Outstanding</v>
      </c>
      <c r="S168" s="11" t="s">
        <v>28</v>
      </c>
    </row>
    <row r="169" spans="1:19" ht="60" customHeight="1" x14ac:dyDescent="0.35">
      <c r="A169" s="9" t="s">
        <v>995</v>
      </c>
      <c r="B169" s="2" t="s">
        <v>1016</v>
      </c>
      <c r="C169" s="1" t="s">
        <v>1017</v>
      </c>
      <c r="D169" s="3" t="s">
        <v>532</v>
      </c>
      <c r="E169" s="3" t="s">
        <v>23</v>
      </c>
      <c r="F169" s="3" t="s">
        <v>48</v>
      </c>
      <c r="G169" s="3" t="s">
        <v>25</v>
      </c>
      <c r="H169" s="3" t="s">
        <v>26</v>
      </c>
      <c r="I169" s="3" t="s">
        <v>27</v>
      </c>
      <c r="J169" s="3" t="s">
        <v>28</v>
      </c>
      <c r="K169" s="4" t="s">
        <v>28</v>
      </c>
      <c r="L169" s="4" t="s">
        <v>1018</v>
      </c>
      <c r="M169" s="4" t="s">
        <v>1019</v>
      </c>
      <c r="N169" s="4" t="s">
        <v>1020</v>
      </c>
      <c r="O169" s="4" t="s">
        <v>1021</v>
      </c>
      <c r="P169" s="4" t="s">
        <v>1022</v>
      </c>
      <c r="Q169" s="4" t="s">
        <v>1023</v>
      </c>
      <c r="R169" s="3" t="str">
        <f t="shared" si="0"/>
        <v>Outstanding</v>
      </c>
      <c r="S169" s="11" t="s">
        <v>28</v>
      </c>
    </row>
    <row r="170" spans="1:19" ht="60" customHeight="1" x14ac:dyDescent="0.35">
      <c r="A170" s="9" t="s">
        <v>1024</v>
      </c>
      <c r="B170" s="2" t="s">
        <v>1025</v>
      </c>
      <c r="C170" s="1" t="s">
        <v>1026</v>
      </c>
      <c r="D170" s="3" t="s">
        <v>532</v>
      </c>
      <c r="E170" s="3" t="s">
        <v>23</v>
      </c>
      <c r="F170" s="3" t="s">
        <v>24</v>
      </c>
      <c r="G170" s="3" t="s">
        <v>25</v>
      </c>
      <c r="H170" s="3" t="s">
        <v>26</v>
      </c>
      <c r="I170" s="3" t="s">
        <v>27</v>
      </c>
      <c r="J170" s="3" t="s">
        <v>28</v>
      </c>
      <c r="K170" s="4" t="s">
        <v>28</v>
      </c>
      <c r="L170" s="4" t="s">
        <v>1027</v>
      </c>
      <c r="M170" s="4" t="s">
        <v>1028</v>
      </c>
      <c r="N170" s="4"/>
      <c r="O170" s="4"/>
      <c r="P170" s="4"/>
      <c r="Q170" s="4"/>
      <c r="R170" s="3" t="str">
        <f t="shared" si="0"/>
        <v>Outstanding</v>
      </c>
      <c r="S170" s="11" t="s">
        <v>28</v>
      </c>
    </row>
    <row r="171" spans="1:19" ht="60" customHeight="1" x14ac:dyDescent="0.35">
      <c r="A171" s="9" t="s">
        <v>1024</v>
      </c>
      <c r="B171" s="2" t="s">
        <v>1029</v>
      </c>
      <c r="C171" s="1" t="s">
        <v>1030</v>
      </c>
      <c r="D171" s="3" t="s">
        <v>532</v>
      </c>
      <c r="E171" s="3" t="s">
        <v>23</v>
      </c>
      <c r="F171" s="3" t="s">
        <v>48</v>
      </c>
      <c r="G171" s="3" t="s">
        <v>25</v>
      </c>
      <c r="H171" s="3" t="s">
        <v>26</v>
      </c>
      <c r="I171" s="3" t="s">
        <v>27</v>
      </c>
      <c r="J171" s="3" t="s">
        <v>28</v>
      </c>
      <c r="K171" s="4" t="s">
        <v>28</v>
      </c>
      <c r="L171" s="4" t="s">
        <v>1031</v>
      </c>
      <c r="M171" s="4" t="s">
        <v>1032</v>
      </c>
      <c r="N171" s="4" t="s">
        <v>1033</v>
      </c>
      <c r="O171" s="4" t="s">
        <v>1034</v>
      </c>
      <c r="P171" s="4" t="s">
        <v>541</v>
      </c>
      <c r="Q171" s="4" t="s">
        <v>198</v>
      </c>
      <c r="R171" s="3" t="str">
        <f t="shared" si="0"/>
        <v>Outstanding</v>
      </c>
      <c r="S171" s="11" t="s">
        <v>28</v>
      </c>
    </row>
    <row r="172" spans="1:19" ht="60" customHeight="1" x14ac:dyDescent="0.35">
      <c r="A172" s="9" t="s">
        <v>1035</v>
      </c>
      <c r="B172" s="2" t="s">
        <v>1036</v>
      </c>
      <c r="C172" s="1" t="s">
        <v>1037</v>
      </c>
      <c r="D172" s="3" t="s">
        <v>532</v>
      </c>
      <c r="E172" s="3" t="s">
        <v>23</v>
      </c>
      <c r="F172" s="3" t="s">
        <v>24</v>
      </c>
      <c r="G172" s="3" t="s">
        <v>25</v>
      </c>
      <c r="H172" s="3" t="s">
        <v>26</v>
      </c>
      <c r="I172" s="3" t="s">
        <v>27</v>
      </c>
      <c r="J172" s="3" t="s">
        <v>28</v>
      </c>
      <c r="K172" s="4" t="s">
        <v>28</v>
      </c>
      <c r="L172" s="4" t="s">
        <v>1038</v>
      </c>
      <c r="M172" s="4" t="s">
        <v>1039</v>
      </c>
      <c r="N172" s="4"/>
      <c r="O172" s="4"/>
      <c r="P172" s="4"/>
      <c r="Q172" s="4"/>
      <c r="R172" s="3" t="str">
        <f t="shared" si="0"/>
        <v>Outstanding</v>
      </c>
      <c r="S172" s="11" t="s">
        <v>28</v>
      </c>
    </row>
    <row r="173" spans="1:19" ht="60" customHeight="1" x14ac:dyDescent="0.35">
      <c r="A173" s="9" t="s">
        <v>1035</v>
      </c>
      <c r="B173" s="2" t="s">
        <v>1040</v>
      </c>
      <c r="C173" s="1" t="s">
        <v>1041</v>
      </c>
      <c r="D173" s="3" t="s">
        <v>532</v>
      </c>
      <c r="E173" s="3" t="s">
        <v>806</v>
      </c>
      <c r="F173" s="3" t="s">
        <v>48</v>
      </c>
      <c r="G173" s="3" t="s">
        <v>25</v>
      </c>
      <c r="H173" s="3" t="s">
        <v>26</v>
      </c>
      <c r="I173" s="3" t="s">
        <v>27</v>
      </c>
      <c r="J173" s="3" t="s">
        <v>28</v>
      </c>
      <c r="K173" s="4" t="s">
        <v>28</v>
      </c>
      <c r="L173" s="4" t="s">
        <v>1042</v>
      </c>
      <c r="M173" s="4"/>
      <c r="N173" s="4"/>
      <c r="O173" s="4"/>
      <c r="P173" s="4"/>
      <c r="Q173" s="4"/>
      <c r="R173" s="3" t="str">
        <f t="shared" si="0"/>
        <v>Outstanding</v>
      </c>
      <c r="S173" s="11" t="s">
        <v>28</v>
      </c>
    </row>
    <row r="174" spans="1:19" ht="60" customHeight="1" x14ac:dyDescent="0.35">
      <c r="A174" s="9" t="s">
        <v>1043</v>
      </c>
      <c r="B174" s="2" t="s">
        <v>1044</v>
      </c>
      <c r="C174" s="1" t="s">
        <v>1045</v>
      </c>
      <c r="D174" s="3" t="s">
        <v>532</v>
      </c>
      <c r="E174" s="3" t="s">
        <v>23</v>
      </c>
      <c r="F174" s="3" t="s">
        <v>24</v>
      </c>
      <c r="G174" s="3" t="s">
        <v>25</v>
      </c>
      <c r="H174" s="3" t="s">
        <v>26</v>
      </c>
      <c r="I174" s="3" t="s">
        <v>27</v>
      </c>
      <c r="J174" s="3" t="s">
        <v>28</v>
      </c>
      <c r="K174" s="4" t="s">
        <v>28</v>
      </c>
      <c r="L174" s="4" t="s">
        <v>1046</v>
      </c>
      <c r="M174" s="4" t="s">
        <v>1047</v>
      </c>
      <c r="N174" s="4"/>
      <c r="O174" s="4"/>
      <c r="P174" s="4"/>
      <c r="Q174" s="4"/>
      <c r="R174" s="3" t="str">
        <f t="shared" si="0"/>
        <v>Outstanding</v>
      </c>
      <c r="S174" s="11" t="s">
        <v>28</v>
      </c>
    </row>
    <row r="175" spans="1:19" ht="60" customHeight="1" x14ac:dyDescent="0.35">
      <c r="A175" s="9" t="s">
        <v>1048</v>
      </c>
      <c r="B175" s="2" t="s">
        <v>1049</v>
      </c>
      <c r="C175" s="1" t="s">
        <v>1050</v>
      </c>
      <c r="D175" s="3" t="s">
        <v>532</v>
      </c>
      <c r="E175" s="3" t="s">
        <v>23</v>
      </c>
      <c r="F175" s="3" t="s">
        <v>24</v>
      </c>
      <c r="G175" s="3" t="s">
        <v>25</v>
      </c>
      <c r="H175" s="3" t="s">
        <v>26</v>
      </c>
      <c r="I175" s="3" t="s">
        <v>27</v>
      </c>
      <c r="J175" s="3" t="s">
        <v>28</v>
      </c>
      <c r="K175" s="4" t="s">
        <v>28</v>
      </c>
      <c r="L175" s="4" t="s">
        <v>1051</v>
      </c>
      <c r="M175" s="4" t="s">
        <v>1052</v>
      </c>
      <c r="N175" s="4"/>
      <c r="O175" s="4"/>
      <c r="P175" s="4"/>
      <c r="Q175" s="4"/>
      <c r="R175" s="3" t="str">
        <f t="shared" si="0"/>
        <v>Outstanding</v>
      </c>
      <c r="S175" s="11" t="s">
        <v>28</v>
      </c>
    </row>
    <row r="176" spans="1:19" ht="60" customHeight="1" x14ac:dyDescent="0.35">
      <c r="A176" s="9" t="s">
        <v>1048</v>
      </c>
      <c r="B176" s="2" t="s">
        <v>1053</v>
      </c>
      <c r="C176" s="1" t="s">
        <v>1054</v>
      </c>
      <c r="D176" s="3" t="s">
        <v>532</v>
      </c>
      <c r="E176" s="3" t="s">
        <v>806</v>
      </c>
      <c r="F176" s="3" t="s">
        <v>48</v>
      </c>
      <c r="G176" s="3" t="s">
        <v>25</v>
      </c>
      <c r="H176" s="3" t="s">
        <v>26</v>
      </c>
      <c r="I176" s="3" t="s">
        <v>27</v>
      </c>
      <c r="J176" s="3" t="s">
        <v>28</v>
      </c>
      <c r="K176" s="4" t="s">
        <v>28</v>
      </c>
      <c r="L176" s="4" t="s">
        <v>1055</v>
      </c>
      <c r="M176" s="4"/>
      <c r="N176" s="4"/>
      <c r="O176" s="4"/>
      <c r="P176" s="4"/>
      <c r="Q176" s="4"/>
      <c r="R176" s="3" t="str">
        <f t="shared" si="0"/>
        <v>Outstanding</v>
      </c>
      <c r="S176" s="11" t="s">
        <v>28</v>
      </c>
    </row>
    <row r="177" spans="1:19" ht="60" customHeight="1" x14ac:dyDescent="0.35">
      <c r="A177" s="9" t="s">
        <v>1056</v>
      </c>
      <c r="B177" s="2" t="s">
        <v>1057</v>
      </c>
      <c r="C177" s="1" t="s">
        <v>1058</v>
      </c>
      <c r="D177" s="3" t="s">
        <v>532</v>
      </c>
      <c r="E177" s="3" t="s">
        <v>23</v>
      </c>
      <c r="F177" s="3" t="s">
        <v>24</v>
      </c>
      <c r="G177" s="3" t="s">
        <v>25</v>
      </c>
      <c r="H177" s="3" t="s">
        <v>26</v>
      </c>
      <c r="I177" s="3" t="s">
        <v>27</v>
      </c>
      <c r="J177" s="3" t="s">
        <v>28</v>
      </c>
      <c r="K177" s="4" t="s">
        <v>28</v>
      </c>
      <c r="L177" s="4" t="s">
        <v>1059</v>
      </c>
      <c r="M177" s="4" t="s">
        <v>1060</v>
      </c>
      <c r="N177" s="4"/>
      <c r="O177" s="4"/>
      <c r="P177" s="4"/>
      <c r="Q177" s="4"/>
      <c r="R177" s="3" t="str">
        <f t="shared" si="0"/>
        <v>Outstanding</v>
      </c>
      <c r="S177" s="11" t="s">
        <v>28</v>
      </c>
    </row>
    <row r="178" spans="1:19" ht="60" customHeight="1" x14ac:dyDescent="0.35">
      <c r="A178" s="9" t="s">
        <v>1056</v>
      </c>
      <c r="B178" s="2" t="s">
        <v>1061</v>
      </c>
      <c r="C178" s="1" t="s">
        <v>1062</v>
      </c>
      <c r="D178" s="3" t="s">
        <v>532</v>
      </c>
      <c r="E178" s="3" t="s">
        <v>23</v>
      </c>
      <c r="F178" s="3" t="s">
        <v>48</v>
      </c>
      <c r="G178" s="3" t="s">
        <v>25</v>
      </c>
      <c r="H178" s="3" t="s">
        <v>26</v>
      </c>
      <c r="I178" s="3" t="s">
        <v>27</v>
      </c>
      <c r="J178" s="3" t="s">
        <v>28</v>
      </c>
      <c r="K178" s="4" t="s">
        <v>28</v>
      </c>
      <c r="L178" s="4" t="s">
        <v>1063</v>
      </c>
      <c r="M178" s="4"/>
      <c r="N178" s="4"/>
      <c r="O178" s="4"/>
      <c r="P178" s="4"/>
      <c r="Q178" s="4"/>
      <c r="R178" s="3" t="str">
        <f t="shared" si="0"/>
        <v>Outstanding</v>
      </c>
      <c r="S178" s="11" t="s">
        <v>28</v>
      </c>
    </row>
    <row r="179" spans="1:19" ht="60" customHeight="1" x14ac:dyDescent="0.35">
      <c r="A179" s="9" t="s">
        <v>1056</v>
      </c>
      <c r="B179" s="2" t="s">
        <v>1064</v>
      </c>
      <c r="C179" s="1" t="s">
        <v>1065</v>
      </c>
      <c r="D179" s="3" t="s">
        <v>532</v>
      </c>
      <c r="E179" s="3" t="s">
        <v>23</v>
      </c>
      <c r="F179" s="3" t="s">
        <v>48</v>
      </c>
      <c r="G179" s="3" t="s">
        <v>25</v>
      </c>
      <c r="H179" s="3" t="s">
        <v>26</v>
      </c>
      <c r="I179" s="3" t="s">
        <v>27</v>
      </c>
      <c r="J179" s="3" t="s">
        <v>28</v>
      </c>
      <c r="K179" s="4" t="s">
        <v>28</v>
      </c>
      <c r="L179" s="4" t="s">
        <v>1066</v>
      </c>
      <c r="M179" s="4" t="s">
        <v>1067</v>
      </c>
      <c r="N179" s="4" t="s">
        <v>1068</v>
      </c>
      <c r="O179" s="4" t="s">
        <v>1069</v>
      </c>
      <c r="P179" s="4" t="s">
        <v>1070</v>
      </c>
      <c r="Q179" s="4" t="s">
        <v>1071</v>
      </c>
      <c r="R179" s="3" t="str">
        <f t="shared" si="0"/>
        <v>Outstanding</v>
      </c>
      <c r="S179" s="11" t="s">
        <v>28</v>
      </c>
    </row>
    <row r="180" spans="1:19" ht="60" customHeight="1" x14ac:dyDescent="0.35">
      <c r="A180" s="9" t="s">
        <v>1056</v>
      </c>
      <c r="B180" s="2" t="s">
        <v>1072</v>
      </c>
      <c r="C180" s="1" t="s">
        <v>1073</v>
      </c>
      <c r="D180" s="3" t="s">
        <v>532</v>
      </c>
      <c r="E180" s="3" t="s">
        <v>23</v>
      </c>
      <c r="F180" s="3" t="s">
        <v>48</v>
      </c>
      <c r="G180" s="3" t="s">
        <v>25</v>
      </c>
      <c r="H180" s="3" t="s">
        <v>26</v>
      </c>
      <c r="I180" s="3" t="s">
        <v>27</v>
      </c>
      <c r="J180" s="3" t="s">
        <v>28</v>
      </c>
      <c r="K180" s="4" t="s">
        <v>28</v>
      </c>
      <c r="L180" s="4" t="s">
        <v>1074</v>
      </c>
      <c r="M180" s="4" t="s">
        <v>1075</v>
      </c>
      <c r="N180" s="4" t="s">
        <v>1076</v>
      </c>
      <c r="O180" s="4" t="s">
        <v>1077</v>
      </c>
      <c r="P180" s="4" t="s">
        <v>1078</v>
      </c>
      <c r="Q180" s="4" t="s">
        <v>1079</v>
      </c>
      <c r="R180" s="3" t="str">
        <f t="shared" si="0"/>
        <v>Outstanding</v>
      </c>
      <c r="S180" s="11" t="s">
        <v>28</v>
      </c>
    </row>
    <row r="181" spans="1:19" ht="60" customHeight="1" x14ac:dyDescent="0.35">
      <c r="A181" s="9" t="s">
        <v>1080</v>
      </c>
      <c r="B181" s="2" t="s">
        <v>1081</v>
      </c>
      <c r="C181" s="1" t="s">
        <v>1082</v>
      </c>
      <c r="D181" s="3" t="s">
        <v>532</v>
      </c>
      <c r="E181" s="3" t="s">
        <v>23</v>
      </c>
      <c r="F181" s="3" t="s">
        <v>24</v>
      </c>
      <c r="G181" s="3" t="s">
        <v>25</v>
      </c>
      <c r="H181" s="3" t="s">
        <v>26</v>
      </c>
      <c r="I181" s="3" t="s">
        <v>27</v>
      </c>
      <c r="J181" s="3" t="s">
        <v>28</v>
      </c>
      <c r="K181" s="4" t="s">
        <v>28</v>
      </c>
      <c r="L181" s="4" t="s">
        <v>1083</v>
      </c>
      <c r="M181" s="4" t="s">
        <v>1084</v>
      </c>
      <c r="N181" s="4"/>
      <c r="O181" s="4"/>
      <c r="P181" s="4"/>
      <c r="Q181" s="4"/>
      <c r="R181" s="3" t="str">
        <f t="shared" si="0"/>
        <v>Outstanding</v>
      </c>
      <c r="S181" s="11" t="s">
        <v>28</v>
      </c>
    </row>
    <row r="182" spans="1:19" ht="60" customHeight="1" x14ac:dyDescent="0.35">
      <c r="A182" s="9" t="s">
        <v>1080</v>
      </c>
      <c r="B182" s="2" t="s">
        <v>1085</v>
      </c>
      <c r="C182" s="1" t="s">
        <v>1086</v>
      </c>
      <c r="D182" s="3" t="s">
        <v>532</v>
      </c>
      <c r="E182" s="3" t="s">
        <v>23</v>
      </c>
      <c r="F182" s="3" t="s">
        <v>48</v>
      </c>
      <c r="G182" s="3" t="s">
        <v>25</v>
      </c>
      <c r="H182" s="3" t="s">
        <v>26</v>
      </c>
      <c r="I182" s="3" t="s">
        <v>27</v>
      </c>
      <c r="J182" s="3" t="s">
        <v>28</v>
      </c>
      <c r="K182" s="4" t="s">
        <v>28</v>
      </c>
      <c r="L182" s="4" t="s">
        <v>1087</v>
      </c>
      <c r="M182" s="4" t="s">
        <v>1088</v>
      </c>
      <c r="N182" s="4" t="s">
        <v>1089</v>
      </c>
      <c r="O182" s="4" t="s">
        <v>1090</v>
      </c>
      <c r="P182" s="4" t="s">
        <v>1091</v>
      </c>
      <c r="Q182" s="4" t="s">
        <v>1092</v>
      </c>
      <c r="R182" s="3" t="str">
        <f t="shared" si="0"/>
        <v>Outstanding</v>
      </c>
      <c r="S182" s="11" t="s">
        <v>28</v>
      </c>
    </row>
    <row r="183" spans="1:19" ht="60" customHeight="1" x14ac:dyDescent="0.35">
      <c r="A183" s="9" t="s">
        <v>1080</v>
      </c>
      <c r="B183" s="2" t="s">
        <v>1093</v>
      </c>
      <c r="C183" s="1" t="s">
        <v>1094</v>
      </c>
      <c r="D183" s="3" t="s">
        <v>532</v>
      </c>
      <c r="E183" s="3" t="s">
        <v>23</v>
      </c>
      <c r="F183" s="3" t="s">
        <v>48</v>
      </c>
      <c r="G183" s="3" t="s">
        <v>25</v>
      </c>
      <c r="H183" s="3" t="s">
        <v>26</v>
      </c>
      <c r="I183" s="3" t="s">
        <v>27</v>
      </c>
      <c r="J183" s="3" t="s">
        <v>28</v>
      </c>
      <c r="K183" s="4" t="s">
        <v>28</v>
      </c>
      <c r="L183" s="4" t="s">
        <v>1095</v>
      </c>
      <c r="M183" s="4"/>
      <c r="N183" s="4"/>
      <c r="O183" s="4"/>
      <c r="P183" s="4"/>
      <c r="Q183" s="4"/>
      <c r="R183" s="3" t="str">
        <f t="shared" si="0"/>
        <v>Outstanding</v>
      </c>
      <c r="S183" s="11" t="s">
        <v>28</v>
      </c>
    </row>
    <row r="184" spans="1:19" ht="60" customHeight="1" x14ac:dyDescent="0.35">
      <c r="A184" s="9" t="s">
        <v>1080</v>
      </c>
      <c r="B184" s="2" t="s">
        <v>1096</v>
      </c>
      <c r="C184" s="1" t="s">
        <v>1097</v>
      </c>
      <c r="D184" s="3" t="s">
        <v>532</v>
      </c>
      <c r="E184" s="3" t="s">
        <v>23</v>
      </c>
      <c r="F184" s="3" t="s">
        <v>48</v>
      </c>
      <c r="G184" s="3" t="s">
        <v>25</v>
      </c>
      <c r="H184" s="3" t="s">
        <v>26</v>
      </c>
      <c r="I184" s="3" t="s">
        <v>27</v>
      </c>
      <c r="J184" s="3" t="s">
        <v>28</v>
      </c>
      <c r="K184" s="4" t="s">
        <v>28</v>
      </c>
      <c r="L184" s="4" t="s">
        <v>1098</v>
      </c>
      <c r="M184" s="4"/>
      <c r="N184" s="4"/>
      <c r="O184" s="4"/>
      <c r="P184" s="4"/>
      <c r="Q184" s="4"/>
      <c r="R184" s="3" t="str">
        <f t="shared" si="0"/>
        <v>Outstanding</v>
      </c>
      <c r="S184" s="11" t="s">
        <v>28</v>
      </c>
    </row>
    <row r="185" spans="1:19" ht="60" customHeight="1" x14ac:dyDescent="0.35">
      <c r="A185" s="9" t="s">
        <v>1080</v>
      </c>
      <c r="B185" s="2" t="s">
        <v>1099</v>
      </c>
      <c r="C185" s="1" t="s">
        <v>1100</v>
      </c>
      <c r="D185" s="3" t="s">
        <v>532</v>
      </c>
      <c r="E185" s="3" t="s">
        <v>23</v>
      </c>
      <c r="F185" s="3" t="s">
        <v>48</v>
      </c>
      <c r="G185" s="3" t="s">
        <v>25</v>
      </c>
      <c r="H185" s="3" t="s">
        <v>26</v>
      </c>
      <c r="I185" s="3" t="s">
        <v>27</v>
      </c>
      <c r="J185" s="3" t="s">
        <v>28</v>
      </c>
      <c r="K185" s="4" t="s">
        <v>28</v>
      </c>
      <c r="L185" s="4" t="s">
        <v>1101</v>
      </c>
      <c r="M185" s="4" t="s">
        <v>1102</v>
      </c>
      <c r="N185" s="4" t="s">
        <v>1103</v>
      </c>
      <c r="O185" s="4" t="s">
        <v>265</v>
      </c>
      <c r="P185" s="4" t="s">
        <v>1104</v>
      </c>
      <c r="Q185" s="4" t="s">
        <v>1105</v>
      </c>
      <c r="R185" s="3" t="str">
        <f t="shared" si="0"/>
        <v>Outstanding</v>
      </c>
      <c r="S185" s="11" t="s">
        <v>28</v>
      </c>
    </row>
    <row r="186" spans="1:19" ht="60" customHeight="1" x14ac:dyDescent="0.35">
      <c r="A186" s="9" t="s">
        <v>1080</v>
      </c>
      <c r="B186" s="2" t="s">
        <v>1106</v>
      </c>
      <c r="C186" s="1" t="s">
        <v>1107</v>
      </c>
      <c r="D186" s="3" t="s">
        <v>532</v>
      </c>
      <c r="E186" s="3" t="s">
        <v>23</v>
      </c>
      <c r="F186" s="3" t="s">
        <v>48</v>
      </c>
      <c r="G186" s="3" t="s">
        <v>25</v>
      </c>
      <c r="H186" s="3" t="s">
        <v>26</v>
      </c>
      <c r="I186" s="3" t="s">
        <v>27</v>
      </c>
      <c r="J186" s="3" t="s">
        <v>28</v>
      </c>
      <c r="K186" s="4" t="s">
        <v>28</v>
      </c>
      <c r="L186" s="4" t="s">
        <v>1108</v>
      </c>
      <c r="M186" s="4" t="s">
        <v>1109</v>
      </c>
      <c r="N186" s="4" t="s">
        <v>1110</v>
      </c>
      <c r="O186" s="4" t="s">
        <v>1111</v>
      </c>
      <c r="P186" s="4" t="s">
        <v>1112</v>
      </c>
      <c r="Q186" s="4" t="s">
        <v>1113</v>
      </c>
      <c r="R186" s="3" t="str">
        <f t="shared" si="0"/>
        <v>Outstanding</v>
      </c>
      <c r="S186" s="11" t="s">
        <v>28</v>
      </c>
    </row>
    <row r="187" spans="1:19" ht="60" customHeight="1" x14ac:dyDescent="0.35">
      <c r="A187" s="9" t="s">
        <v>1080</v>
      </c>
      <c r="B187" s="2" t="s">
        <v>1114</v>
      </c>
      <c r="C187" s="1" t="s">
        <v>1115</v>
      </c>
      <c r="D187" s="3" t="s">
        <v>532</v>
      </c>
      <c r="E187" s="3" t="s">
        <v>23</v>
      </c>
      <c r="F187" s="3" t="s">
        <v>48</v>
      </c>
      <c r="G187" s="3" t="s">
        <v>25</v>
      </c>
      <c r="H187" s="3" t="s">
        <v>26</v>
      </c>
      <c r="I187" s="3" t="s">
        <v>27</v>
      </c>
      <c r="J187" s="3" t="s">
        <v>28</v>
      </c>
      <c r="K187" s="4" t="s">
        <v>28</v>
      </c>
      <c r="L187" s="4" t="s">
        <v>1116</v>
      </c>
      <c r="M187" s="4"/>
      <c r="N187" s="4"/>
      <c r="O187" s="4"/>
      <c r="P187" s="4"/>
      <c r="Q187" s="4"/>
      <c r="R187" s="3" t="str">
        <f t="shared" si="0"/>
        <v>Outstanding</v>
      </c>
      <c r="S187" s="11" t="s">
        <v>28</v>
      </c>
    </row>
    <row r="188" spans="1:19" ht="60" customHeight="1" x14ac:dyDescent="0.35">
      <c r="A188" s="9" t="s">
        <v>1080</v>
      </c>
      <c r="B188" s="2" t="s">
        <v>1117</v>
      </c>
      <c r="C188" s="1" t="s">
        <v>1118</v>
      </c>
      <c r="D188" s="3" t="s">
        <v>532</v>
      </c>
      <c r="E188" s="3" t="s">
        <v>23</v>
      </c>
      <c r="F188" s="3" t="s">
        <v>48</v>
      </c>
      <c r="G188" s="3" t="s">
        <v>25</v>
      </c>
      <c r="H188" s="3" t="s">
        <v>26</v>
      </c>
      <c r="I188" s="3" t="s">
        <v>27</v>
      </c>
      <c r="J188" s="3" t="s">
        <v>28</v>
      </c>
      <c r="K188" s="4" t="s">
        <v>28</v>
      </c>
      <c r="L188" s="4" t="s">
        <v>1119</v>
      </c>
      <c r="M188" s="4"/>
      <c r="N188" s="4"/>
      <c r="O188" s="4"/>
      <c r="P188" s="4"/>
      <c r="Q188" s="4"/>
      <c r="R188" s="3" t="str">
        <f t="shared" si="0"/>
        <v>Outstanding</v>
      </c>
      <c r="S188" s="11" t="s">
        <v>28</v>
      </c>
    </row>
    <row r="189" spans="1:19" ht="60" customHeight="1" x14ac:dyDescent="0.35">
      <c r="A189" s="9" t="s">
        <v>1080</v>
      </c>
      <c r="B189" s="2" t="s">
        <v>1120</v>
      </c>
      <c r="C189" s="1" t="s">
        <v>1121</v>
      </c>
      <c r="D189" s="3" t="s">
        <v>532</v>
      </c>
      <c r="E189" s="3" t="s">
        <v>23</v>
      </c>
      <c r="F189" s="3" t="s">
        <v>48</v>
      </c>
      <c r="G189" s="3" t="s">
        <v>25</v>
      </c>
      <c r="H189" s="3" t="s">
        <v>26</v>
      </c>
      <c r="I189" s="3" t="s">
        <v>27</v>
      </c>
      <c r="J189" s="3" t="s">
        <v>28</v>
      </c>
      <c r="K189" s="4" t="s">
        <v>28</v>
      </c>
      <c r="L189" s="4" t="s">
        <v>1122</v>
      </c>
      <c r="M189" s="4"/>
      <c r="N189" s="4"/>
      <c r="O189" s="4"/>
      <c r="P189" s="4"/>
      <c r="Q189" s="4"/>
      <c r="R189" s="3" t="str">
        <f t="shared" si="0"/>
        <v>Outstanding</v>
      </c>
      <c r="S189" s="11" t="s">
        <v>28</v>
      </c>
    </row>
    <row r="190" spans="1:19" ht="60" customHeight="1" x14ac:dyDescent="0.35">
      <c r="A190" s="9" t="s">
        <v>1080</v>
      </c>
      <c r="B190" s="2" t="s">
        <v>1123</v>
      </c>
      <c r="C190" s="1" t="s">
        <v>1124</v>
      </c>
      <c r="D190" s="3" t="s">
        <v>532</v>
      </c>
      <c r="E190" s="3" t="s">
        <v>23</v>
      </c>
      <c r="F190" s="3" t="s">
        <v>48</v>
      </c>
      <c r="G190" s="3" t="s">
        <v>25</v>
      </c>
      <c r="H190" s="3" t="s">
        <v>26</v>
      </c>
      <c r="I190" s="3" t="s">
        <v>27</v>
      </c>
      <c r="J190" s="3" t="s">
        <v>28</v>
      </c>
      <c r="K190" s="4" t="s">
        <v>28</v>
      </c>
      <c r="L190" s="4" t="s">
        <v>1125</v>
      </c>
      <c r="M190" s="4" t="s">
        <v>1126</v>
      </c>
      <c r="N190" s="4" t="s">
        <v>1127</v>
      </c>
      <c r="O190" s="4" t="s">
        <v>1128</v>
      </c>
      <c r="P190" s="4" t="s">
        <v>1129</v>
      </c>
      <c r="Q190" s="4" t="s">
        <v>1130</v>
      </c>
      <c r="R190" s="3" t="str">
        <f t="shared" si="0"/>
        <v>Outstanding</v>
      </c>
      <c r="S190" s="11" t="s">
        <v>28</v>
      </c>
    </row>
    <row r="191" spans="1:19" ht="60" customHeight="1" x14ac:dyDescent="0.35">
      <c r="A191" s="9" t="s">
        <v>1080</v>
      </c>
      <c r="B191" s="2" t="s">
        <v>1131</v>
      </c>
      <c r="C191" s="1" t="s">
        <v>1132</v>
      </c>
      <c r="D191" s="3" t="s">
        <v>532</v>
      </c>
      <c r="E191" s="3" t="s">
        <v>23</v>
      </c>
      <c r="F191" s="3" t="s">
        <v>48</v>
      </c>
      <c r="G191" s="3" t="s">
        <v>25</v>
      </c>
      <c r="H191" s="3" t="s">
        <v>26</v>
      </c>
      <c r="I191" s="3" t="s">
        <v>27</v>
      </c>
      <c r="J191" s="3" t="s">
        <v>28</v>
      </c>
      <c r="K191" s="4" t="s">
        <v>28</v>
      </c>
      <c r="L191" s="4" t="s">
        <v>1133</v>
      </c>
      <c r="M191" s="4"/>
      <c r="N191" s="4"/>
      <c r="O191" s="4"/>
      <c r="P191" s="4"/>
      <c r="Q191" s="4"/>
      <c r="R191" s="3" t="str">
        <f t="shared" si="0"/>
        <v>Outstanding</v>
      </c>
      <c r="S191" s="11" t="s">
        <v>28</v>
      </c>
    </row>
    <row r="192" spans="1:19" ht="60" customHeight="1" x14ac:dyDescent="0.35">
      <c r="A192" s="9" t="s">
        <v>1080</v>
      </c>
      <c r="B192" s="2" t="s">
        <v>1134</v>
      </c>
      <c r="C192" s="1" t="s">
        <v>1135</v>
      </c>
      <c r="D192" s="3" t="s">
        <v>532</v>
      </c>
      <c r="E192" s="3" t="s">
        <v>23</v>
      </c>
      <c r="F192" s="3" t="s">
        <v>48</v>
      </c>
      <c r="G192" s="3" t="s">
        <v>25</v>
      </c>
      <c r="H192" s="3" t="s">
        <v>26</v>
      </c>
      <c r="I192" s="3" t="s">
        <v>27</v>
      </c>
      <c r="J192" s="3" t="s">
        <v>28</v>
      </c>
      <c r="K192" s="4" t="s">
        <v>28</v>
      </c>
      <c r="L192" s="4" t="s">
        <v>1136</v>
      </c>
      <c r="M192" s="4" t="s">
        <v>1137</v>
      </c>
      <c r="N192" s="4" t="s">
        <v>1138</v>
      </c>
      <c r="O192" s="4" t="s">
        <v>265</v>
      </c>
      <c r="P192" s="4" t="s">
        <v>1139</v>
      </c>
      <c r="Q192" s="4" t="s">
        <v>1140</v>
      </c>
      <c r="R192" s="3" t="str">
        <f t="shared" si="0"/>
        <v>Outstanding</v>
      </c>
      <c r="S192" s="11" t="s">
        <v>28</v>
      </c>
    </row>
    <row r="193" spans="1:19" ht="60" customHeight="1" x14ac:dyDescent="0.35">
      <c r="A193" s="9" t="s">
        <v>1080</v>
      </c>
      <c r="B193" s="2" t="s">
        <v>1141</v>
      </c>
      <c r="C193" s="1" t="s">
        <v>1142</v>
      </c>
      <c r="D193" s="3" t="s">
        <v>532</v>
      </c>
      <c r="E193" s="3" t="s">
        <v>23</v>
      </c>
      <c r="F193" s="3" t="s">
        <v>48</v>
      </c>
      <c r="G193" s="3" t="s">
        <v>25</v>
      </c>
      <c r="H193" s="3" t="s">
        <v>26</v>
      </c>
      <c r="I193" s="3" t="s">
        <v>27</v>
      </c>
      <c r="J193" s="3" t="s">
        <v>28</v>
      </c>
      <c r="K193" s="4" t="s">
        <v>28</v>
      </c>
      <c r="L193" s="4" t="s">
        <v>1143</v>
      </c>
      <c r="M193" s="4" t="s">
        <v>1144</v>
      </c>
      <c r="N193" s="4" t="s">
        <v>1145</v>
      </c>
      <c r="O193" s="4" t="s">
        <v>1146</v>
      </c>
      <c r="P193" s="4" t="s">
        <v>1147</v>
      </c>
      <c r="Q193" s="4" t="s">
        <v>1148</v>
      </c>
      <c r="R193" s="3" t="str">
        <f t="shared" si="0"/>
        <v>Outstanding</v>
      </c>
      <c r="S193" s="11" t="s">
        <v>28</v>
      </c>
    </row>
    <row r="194" spans="1:19" ht="60" customHeight="1" x14ac:dyDescent="0.35">
      <c r="A194" s="9" t="s">
        <v>1080</v>
      </c>
      <c r="B194" s="2" t="s">
        <v>1149</v>
      </c>
      <c r="C194" s="1" t="s">
        <v>1150</v>
      </c>
      <c r="D194" s="3" t="s">
        <v>532</v>
      </c>
      <c r="E194" s="3" t="s">
        <v>23</v>
      </c>
      <c r="F194" s="3" t="s">
        <v>48</v>
      </c>
      <c r="G194" s="3" t="s">
        <v>25</v>
      </c>
      <c r="H194" s="3" t="s">
        <v>26</v>
      </c>
      <c r="I194" s="3" t="s">
        <v>27</v>
      </c>
      <c r="J194" s="3" t="s">
        <v>28</v>
      </c>
      <c r="K194" s="4" t="s">
        <v>28</v>
      </c>
      <c r="L194" s="4" t="s">
        <v>1151</v>
      </c>
      <c r="M194" s="4"/>
      <c r="N194" s="4"/>
      <c r="O194" s="4"/>
      <c r="P194" s="4"/>
      <c r="Q194" s="4"/>
      <c r="R194" s="3" t="str">
        <f t="shared" si="0"/>
        <v>Outstanding</v>
      </c>
      <c r="S194" s="11" t="s">
        <v>28</v>
      </c>
    </row>
    <row r="195" spans="1:19" ht="60" customHeight="1" x14ac:dyDescent="0.35">
      <c r="A195" s="9" t="s">
        <v>1080</v>
      </c>
      <c r="B195" s="2" t="s">
        <v>1152</v>
      </c>
      <c r="C195" s="1" t="s">
        <v>1153</v>
      </c>
      <c r="D195" s="3" t="s">
        <v>532</v>
      </c>
      <c r="E195" s="3" t="s">
        <v>23</v>
      </c>
      <c r="F195" s="3" t="s">
        <v>48</v>
      </c>
      <c r="G195" s="3" t="s">
        <v>25</v>
      </c>
      <c r="H195" s="3" t="s">
        <v>26</v>
      </c>
      <c r="I195" s="3" t="s">
        <v>27</v>
      </c>
      <c r="J195" s="3" t="s">
        <v>28</v>
      </c>
      <c r="K195" s="4" t="s">
        <v>28</v>
      </c>
      <c r="L195" s="4" t="s">
        <v>1154</v>
      </c>
      <c r="M195" s="4" t="s">
        <v>1155</v>
      </c>
      <c r="N195" s="4" t="s">
        <v>1156</v>
      </c>
      <c r="O195" s="4" t="s">
        <v>1157</v>
      </c>
      <c r="P195" s="4" t="s">
        <v>1158</v>
      </c>
      <c r="Q195" s="4" t="s">
        <v>1159</v>
      </c>
      <c r="R195" s="3" t="str">
        <f t="shared" si="0"/>
        <v>Outstanding</v>
      </c>
      <c r="S195" s="11" t="s">
        <v>28</v>
      </c>
    </row>
    <row r="196" spans="1:19" ht="60" customHeight="1" x14ac:dyDescent="0.35">
      <c r="A196" s="9" t="s">
        <v>1080</v>
      </c>
      <c r="B196" s="2" t="s">
        <v>1160</v>
      </c>
      <c r="C196" s="1" t="s">
        <v>1161</v>
      </c>
      <c r="D196" s="3" t="s">
        <v>532</v>
      </c>
      <c r="E196" s="3" t="s">
        <v>23</v>
      </c>
      <c r="F196" s="3" t="s">
        <v>48</v>
      </c>
      <c r="G196" s="3" t="s">
        <v>25</v>
      </c>
      <c r="H196" s="3" t="s">
        <v>26</v>
      </c>
      <c r="I196" s="3" t="s">
        <v>27</v>
      </c>
      <c r="J196" s="3" t="s">
        <v>28</v>
      </c>
      <c r="K196" s="4" t="s">
        <v>28</v>
      </c>
      <c r="L196" s="4" t="s">
        <v>1162</v>
      </c>
      <c r="M196" s="4" t="s">
        <v>1163</v>
      </c>
      <c r="N196" s="4" t="s">
        <v>1164</v>
      </c>
      <c r="O196" s="4" t="s">
        <v>1165</v>
      </c>
      <c r="P196" s="4" t="s">
        <v>1166</v>
      </c>
      <c r="Q196" s="4" t="s">
        <v>1167</v>
      </c>
      <c r="R196" s="3" t="str">
        <f t="shared" si="0"/>
        <v>Outstanding</v>
      </c>
      <c r="S196" s="11" t="s">
        <v>28</v>
      </c>
    </row>
    <row r="197" spans="1:19" ht="60" customHeight="1" x14ac:dyDescent="0.35">
      <c r="A197" s="9" t="s">
        <v>1080</v>
      </c>
      <c r="B197" s="2" t="s">
        <v>1168</v>
      </c>
      <c r="C197" s="1" t="s">
        <v>1169</v>
      </c>
      <c r="D197" s="3" t="s">
        <v>532</v>
      </c>
      <c r="E197" s="3" t="s">
        <v>23</v>
      </c>
      <c r="F197" s="3" t="s">
        <v>48</v>
      </c>
      <c r="G197" s="3" t="s">
        <v>25</v>
      </c>
      <c r="H197" s="3" t="s">
        <v>26</v>
      </c>
      <c r="I197" s="3" t="s">
        <v>27</v>
      </c>
      <c r="J197" s="3" t="s">
        <v>28</v>
      </c>
      <c r="K197" s="4" t="s">
        <v>28</v>
      </c>
      <c r="L197" s="4" t="s">
        <v>1170</v>
      </c>
      <c r="M197" s="4"/>
      <c r="N197" s="4"/>
      <c r="O197" s="4"/>
      <c r="P197" s="4"/>
      <c r="Q197" s="4"/>
      <c r="R197" s="3" t="str">
        <f t="shared" si="0"/>
        <v>Outstanding</v>
      </c>
      <c r="S197" s="11" t="s">
        <v>28</v>
      </c>
    </row>
    <row r="198" spans="1:19" ht="60" customHeight="1" x14ac:dyDescent="0.35">
      <c r="A198" s="9" t="s">
        <v>1080</v>
      </c>
      <c r="B198" s="2" t="s">
        <v>1171</v>
      </c>
      <c r="C198" s="1" t="s">
        <v>1172</v>
      </c>
      <c r="D198" s="3" t="s">
        <v>532</v>
      </c>
      <c r="E198" s="3" t="s">
        <v>23</v>
      </c>
      <c r="F198" s="3" t="s">
        <v>48</v>
      </c>
      <c r="G198" s="3" t="s">
        <v>25</v>
      </c>
      <c r="H198" s="3" t="s">
        <v>26</v>
      </c>
      <c r="I198" s="3" t="s">
        <v>27</v>
      </c>
      <c r="J198" s="3" t="s">
        <v>28</v>
      </c>
      <c r="K198" s="4" t="s">
        <v>28</v>
      </c>
      <c r="L198" s="4" t="s">
        <v>1173</v>
      </c>
      <c r="M198" s="4" t="s">
        <v>1174</v>
      </c>
      <c r="N198" s="4" t="s">
        <v>1175</v>
      </c>
      <c r="O198" s="4" t="s">
        <v>1176</v>
      </c>
      <c r="P198" s="4" t="s">
        <v>1177</v>
      </c>
      <c r="Q198" s="4" t="s">
        <v>1178</v>
      </c>
      <c r="R198" s="3" t="str">
        <f t="shared" si="0"/>
        <v>Outstanding</v>
      </c>
      <c r="S198" s="11" t="s">
        <v>28</v>
      </c>
    </row>
    <row r="199" spans="1:19" ht="60" customHeight="1" x14ac:dyDescent="0.35">
      <c r="A199" s="9" t="s">
        <v>1080</v>
      </c>
      <c r="B199" s="2" t="s">
        <v>1179</v>
      </c>
      <c r="C199" s="1" t="s">
        <v>1180</v>
      </c>
      <c r="D199" s="3" t="s">
        <v>532</v>
      </c>
      <c r="E199" s="3" t="s">
        <v>23</v>
      </c>
      <c r="F199" s="3" t="s">
        <v>48</v>
      </c>
      <c r="G199" s="3" t="s">
        <v>25</v>
      </c>
      <c r="H199" s="3" t="s">
        <v>26</v>
      </c>
      <c r="I199" s="3" t="s">
        <v>27</v>
      </c>
      <c r="J199" s="3" t="s">
        <v>28</v>
      </c>
      <c r="K199" s="4" t="s">
        <v>28</v>
      </c>
      <c r="L199" s="4" t="s">
        <v>1181</v>
      </c>
      <c r="M199" s="4"/>
      <c r="N199" s="4"/>
      <c r="O199" s="4"/>
      <c r="P199" s="4"/>
      <c r="Q199" s="4"/>
      <c r="R199" s="3" t="str">
        <f t="shared" si="0"/>
        <v>Outstanding</v>
      </c>
      <c r="S199" s="11" t="s">
        <v>28</v>
      </c>
    </row>
    <row r="200" spans="1:19" ht="60" customHeight="1" x14ac:dyDescent="0.35">
      <c r="A200" s="9" t="s">
        <v>1182</v>
      </c>
      <c r="B200" s="2" t="s">
        <v>1183</v>
      </c>
      <c r="C200" s="1" t="s">
        <v>1184</v>
      </c>
      <c r="D200" s="3" t="s">
        <v>532</v>
      </c>
      <c r="E200" s="3" t="s">
        <v>23</v>
      </c>
      <c r="F200" s="3" t="s">
        <v>24</v>
      </c>
      <c r="G200" s="3" t="s">
        <v>25</v>
      </c>
      <c r="H200" s="3" t="s">
        <v>26</v>
      </c>
      <c r="I200" s="3" t="s">
        <v>27</v>
      </c>
      <c r="J200" s="3" t="s">
        <v>28</v>
      </c>
      <c r="K200" s="4" t="s">
        <v>28</v>
      </c>
      <c r="L200" s="4" t="s">
        <v>1185</v>
      </c>
      <c r="M200" s="4" t="s">
        <v>1186</v>
      </c>
      <c r="N200" s="4"/>
      <c r="O200" s="4"/>
      <c r="P200" s="4"/>
      <c r="Q200" s="4"/>
      <c r="R200" s="3" t="str">
        <f t="shared" si="0"/>
        <v>Outstanding</v>
      </c>
      <c r="S200" s="11" t="s">
        <v>28</v>
      </c>
    </row>
    <row r="201" spans="1:19" ht="60" customHeight="1" x14ac:dyDescent="0.35">
      <c r="A201" s="9" t="s">
        <v>1182</v>
      </c>
      <c r="B201" s="2" t="s">
        <v>1187</v>
      </c>
      <c r="C201" s="1" t="s">
        <v>1188</v>
      </c>
      <c r="D201" s="3" t="s">
        <v>532</v>
      </c>
      <c r="E201" s="3" t="s">
        <v>23</v>
      </c>
      <c r="F201" s="3" t="s">
        <v>48</v>
      </c>
      <c r="G201" s="3" t="s">
        <v>25</v>
      </c>
      <c r="H201" s="3" t="s">
        <v>26</v>
      </c>
      <c r="I201" s="3" t="s">
        <v>27</v>
      </c>
      <c r="J201" s="3" t="s">
        <v>28</v>
      </c>
      <c r="K201" s="4" t="s">
        <v>28</v>
      </c>
      <c r="L201" s="4" t="s">
        <v>1189</v>
      </c>
      <c r="M201" s="4"/>
      <c r="N201" s="4"/>
      <c r="O201" s="4"/>
      <c r="P201" s="4"/>
      <c r="Q201" s="4"/>
      <c r="R201" s="3" t="str">
        <f t="shared" si="0"/>
        <v>Outstanding</v>
      </c>
      <c r="S201" s="11" t="s">
        <v>28</v>
      </c>
    </row>
    <row r="202" spans="1:19" ht="60" customHeight="1" x14ac:dyDescent="0.35">
      <c r="A202" s="9" t="s">
        <v>1182</v>
      </c>
      <c r="B202" s="2" t="s">
        <v>1190</v>
      </c>
      <c r="C202" s="1" t="s">
        <v>1191</v>
      </c>
      <c r="D202" s="3" t="s">
        <v>532</v>
      </c>
      <c r="E202" s="3" t="s">
        <v>23</v>
      </c>
      <c r="F202" s="3" t="s">
        <v>48</v>
      </c>
      <c r="G202" s="3" t="s">
        <v>25</v>
      </c>
      <c r="H202" s="3" t="s">
        <v>26</v>
      </c>
      <c r="I202" s="3" t="s">
        <v>27</v>
      </c>
      <c r="J202" s="3" t="s">
        <v>28</v>
      </c>
      <c r="K202" s="4" t="s">
        <v>28</v>
      </c>
      <c r="L202" s="4" t="s">
        <v>1192</v>
      </c>
      <c r="M202" s="4"/>
      <c r="N202" s="4"/>
      <c r="O202" s="4"/>
      <c r="P202" s="4"/>
      <c r="Q202" s="4"/>
      <c r="R202" s="3" t="str">
        <f t="shared" si="0"/>
        <v>Outstanding</v>
      </c>
      <c r="S202" s="11" t="s">
        <v>28</v>
      </c>
    </row>
    <row r="203" spans="1:19" ht="60" customHeight="1" x14ac:dyDescent="0.35">
      <c r="A203" s="9" t="s">
        <v>1182</v>
      </c>
      <c r="B203" s="2" t="s">
        <v>1193</v>
      </c>
      <c r="C203" s="1" t="s">
        <v>1194</v>
      </c>
      <c r="D203" s="3" t="s">
        <v>532</v>
      </c>
      <c r="E203" s="3" t="s">
        <v>23</v>
      </c>
      <c r="F203" s="3" t="s">
        <v>48</v>
      </c>
      <c r="G203" s="3" t="s">
        <v>25</v>
      </c>
      <c r="H203" s="3" t="s">
        <v>26</v>
      </c>
      <c r="I203" s="3" t="s">
        <v>27</v>
      </c>
      <c r="J203" s="3" t="s">
        <v>28</v>
      </c>
      <c r="K203" s="4" t="s">
        <v>28</v>
      </c>
      <c r="L203" s="4" t="s">
        <v>1195</v>
      </c>
      <c r="M203" s="4"/>
      <c r="N203" s="4"/>
      <c r="O203" s="4"/>
      <c r="P203" s="4"/>
      <c r="Q203" s="4"/>
      <c r="R203" s="3" t="str">
        <f t="shared" si="0"/>
        <v>Outstanding</v>
      </c>
      <c r="S203" s="11" t="s">
        <v>28</v>
      </c>
    </row>
    <row r="204" spans="1:19" ht="60" customHeight="1" x14ac:dyDescent="0.35">
      <c r="A204" s="9" t="s">
        <v>1182</v>
      </c>
      <c r="B204" s="2" t="s">
        <v>1196</v>
      </c>
      <c r="C204" s="1" t="s">
        <v>1197</v>
      </c>
      <c r="D204" s="3" t="s">
        <v>532</v>
      </c>
      <c r="E204" s="3" t="s">
        <v>23</v>
      </c>
      <c r="F204" s="3" t="s">
        <v>48</v>
      </c>
      <c r="G204" s="3" t="s">
        <v>25</v>
      </c>
      <c r="H204" s="3" t="s">
        <v>26</v>
      </c>
      <c r="I204" s="3" t="s">
        <v>27</v>
      </c>
      <c r="J204" s="3" t="s">
        <v>28</v>
      </c>
      <c r="K204" s="4" t="s">
        <v>28</v>
      </c>
      <c r="L204" s="4" t="s">
        <v>1198</v>
      </c>
      <c r="M204" s="4"/>
      <c r="N204" s="4"/>
      <c r="O204" s="4"/>
      <c r="P204" s="4"/>
      <c r="Q204" s="4"/>
      <c r="R204" s="3" t="str">
        <f t="shared" si="0"/>
        <v>Outstanding</v>
      </c>
      <c r="S204" s="11" t="s">
        <v>28</v>
      </c>
    </row>
    <row r="205" spans="1:19" ht="60" customHeight="1" x14ac:dyDescent="0.35">
      <c r="A205" s="9" t="s">
        <v>1182</v>
      </c>
      <c r="B205" s="2" t="s">
        <v>1199</v>
      </c>
      <c r="C205" s="1" t="s">
        <v>1200</v>
      </c>
      <c r="D205" s="3" t="s">
        <v>532</v>
      </c>
      <c r="E205" s="3" t="s">
        <v>23</v>
      </c>
      <c r="F205" s="3" t="s">
        <v>48</v>
      </c>
      <c r="G205" s="3" t="s">
        <v>25</v>
      </c>
      <c r="H205" s="3" t="s">
        <v>26</v>
      </c>
      <c r="I205" s="3" t="s">
        <v>27</v>
      </c>
      <c r="J205" s="3" t="s">
        <v>28</v>
      </c>
      <c r="K205" s="4" t="s">
        <v>28</v>
      </c>
      <c r="L205" s="4" t="s">
        <v>1201</v>
      </c>
      <c r="M205" s="4"/>
      <c r="N205" s="4"/>
      <c r="O205" s="4"/>
      <c r="P205" s="4"/>
      <c r="Q205" s="4"/>
      <c r="R205" s="3" t="str">
        <f t="shared" si="0"/>
        <v>Outstanding</v>
      </c>
      <c r="S205" s="11" t="s">
        <v>28</v>
      </c>
    </row>
    <row r="206" spans="1:19" ht="60" customHeight="1" x14ac:dyDescent="0.35">
      <c r="A206" s="9" t="s">
        <v>1182</v>
      </c>
      <c r="B206" s="2" t="s">
        <v>1202</v>
      </c>
      <c r="C206" s="1" t="s">
        <v>1203</v>
      </c>
      <c r="D206" s="3" t="s">
        <v>532</v>
      </c>
      <c r="E206" s="3" t="s">
        <v>23</v>
      </c>
      <c r="F206" s="3" t="s">
        <v>48</v>
      </c>
      <c r="G206" s="3" t="s">
        <v>25</v>
      </c>
      <c r="H206" s="3" t="s">
        <v>26</v>
      </c>
      <c r="I206" s="3" t="s">
        <v>27</v>
      </c>
      <c r="J206" s="3" t="s">
        <v>28</v>
      </c>
      <c r="K206" s="4" t="s">
        <v>28</v>
      </c>
      <c r="L206" s="4" t="s">
        <v>1204</v>
      </c>
      <c r="M206" s="4"/>
      <c r="N206" s="4"/>
      <c r="O206" s="4"/>
      <c r="P206" s="4"/>
      <c r="Q206" s="4"/>
      <c r="R206" s="3" t="str">
        <f t="shared" si="0"/>
        <v>Outstanding</v>
      </c>
      <c r="S206" s="11" t="s">
        <v>28</v>
      </c>
    </row>
    <row r="207" spans="1:19" ht="60" customHeight="1" x14ac:dyDescent="0.35">
      <c r="A207" s="9" t="s">
        <v>1182</v>
      </c>
      <c r="B207" s="2" t="s">
        <v>1205</v>
      </c>
      <c r="C207" s="1" t="s">
        <v>1206</v>
      </c>
      <c r="D207" s="3" t="s">
        <v>532</v>
      </c>
      <c r="E207" s="3" t="s">
        <v>23</v>
      </c>
      <c r="F207" s="3" t="s">
        <v>48</v>
      </c>
      <c r="G207" s="3" t="s">
        <v>25</v>
      </c>
      <c r="H207" s="3" t="s">
        <v>26</v>
      </c>
      <c r="I207" s="3" t="s">
        <v>27</v>
      </c>
      <c r="J207" s="3" t="s">
        <v>28</v>
      </c>
      <c r="K207" s="4" t="s">
        <v>28</v>
      </c>
      <c r="L207" s="4" t="s">
        <v>1207</v>
      </c>
      <c r="M207" s="4"/>
      <c r="N207" s="4"/>
      <c r="O207" s="4"/>
      <c r="P207" s="4"/>
      <c r="Q207" s="4"/>
      <c r="R207" s="3" t="str">
        <f t="shared" si="0"/>
        <v>Outstanding</v>
      </c>
      <c r="S207" s="11" t="s">
        <v>28</v>
      </c>
    </row>
    <row r="208" spans="1:19" ht="60" customHeight="1" x14ac:dyDescent="0.35">
      <c r="A208" s="9" t="s">
        <v>1182</v>
      </c>
      <c r="B208" s="2" t="s">
        <v>1208</v>
      </c>
      <c r="C208" s="1" t="s">
        <v>1209</v>
      </c>
      <c r="D208" s="3" t="s">
        <v>532</v>
      </c>
      <c r="E208" s="3" t="s">
        <v>23</v>
      </c>
      <c r="F208" s="3" t="s">
        <v>48</v>
      </c>
      <c r="G208" s="3" t="s">
        <v>25</v>
      </c>
      <c r="H208" s="3" t="s">
        <v>26</v>
      </c>
      <c r="I208" s="3" t="s">
        <v>27</v>
      </c>
      <c r="J208" s="3" t="s">
        <v>28</v>
      </c>
      <c r="K208" s="4" t="s">
        <v>28</v>
      </c>
      <c r="L208" s="4" t="s">
        <v>1210</v>
      </c>
      <c r="M208" s="4"/>
      <c r="N208" s="4"/>
      <c r="O208" s="4"/>
      <c r="P208" s="4"/>
      <c r="Q208" s="4"/>
      <c r="R208" s="3" t="str">
        <f t="shared" si="0"/>
        <v>Outstanding</v>
      </c>
      <c r="S208" s="11" t="s">
        <v>28</v>
      </c>
    </row>
    <row r="209" spans="1:19" ht="60" customHeight="1" x14ac:dyDescent="0.35">
      <c r="A209" s="9" t="s">
        <v>1182</v>
      </c>
      <c r="B209" s="2" t="s">
        <v>1211</v>
      </c>
      <c r="C209" s="1" t="s">
        <v>1212</v>
      </c>
      <c r="D209" s="3" t="s">
        <v>532</v>
      </c>
      <c r="E209" s="3" t="s">
        <v>23</v>
      </c>
      <c r="F209" s="3" t="s">
        <v>48</v>
      </c>
      <c r="G209" s="3" t="s">
        <v>25</v>
      </c>
      <c r="H209" s="3" t="s">
        <v>26</v>
      </c>
      <c r="I209" s="3" t="s">
        <v>27</v>
      </c>
      <c r="J209" s="3" t="s">
        <v>28</v>
      </c>
      <c r="K209" s="4" t="s">
        <v>28</v>
      </c>
      <c r="L209" s="4" t="s">
        <v>1213</v>
      </c>
      <c r="M209" s="4"/>
      <c r="N209" s="4"/>
      <c r="O209" s="4"/>
      <c r="P209" s="4"/>
      <c r="Q209" s="4"/>
      <c r="R209" s="3" t="str">
        <f t="shared" si="0"/>
        <v>Outstanding</v>
      </c>
      <c r="S209" s="11" t="s">
        <v>28</v>
      </c>
    </row>
    <row r="210" spans="1:19" ht="60" customHeight="1" x14ac:dyDescent="0.35">
      <c r="A210" s="9" t="s">
        <v>1182</v>
      </c>
      <c r="B210" s="2" t="s">
        <v>1214</v>
      </c>
      <c r="C210" s="1" t="s">
        <v>1215</v>
      </c>
      <c r="D210" s="3" t="s">
        <v>532</v>
      </c>
      <c r="E210" s="3" t="s">
        <v>23</v>
      </c>
      <c r="F210" s="3" t="s">
        <v>48</v>
      </c>
      <c r="G210" s="3" t="s">
        <v>25</v>
      </c>
      <c r="H210" s="3" t="s">
        <v>26</v>
      </c>
      <c r="I210" s="3" t="s">
        <v>27</v>
      </c>
      <c r="J210" s="3" t="s">
        <v>28</v>
      </c>
      <c r="K210" s="4" t="s">
        <v>28</v>
      </c>
      <c r="L210" s="4" t="s">
        <v>1216</v>
      </c>
      <c r="M210" s="4"/>
      <c r="N210" s="4"/>
      <c r="O210" s="4"/>
      <c r="P210" s="4"/>
      <c r="Q210" s="4"/>
      <c r="R210" s="3" t="str">
        <f t="shared" si="0"/>
        <v>Outstanding</v>
      </c>
      <c r="S210" s="11" t="s">
        <v>28</v>
      </c>
    </row>
    <row r="211" spans="1:19" ht="60" customHeight="1" x14ac:dyDescent="0.35">
      <c r="A211" s="9" t="s">
        <v>1182</v>
      </c>
      <c r="B211" s="2" t="s">
        <v>1217</v>
      </c>
      <c r="C211" s="1" t="s">
        <v>1218</v>
      </c>
      <c r="D211" s="3" t="s">
        <v>532</v>
      </c>
      <c r="E211" s="3" t="s">
        <v>23</v>
      </c>
      <c r="F211" s="3" t="s">
        <v>48</v>
      </c>
      <c r="G211" s="3" t="s">
        <v>25</v>
      </c>
      <c r="H211" s="3" t="s">
        <v>26</v>
      </c>
      <c r="I211" s="3" t="s">
        <v>27</v>
      </c>
      <c r="J211" s="3" t="s">
        <v>28</v>
      </c>
      <c r="K211" s="4" t="s">
        <v>28</v>
      </c>
      <c r="L211" s="4" t="s">
        <v>1219</v>
      </c>
      <c r="M211" s="4"/>
      <c r="N211" s="4"/>
      <c r="O211" s="4"/>
      <c r="P211" s="4"/>
      <c r="Q211" s="4"/>
      <c r="R211" s="3" t="str">
        <f t="shared" si="0"/>
        <v>Outstanding</v>
      </c>
      <c r="S211" s="11" t="s">
        <v>28</v>
      </c>
    </row>
    <row r="212" spans="1:19" ht="60" customHeight="1" x14ac:dyDescent="0.35">
      <c r="A212" s="9" t="s">
        <v>1182</v>
      </c>
      <c r="B212" s="2" t="s">
        <v>1220</v>
      </c>
      <c r="C212" s="1" t="s">
        <v>1221</v>
      </c>
      <c r="D212" s="3" t="s">
        <v>532</v>
      </c>
      <c r="E212" s="3" t="s">
        <v>23</v>
      </c>
      <c r="F212" s="3" t="s">
        <v>48</v>
      </c>
      <c r="G212" s="3" t="s">
        <v>25</v>
      </c>
      <c r="H212" s="3" t="s">
        <v>26</v>
      </c>
      <c r="I212" s="3" t="s">
        <v>27</v>
      </c>
      <c r="J212" s="3" t="s">
        <v>28</v>
      </c>
      <c r="K212" s="4" t="s">
        <v>28</v>
      </c>
      <c r="L212" s="4" t="s">
        <v>1222</v>
      </c>
      <c r="M212" s="4"/>
      <c r="N212" s="4"/>
      <c r="O212" s="4"/>
      <c r="P212" s="4"/>
      <c r="Q212" s="4"/>
      <c r="R212" s="3" t="str">
        <f t="shared" si="0"/>
        <v>Outstanding</v>
      </c>
      <c r="S212" s="11" t="s">
        <v>28</v>
      </c>
    </row>
    <row r="213" spans="1:19" ht="60" customHeight="1" x14ac:dyDescent="0.35">
      <c r="A213" s="9" t="s">
        <v>1223</v>
      </c>
      <c r="B213" s="2" t="s">
        <v>1224</v>
      </c>
      <c r="C213" s="1" t="s">
        <v>1225</v>
      </c>
      <c r="D213" s="3" t="s">
        <v>532</v>
      </c>
      <c r="E213" s="3" t="s">
        <v>23</v>
      </c>
      <c r="F213" s="3" t="s">
        <v>24</v>
      </c>
      <c r="G213" s="3" t="s">
        <v>25</v>
      </c>
      <c r="H213" s="3" t="s">
        <v>26</v>
      </c>
      <c r="I213" s="3" t="s">
        <v>27</v>
      </c>
      <c r="J213" s="3" t="s">
        <v>28</v>
      </c>
      <c r="K213" s="4" t="s">
        <v>28</v>
      </c>
      <c r="L213" s="4" t="s">
        <v>1226</v>
      </c>
      <c r="M213" s="4" t="s">
        <v>1227</v>
      </c>
      <c r="N213" s="4"/>
      <c r="O213" s="4"/>
      <c r="P213" s="4"/>
      <c r="Q213" s="4"/>
      <c r="R213" s="3" t="str">
        <f t="shared" si="0"/>
        <v>Outstanding</v>
      </c>
      <c r="S213" s="11" t="s">
        <v>28</v>
      </c>
    </row>
    <row r="214" spans="1:19" ht="60" customHeight="1" x14ac:dyDescent="0.35">
      <c r="A214" s="9" t="s">
        <v>1223</v>
      </c>
      <c r="B214" s="2" t="s">
        <v>1228</v>
      </c>
      <c r="C214" s="1" t="s">
        <v>1229</v>
      </c>
      <c r="D214" s="3" t="s">
        <v>532</v>
      </c>
      <c r="E214" s="3" t="s">
        <v>23</v>
      </c>
      <c r="F214" s="3" t="s">
        <v>48</v>
      </c>
      <c r="G214" s="3" t="s">
        <v>25</v>
      </c>
      <c r="H214" s="3" t="s">
        <v>26</v>
      </c>
      <c r="I214" s="3" t="s">
        <v>27</v>
      </c>
      <c r="J214" s="3" t="s">
        <v>28</v>
      </c>
      <c r="K214" s="4" t="s">
        <v>28</v>
      </c>
      <c r="L214" s="4" t="s">
        <v>1230</v>
      </c>
      <c r="M214" s="4" t="s">
        <v>1231</v>
      </c>
      <c r="N214" s="4" t="s">
        <v>1232</v>
      </c>
      <c r="O214" s="4" t="s">
        <v>1233</v>
      </c>
      <c r="P214" s="4" t="s">
        <v>1234</v>
      </c>
      <c r="Q214" s="4" t="s">
        <v>1235</v>
      </c>
      <c r="R214" s="3" t="str">
        <f t="shared" si="0"/>
        <v>Outstanding</v>
      </c>
      <c r="S214" s="11" t="s">
        <v>28</v>
      </c>
    </row>
    <row r="215" spans="1:19" ht="60" customHeight="1" x14ac:dyDescent="0.35">
      <c r="A215" s="9" t="s">
        <v>1236</v>
      </c>
      <c r="B215" s="2" t="s">
        <v>1237</v>
      </c>
      <c r="C215" s="1" t="s">
        <v>1238</v>
      </c>
      <c r="D215" s="3" t="s">
        <v>532</v>
      </c>
      <c r="E215" s="3" t="s">
        <v>23</v>
      </c>
      <c r="F215" s="3" t="s">
        <v>24</v>
      </c>
      <c r="G215" s="3" t="s">
        <v>25</v>
      </c>
      <c r="H215" s="3" t="s">
        <v>26</v>
      </c>
      <c r="I215" s="3" t="s">
        <v>27</v>
      </c>
      <c r="J215" s="3" t="s">
        <v>28</v>
      </c>
      <c r="K215" s="4" t="s">
        <v>28</v>
      </c>
      <c r="L215" s="4" t="s">
        <v>1239</v>
      </c>
      <c r="M215" s="4" t="s">
        <v>1240</v>
      </c>
      <c r="N215" s="4"/>
      <c r="O215" s="4"/>
      <c r="P215" s="4"/>
      <c r="Q215" s="4"/>
      <c r="R215" s="3" t="str">
        <f t="shared" si="0"/>
        <v>Outstanding</v>
      </c>
      <c r="S215" s="11" t="s">
        <v>28</v>
      </c>
    </row>
    <row r="216" spans="1:19" ht="60" customHeight="1" x14ac:dyDescent="0.35">
      <c r="A216" s="9" t="s">
        <v>1236</v>
      </c>
      <c r="B216" s="2" t="s">
        <v>1241</v>
      </c>
      <c r="C216" s="1" t="s">
        <v>1242</v>
      </c>
      <c r="D216" s="3" t="s">
        <v>532</v>
      </c>
      <c r="E216" s="3" t="s">
        <v>23</v>
      </c>
      <c r="F216" s="3" t="s">
        <v>48</v>
      </c>
      <c r="G216" s="3" t="s">
        <v>25</v>
      </c>
      <c r="H216" s="3" t="s">
        <v>26</v>
      </c>
      <c r="I216" s="3" t="s">
        <v>27</v>
      </c>
      <c r="J216" s="3" t="s">
        <v>28</v>
      </c>
      <c r="K216" s="4" t="s">
        <v>28</v>
      </c>
      <c r="L216" s="4" t="s">
        <v>1243</v>
      </c>
      <c r="M216" s="4" t="s">
        <v>1244</v>
      </c>
      <c r="N216" s="4" t="s">
        <v>1245</v>
      </c>
      <c r="O216" s="4" t="s">
        <v>1246</v>
      </c>
      <c r="P216" s="4" t="s">
        <v>1247</v>
      </c>
      <c r="Q216" s="4" t="s">
        <v>1248</v>
      </c>
      <c r="R216" s="3" t="str">
        <f t="shared" si="0"/>
        <v>Outstanding</v>
      </c>
      <c r="S216" s="11" t="s">
        <v>28</v>
      </c>
    </row>
    <row r="217" spans="1:19" ht="60" customHeight="1" x14ac:dyDescent="0.35">
      <c r="A217" s="9" t="s">
        <v>1236</v>
      </c>
      <c r="B217" s="2" t="s">
        <v>1249</v>
      </c>
      <c r="C217" s="1" t="s">
        <v>1250</v>
      </c>
      <c r="D217" s="3" t="s">
        <v>532</v>
      </c>
      <c r="E217" s="3" t="s">
        <v>23</v>
      </c>
      <c r="F217" s="3" t="s">
        <v>48</v>
      </c>
      <c r="G217" s="3" t="s">
        <v>25</v>
      </c>
      <c r="H217" s="3" t="s">
        <v>26</v>
      </c>
      <c r="I217" s="3" t="s">
        <v>27</v>
      </c>
      <c r="J217" s="3" t="s">
        <v>28</v>
      </c>
      <c r="K217" s="4" t="s">
        <v>28</v>
      </c>
      <c r="L217" s="4" t="s">
        <v>1251</v>
      </c>
      <c r="M217" s="4"/>
      <c r="N217" s="4"/>
      <c r="O217" s="4"/>
      <c r="P217" s="4"/>
      <c r="Q217" s="4"/>
      <c r="R217" s="3" t="str">
        <f t="shared" si="0"/>
        <v>Outstanding</v>
      </c>
      <c r="S217" s="11" t="s">
        <v>28</v>
      </c>
    </row>
    <row r="218" spans="1:19" ht="60" customHeight="1" x14ac:dyDescent="0.35">
      <c r="A218" s="9" t="s">
        <v>1236</v>
      </c>
      <c r="B218" s="2" t="s">
        <v>1252</v>
      </c>
      <c r="C218" s="1" t="s">
        <v>1253</v>
      </c>
      <c r="D218" s="3" t="s">
        <v>532</v>
      </c>
      <c r="E218" s="3" t="s">
        <v>23</v>
      </c>
      <c r="F218" s="3" t="s">
        <v>48</v>
      </c>
      <c r="G218" s="3" t="s">
        <v>25</v>
      </c>
      <c r="H218" s="3" t="s">
        <v>26</v>
      </c>
      <c r="I218" s="3" t="s">
        <v>27</v>
      </c>
      <c r="J218" s="3" t="s">
        <v>28</v>
      </c>
      <c r="K218" s="4" t="s">
        <v>28</v>
      </c>
      <c r="L218" s="4" t="s">
        <v>1254</v>
      </c>
      <c r="M218" s="4"/>
      <c r="N218" s="4"/>
      <c r="O218" s="4"/>
      <c r="P218" s="4"/>
      <c r="Q218" s="4"/>
      <c r="R218" s="3" t="str">
        <f t="shared" si="0"/>
        <v>Outstanding</v>
      </c>
      <c r="S218" s="11" t="s">
        <v>28</v>
      </c>
    </row>
    <row r="219" spans="1:19" ht="60" customHeight="1" x14ac:dyDescent="0.35">
      <c r="A219" s="9" t="s">
        <v>1255</v>
      </c>
      <c r="B219" s="2" t="s">
        <v>1256</v>
      </c>
      <c r="C219" s="1" t="s">
        <v>1257</v>
      </c>
      <c r="D219" s="3" t="s">
        <v>532</v>
      </c>
      <c r="E219" s="3" t="s">
        <v>23</v>
      </c>
      <c r="F219" s="3" t="s">
        <v>24</v>
      </c>
      <c r="G219" s="3" t="s">
        <v>25</v>
      </c>
      <c r="H219" s="3" t="s">
        <v>26</v>
      </c>
      <c r="I219" s="3" t="s">
        <v>27</v>
      </c>
      <c r="J219" s="3" t="s">
        <v>28</v>
      </c>
      <c r="K219" s="4" t="s">
        <v>28</v>
      </c>
      <c r="L219" s="4" t="s">
        <v>1258</v>
      </c>
      <c r="M219" s="4" t="s">
        <v>1259</v>
      </c>
      <c r="N219" s="4"/>
      <c r="O219" s="4"/>
      <c r="P219" s="4"/>
      <c r="Q219" s="4"/>
      <c r="R219" s="3" t="str">
        <f t="shared" si="0"/>
        <v>Outstanding</v>
      </c>
      <c r="S219" s="11" t="s">
        <v>28</v>
      </c>
    </row>
    <row r="220" spans="1:19" ht="60" customHeight="1" x14ac:dyDescent="0.35">
      <c r="A220" s="9" t="s">
        <v>1255</v>
      </c>
      <c r="B220" s="2" t="s">
        <v>1260</v>
      </c>
      <c r="C220" s="1" t="s">
        <v>1261</v>
      </c>
      <c r="D220" s="3" t="s">
        <v>532</v>
      </c>
      <c r="E220" s="3" t="s">
        <v>23</v>
      </c>
      <c r="F220" s="3" t="s">
        <v>48</v>
      </c>
      <c r="G220" s="3" t="s">
        <v>25</v>
      </c>
      <c r="H220" s="3" t="s">
        <v>26</v>
      </c>
      <c r="I220" s="3" t="s">
        <v>27</v>
      </c>
      <c r="J220" s="3" t="s">
        <v>28</v>
      </c>
      <c r="K220" s="4" t="s">
        <v>28</v>
      </c>
      <c r="L220" s="4" t="s">
        <v>1262</v>
      </c>
      <c r="M220" s="4" t="s">
        <v>1263</v>
      </c>
      <c r="N220" s="4" t="s">
        <v>1264</v>
      </c>
      <c r="O220" s="4" t="s">
        <v>1265</v>
      </c>
      <c r="P220" s="4" t="s">
        <v>1266</v>
      </c>
      <c r="Q220" s="4" t="s">
        <v>1267</v>
      </c>
      <c r="R220" s="3" t="str">
        <f t="shared" si="0"/>
        <v>Outstanding</v>
      </c>
      <c r="S220" s="11" t="s">
        <v>28</v>
      </c>
    </row>
    <row r="221" spans="1:19" ht="60" customHeight="1" x14ac:dyDescent="0.35">
      <c r="A221" s="9" t="s">
        <v>1255</v>
      </c>
      <c r="B221" s="2" t="s">
        <v>1268</v>
      </c>
      <c r="C221" s="1" t="s">
        <v>1269</v>
      </c>
      <c r="D221" s="3" t="s">
        <v>532</v>
      </c>
      <c r="E221" s="3" t="s">
        <v>23</v>
      </c>
      <c r="F221" s="3" t="s">
        <v>48</v>
      </c>
      <c r="G221" s="3" t="s">
        <v>25</v>
      </c>
      <c r="H221" s="3" t="s">
        <v>26</v>
      </c>
      <c r="I221" s="3" t="s">
        <v>27</v>
      </c>
      <c r="J221" s="3" t="s">
        <v>28</v>
      </c>
      <c r="K221" s="4" t="s">
        <v>28</v>
      </c>
      <c r="L221" s="4" t="s">
        <v>1262</v>
      </c>
      <c r="M221" s="4" t="s">
        <v>1263</v>
      </c>
      <c r="N221" s="4" t="s">
        <v>1264</v>
      </c>
      <c r="O221" s="4" t="s">
        <v>1265</v>
      </c>
      <c r="P221" s="4" t="s">
        <v>1266</v>
      </c>
      <c r="Q221" s="4" t="s">
        <v>1267</v>
      </c>
      <c r="R221" s="3" t="str">
        <f t="shared" si="0"/>
        <v>Outstanding</v>
      </c>
      <c r="S221" s="11" t="s">
        <v>28</v>
      </c>
    </row>
    <row r="222" spans="1:19" ht="60" customHeight="1" x14ac:dyDescent="0.35">
      <c r="A222" s="9" t="s">
        <v>1255</v>
      </c>
      <c r="B222" s="2" t="s">
        <v>1270</v>
      </c>
      <c r="C222" s="1" t="s">
        <v>1271</v>
      </c>
      <c r="D222" s="3" t="s">
        <v>532</v>
      </c>
      <c r="E222" s="3" t="s">
        <v>23</v>
      </c>
      <c r="F222" s="3" t="s">
        <v>48</v>
      </c>
      <c r="G222" s="3" t="s">
        <v>25</v>
      </c>
      <c r="H222" s="3" t="s">
        <v>26</v>
      </c>
      <c r="I222" s="3" t="s">
        <v>27</v>
      </c>
      <c r="J222" s="3" t="s">
        <v>28</v>
      </c>
      <c r="K222" s="4" t="s">
        <v>28</v>
      </c>
      <c r="L222" s="4" t="s">
        <v>1272</v>
      </c>
      <c r="M222" s="4" t="s">
        <v>1273</v>
      </c>
      <c r="N222" s="4" t="s">
        <v>1274</v>
      </c>
      <c r="O222" s="4" t="s">
        <v>265</v>
      </c>
      <c r="P222" s="4" t="s">
        <v>1275</v>
      </c>
      <c r="Q222" s="4" t="s">
        <v>1276</v>
      </c>
      <c r="R222" s="3" t="str">
        <f t="shared" si="0"/>
        <v>Outstanding</v>
      </c>
      <c r="S222" s="11" t="s">
        <v>28</v>
      </c>
    </row>
    <row r="223" spans="1:19" ht="60" customHeight="1" x14ac:dyDescent="0.35">
      <c r="A223" s="9" t="s">
        <v>1255</v>
      </c>
      <c r="B223" s="2" t="s">
        <v>1277</v>
      </c>
      <c r="C223" s="1" t="s">
        <v>1278</v>
      </c>
      <c r="D223" s="3" t="s">
        <v>532</v>
      </c>
      <c r="E223" s="3" t="s">
        <v>23</v>
      </c>
      <c r="F223" s="3" t="s">
        <v>48</v>
      </c>
      <c r="G223" s="3" t="s">
        <v>25</v>
      </c>
      <c r="H223" s="3" t="s">
        <v>26</v>
      </c>
      <c r="I223" s="3" t="s">
        <v>27</v>
      </c>
      <c r="J223" s="3" t="s">
        <v>28</v>
      </c>
      <c r="K223" s="4" t="s">
        <v>28</v>
      </c>
      <c r="L223" s="4" t="s">
        <v>1279</v>
      </c>
      <c r="M223" s="4" t="s">
        <v>1280</v>
      </c>
      <c r="N223" s="4" t="s">
        <v>1281</v>
      </c>
      <c r="O223" s="4" t="s">
        <v>265</v>
      </c>
      <c r="P223" s="4" t="s">
        <v>1282</v>
      </c>
      <c r="Q223" s="4" t="s">
        <v>1283</v>
      </c>
      <c r="R223" s="3" t="str">
        <f t="shared" si="0"/>
        <v>Outstanding</v>
      </c>
      <c r="S223" s="11" t="s">
        <v>28</v>
      </c>
    </row>
    <row r="224" spans="1:19" ht="60" customHeight="1" x14ac:dyDescent="0.35">
      <c r="A224" s="9" t="s">
        <v>1255</v>
      </c>
      <c r="B224" s="2" t="s">
        <v>1284</v>
      </c>
      <c r="C224" s="1" t="s">
        <v>1285</v>
      </c>
      <c r="D224" s="3" t="s">
        <v>532</v>
      </c>
      <c r="E224" s="3" t="s">
        <v>23</v>
      </c>
      <c r="F224" s="3" t="s">
        <v>48</v>
      </c>
      <c r="G224" s="3" t="s">
        <v>25</v>
      </c>
      <c r="H224" s="3" t="s">
        <v>26</v>
      </c>
      <c r="I224" s="3" t="s">
        <v>27</v>
      </c>
      <c r="J224" s="3" t="s">
        <v>28</v>
      </c>
      <c r="K224" s="4" t="s">
        <v>28</v>
      </c>
      <c r="L224" s="4" t="s">
        <v>1279</v>
      </c>
      <c r="M224" s="4" t="s">
        <v>1280</v>
      </c>
      <c r="N224" s="4" t="s">
        <v>1281</v>
      </c>
      <c r="O224" s="4" t="s">
        <v>265</v>
      </c>
      <c r="P224" s="4" t="s">
        <v>1282</v>
      </c>
      <c r="Q224" s="4" t="s">
        <v>1283</v>
      </c>
      <c r="R224" s="3" t="str">
        <f t="shared" si="0"/>
        <v>Outstanding</v>
      </c>
      <c r="S224" s="11" t="s">
        <v>28</v>
      </c>
    </row>
    <row r="225" spans="1:19" ht="60" customHeight="1" x14ac:dyDescent="0.35">
      <c r="A225" s="9" t="s">
        <v>1255</v>
      </c>
      <c r="B225" s="2" t="s">
        <v>1286</v>
      </c>
      <c r="C225" s="1" t="s">
        <v>1287</v>
      </c>
      <c r="D225" s="3" t="s">
        <v>532</v>
      </c>
      <c r="E225" s="3" t="s">
        <v>23</v>
      </c>
      <c r="F225" s="3" t="s">
        <v>24</v>
      </c>
      <c r="G225" s="3" t="s">
        <v>25</v>
      </c>
      <c r="H225" s="3" t="s">
        <v>26</v>
      </c>
      <c r="I225" s="3" t="s">
        <v>27</v>
      </c>
      <c r="J225" s="3" t="s">
        <v>28</v>
      </c>
      <c r="K225" s="4" t="s">
        <v>28</v>
      </c>
      <c r="L225" s="4" t="s">
        <v>1288</v>
      </c>
      <c r="M225" s="4"/>
      <c r="N225" s="4"/>
      <c r="O225" s="4"/>
      <c r="P225" s="4"/>
      <c r="Q225" s="4"/>
      <c r="R225" s="3" t="str">
        <f t="shared" si="0"/>
        <v>Outstanding</v>
      </c>
      <c r="S225" s="11" t="s">
        <v>28</v>
      </c>
    </row>
    <row r="226" spans="1:19" ht="60" customHeight="1" x14ac:dyDescent="0.35">
      <c r="A226" s="9" t="s">
        <v>1255</v>
      </c>
      <c r="B226" s="2" t="s">
        <v>1289</v>
      </c>
      <c r="C226" s="1" t="s">
        <v>1290</v>
      </c>
      <c r="D226" s="3" t="s">
        <v>532</v>
      </c>
      <c r="E226" s="3" t="s">
        <v>23</v>
      </c>
      <c r="F226" s="3" t="s">
        <v>24</v>
      </c>
      <c r="G226" s="3" t="s">
        <v>25</v>
      </c>
      <c r="H226" s="3" t="s">
        <v>26</v>
      </c>
      <c r="I226" s="3" t="s">
        <v>27</v>
      </c>
      <c r="J226" s="3" t="s">
        <v>28</v>
      </c>
      <c r="K226" s="4" t="s">
        <v>28</v>
      </c>
      <c r="L226" s="4" t="s">
        <v>1291</v>
      </c>
      <c r="M226" s="4"/>
      <c r="N226" s="4"/>
      <c r="O226" s="4"/>
      <c r="P226" s="4"/>
      <c r="Q226" s="4"/>
      <c r="R226" s="3" t="str">
        <f t="shared" si="0"/>
        <v>Outstanding</v>
      </c>
      <c r="S226" s="11" t="s">
        <v>28</v>
      </c>
    </row>
    <row r="227" spans="1:19" ht="60" customHeight="1" x14ac:dyDescent="0.35">
      <c r="A227" s="9" t="s">
        <v>1292</v>
      </c>
      <c r="B227" s="2" t="s">
        <v>1293</v>
      </c>
      <c r="C227" s="1" t="s">
        <v>1294</v>
      </c>
      <c r="D227" s="3" t="s">
        <v>532</v>
      </c>
      <c r="E227" s="3" t="s">
        <v>23</v>
      </c>
      <c r="F227" s="3" t="s">
        <v>24</v>
      </c>
      <c r="G227" s="3" t="s">
        <v>25</v>
      </c>
      <c r="H227" s="3" t="s">
        <v>26</v>
      </c>
      <c r="I227" s="3" t="s">
        <v>27</v>
      </c>
      <c r="J227" s="3" t="s">
        <v>28</v>
      </c>
      <c r="K227" s="4" t="s">
        <v>28</v>
      </c>
      <c r="L227" s="4" t="s">
        <v>1295</v>
      </c>
      <c r="M227" s="4" t="s">
        <v>1296</v>
      </c>
      <c r="N227" s="4"/>
      <c r="O227" s="4"/>
      <c r="P227" s="4"/>
      <c r="Q227" s="4"/>
      <c r="R227" s="3" t="str">
        <f t="shared" si="0"/>
        <v>Outstanding</v>
      </c>
      <c r="S227" s="11" t="s">
        <v>28</v>
      </c>
    </row>
    <row r="228" spans="1:19" ht="60" customHeight="1" x14ac:dyDescent="0.35">
      <c r="A228" s="9" t="s">
        <v>1292</v>
      </c>
      <c r="B228" s="2" t="s">
        <v>1297</v>
      </c>
      <c r="C228" s="1" t="s">
        <v>1298</v>
      </c>
      <c r="D228" s="3" t="s">
        <v>532</v>
      </c>
      <c r="E228" s="3" t="s">
        <v>23</v>
      </c>
      <c r="F228" s="3" t="s">
        <v>48</v>
      </c>
      <c r="G228" s="3" t="s">
        <v>25</v>
      </c>
      <c r="H228" s="3" t="s">
        <v>26</v>
      </c>
      <c r="I228" s="3" t="s">
        <v>27</v>
      </c>
      <c r="J228" s="3" t="s">
        <v>28</v>
      </c>
      <c r="K228" s="4" t="s">
        <v>28</v>
      </c>
      <c r="L228" s="4" t="s">
        <v>1299</v>
      </c>
      <c r="M228" s="4"/>
      <c r="N228" s="4"/>
      <c r="O228" s="4"/>
      <c r="P228" s="4"/>
      <c r="Q228" s="4"/>
      <c r="R228" s="3" t="str">
        <f t="shared" si="0"/>
        <v>Outstanding</v>
      </c>
      <c r="S228" s="11" t="s">
        <v>28</v>
      </c>
    </row>
    <row r="229" spans="1:19" ht="60" customHeight="1" x14ac:dyDescent="0.35">
      <c r="A229" s="9" t="s">
        <v>1292</v>
      </c>
      <c r="B229" s="2" t="s">
        <v>1300</v>
      </c>
      <c r="C229" s="1" t="s">
        <v>1301</v>
      </c>
      <c r="D229" s="3" t="s">
        <v>532</v>
      </c>
      <c r="E229" s="3" t="s">
        <v>23</v>
      </c>
      <c r="F229" s="3" t="s">
        <v>48</v>
      </c>
      <c r="G229" s="3" t="s">
        <v>25</v>
      </c>
      <c r="H229" s="3" t="s">
        <v>26</v>
      </c>
      <c r="I229" s="3" t="s">
        <v>27</v>
      </c>
      <c r="J229" s="3" t="s">
        <v>28</v>
      </c>
      <c r="K229" s="4" t="s">
        <v>28</v>
      </c>
      <c r="L229" s="4" t="s">
        <v>1302</v>
      </c>
      <c r="M229" s="4"/>
      <c r="N229" s="4"/>
      <c r="O229" s="4"/>
      <c r="P229" s="4"/>
      <c r="Q229" s="4"/>
      <c r="R229" s="3" t="str">
        <f t="shared" si="0"/>
        <v>Outstanding</v>
      </c>
      <c r="S229" s="11" t="s">
        <v>28</v>
      </c>
    </row>
    <row r="230" spans="1:19" ht="60" customHeight="1" x14ac:dyDescent="0.35">
      <c r="A230" s="9" t="s">
        <v>1292</v>
      </c>
      <c r="B230" s="2" t="s">
        <v>1303</v>
      </c>
      <c r="C230" s="1" t="s">
        <v>1304</v>
      </c>
      <c r="D230" s="3" t="s">
        <v>532</v>
      </c>
      <c r="E230" s="3" t="s">
        <v>23</v>
      </c>
      <c r="F230" s="3" t="s">
        <v>48</v>
      </c>
      <c r="G230" s="3" t="s">
        <v>25</v>
      </c>
      <c r="H230" s="3" t="s">
        <v>26</v>
      </c>
      <c r="I230" s="3" t="s">
        <v>27</v>
      </c>
      <c r="J230" s="3" t="s">
        <v>28</v>
      </c>
      <c r="K230" s="4" t="s">
        <v>28</v>
      </c>
      <c r="L230" s="4" t="s">
        <v>1305</v>
      </c>
      <c r="M230" s="4"/>
      <c r="N230" s="4"/>
      <c r="O230" s="4"/>
      <c r="P230" s="4"/>
      <c r="Q230" s="4"/>
      <c r="R230" s="3" t="str">
        <f t="shared" si="0"/>
        <v>Outstanding</v>
      </c>
      <c r="S230" s="11" t="s">
        <v>28</v>
      </c>
    </row>
    <row r="231" spans="1:19" ht="60" customHeight="1" x14ac:dyDescent="0.35">
      <c r="A231" s="9" t="s">
        <v>1306</v>
      </c>
      <c r="B231" s="2" t="s">
        <v>1307</v>
      </c>
      <c r="C231" s="1" t="s">
        <v>1308</v>
      </c>
      <c r="D231" s="3" t="s">
        <v>532</v>
      </c>
      <c r="E231" s="3" t="s">
        <v>23</v>
      </c>
      <c r="F231" s="3" t="s">
        <v>24</v>
      </c>
      <c r="G231" s="3" t="s">
        <v>25</v>
      </c>
      <c r="H231" s="3" t="s">
        <v>26</v>
      </c>
      <c r="I231" s="3" t="s">
        <v>27</v>
      </c>
      <c r="J231" s="3" t="s">
        <v>28</v>
      </c>
      <c r="K231" s="4" t="s">
        <v>28</v>
      </c>
      <c r="L231" s="4" t="s">
        <v>1309</v>
      </c>
      <c r="M231" s="4" t="s">
        <v>1310</v>
      </c>
      <c r="N231" s="4"/>
      <c r="O231" s="4"/>
      <c r="P231" s="4"/>
      <c r="Q231" s="4"/>
      <c r="R231" s="3" t="str">
        <f t="shared" si="0"/>
        <v>Outstanding</v>
      </c>
      <c r="S231" s="11" t="s">
        <v>28</v>
      </c>
    </row>
    <row r="232" spans="1:19" ht="60" customHeight="1" x14ac:dyDescent="0.35">
      <c r="A232" s="9" t="s">
        <v>1306</v>
      </c>
      <c r="B232" s="2" t="s">
        <v>1311</v>
      </c>
      <c r="C232" s="1" t="s">
        <v>1312</v>
      </c>
      <c r="D232" s="3" t="s">
        <v>532</v>
      </c>
      <c r="E232" s="3" t="s">
        <v>23</v>
      </c>
      <c r="F232" s="3" t="s">
        <v>48</v>
      </c>
      <c r="G232" s="3" t="s">
        <v>25</v>
      </c>
      <c r="H232" s="3" t="s">
        <v>26</v>
      </c>
      <c r="I232" s="3" t="s">
        <v>27</v>
      </c>
      <c r="J232" s="3" t="s">
        <v>28</v>
      </c>
      <c r="K232" s="4" t="s">
        <v>28</v>
      </c>
      <c r="L232" s="4" t="s">
        <v>1313</v>
      </c>
      <c r="M232" s="4" t="s">
        <v>1314</v>
      </c>
      <c r="N232" s="4" t="s">
        <v>1315</v>
      </c>
      <c r="O232" s="4" t="s">
        <v>1316</v>
      </c>
      <c r="P232" s="4" t="s">
        <v>1317</v>
      </c>
      <c r="Q232" s="4" t="s">
        <v>1318</v>
      </c>
      <c r="R232" s="3" t="str">
        <f t="shared" si="0"/>
        <v>Outstanding</v>
      </c>
      <c r="S232" s="11" t="s">
        <v>28</v>
      </c>
    </row>
    <row r="233" spans="1:19" ht="60" customHeight="1" x14ac:dyDescent="0.35">
      <c r="A233" s="9" t="s">
        <v>1306</v>
      </c>
      <c r="B233" s="2" t="s">
        <v>1319</v>
      </c>
      <c r="C233" s="1" t="s">
        <v>1320</v>
      </c>
      <c r="D233" s="3" t="s">
        <v>532</v>
      </c>
      <c r="E233" s="3" t="s">
        <v>23</v>
      </c>
      <c r="F233" s="3" t="s">
        <v>48</v>
      </c>
      <c r="G233" s="3" t="s">
        <v>25</v>
      </c>
      <c r="H233" s="3" t="s">
        <v>26</v>
      </c>
      <c r="I233" s="3" t="s">
        <v>27</v>
      </c>
      <c r="J233" s="3" t="s">
        <v>28</v>
      </c>
      <c r="K233" s="4" t="s">
        <v>28</v>
      </c>
      <c r="L233" s="4" t="s">
        <v>1321</v>
      </c>
      <c r="M233" s="4" t="s">
        <v>1322</v>
      </c>
      <c r="N233" s="4" t="s">
        <v>1323</v>
      </c>
      <c r="O233" s="4" t="s">
        <v>1324</v>
      </c>
      <c r="P233" s="4" t="s">
        <v>1325</v>
      </c>
      <c r="Q233" s="4" t="s">
        <v>1326</v>
      </c>
      <c r="R233" s="3" t="str">
        <f t="shared" si="0"/>
        <v>Outstanding</v>
      </c>
      <c r="S233" s="11" t="s">
        <v>28</v>
      </c>
    </row>
    <row r="234" spans="1:19" ht="60" customHeight="1" x14ac:dyDescent="0.35">
      <c r="A234" s="9" t="s">
        <v>1306</v>
      </c>
      <c r="B234" s="2" t="s">
        <v>1327</v>
      </c>
      <c r="C234" s="1" t="s">
        <v>1328</v>
      </c>
      <c r="D234" s="3" t="s">
        <v>532</v>
      </c>
      <c r="E234" s="3" t="s">
        <v>23</v>
      </c>
      <c r="F234" s="3" t="s">
        <v>48</v>
      </c>
      <c r="G234" s="3" t="s">
        <v>25</v>
      </c>
      <c r="H234" s="3" t="s">
        <v>26</v>
      </c>
      <c r="I234" s="3" t="s">
        <v>27</v>
      </c>
      <c r="J234" s="3" t="s">
        <v>28</v>
      </c>
      <c r="K234" s="4" t="s">
        <v>28</v>
      </c>
      <c r="L234" s="4" t="s">
        <v>1329</v>
      </c>
      <c r="M234" s="4" t="s">
        <v>1330</v>
      </c>
      <c r="N234" s="4" t="s">
        <v>1331</v>
      </c>
      <c r="O234" s="4" t="s">
        <v>1332</v>
      </c>
      <c r="P234" s="4" t="s">
        <v>1333</v>
      </c>
      <c r="Q234" s="4" t="s">
        <v>1334</v>
      </c>
      <c r="R234" s="3" t="str">
        <f t="shared" si="0"/>
        <v>Outstanding</v>
      </c>
      <c r="S234" s="11" t="s">
        <v>28</v>
      </c>
    </row>
    <row r="235" spans="1:19" ht="60" customHeight="1" x14ac:dyDescent="0.35">
      <c r="A235" s="9" t="s">
        <v>1335</v>
      </c>
      <c r="B235" s="2" t="s">
        <v>1336</v>
      </c>
      <c r="C235" s="1" t="s">
        <v>1337</v>
      </c>
      <c r="D235" s="3" t="s">
        <v>532</v>
      </c>
      <c r="E235" s="3" t="s">
        <v>23</v>
      </c>
      <c r="F235" s="3" t="s">
        <v>24</v>
      </c>
      <c r="G235" s="3" t="s">
        <v>25</v>
      </c>
      <c r="H235" s="3" t="s">
        <v>26</v>
      </c>
      <c r="I235" s="3" t="s">
        <v>27</v>
      </c>
      <c r="J235" s="3" t="s">
        <v>28</v>
      </c>
      <c r="K235" s="4" t="s">
        <v>28</v>
      </c>
      <c r="L235" s="4" t="s">
        <v>1338</v>
      </c>
      <c r="M235" s="4" t="s">
        <v>1339</v>
      </c>
      <c r="N235" s="4"/>
      <c r="O235" s="4"/>
      <c r="P235" s="4"/>
      <c r="Q235" s="4"/>
      <c r="R235" s="3" t="str">
        <f t="shared" si="0"/>
        <v>Outstanding</v>
      </c>
      <c r="S235" s="11" t="s">
        <v>28</v>
      </c>
    </row>
    <row r="236" spans="1:19" ht="60" customHeight="1" x14ac:dyDescent="0.35">
      <c r="A236" s="9" t="s">
        <v>1335</v>
      </c>
      <c r="B236" s="2" t="s">
        <v>1340</v>
      </c>
      <c r="C236" s="1" t="s">
        <v>1341</v>
      </c>
      <c r="D236" s="3" t="s">
        <v>532</v>
      </c>
      <c r="E236" s="3" t="s">
        <v>23</v>
      </c>
      <c r="F236" s="3" t="s">
        <v>48</v>
      </c>
      <c r="G236" s="3" t="s">
        <v>25</v>
      </c>
      <c r="H236" s="3" t="s">
        <v>26</v>
      </c>
      <c r="I236" s="3" t="s">
        <v>27</v>
      </c>
      <c r="J236" s="3" t="s">
        <v>28</v>
      </c>
      <c r="K236" s="4" t="s">
        <v>28</v>
      </c>
      <c r="L236" s="4" t="s">
        <v>1342</v>
      </c>
      <c r="M236" s="4" t="s">
        <v>1343</v>
      </c>
      <c r="N236" s="4" t="s">
        <v>1344</v>
      </c>
      <c r="O236" s="4" t="s">
        <v>1345</v>
      </c>
      <c r="P236" s="4" t="s">
        <v>1346</v>
      </c>
      <c r="Q236" s="4" t="s">
        <v>1347</v>
      </c>
      <c r="R236" s="3" t="str">
        <f t="shared" si="0"/>
        <v>Outstanding</v>
      </c>
      <c r="S236" s="11" t="s">
        <v>28</v>
      </c>
    </row>
    <row r="237" spans="1:19" ht="60" customHeight="1" x14ac:dyDescent="0.35">
      <c r="A237" s="9" t="s">
        <v>1335</v>
      </c>
      <c r="B237" s="2" t="s">
        <v>1348</v>
      </c>
      <c r="C237" s="1" t="s">
        <v>1349</v>
      </c>
      <c r="D237" s="3" t="s">
        <v>532</v>
      </c>
      <c r="E237" s="3" t="s">
        <v>23</v>
      </c>
      <c r="F237" s="3" t="s">
        <v>48</v>
      </c>
      <c r="G237" s="3" t="s">
        <v>25</v>
      </c>
      <c r="H237" s="3" t="s">
        <v>26</v>
      </c>
      <c r="I237" s="3" t="s">
        <v>27</v>
      </c>
      <c r="J237" s="3" t="s">
        <v>28</v>
      </c>
      <c r="K237" s="4" t="s">
        <v>28</v>
      </c>
      <c r="L237" s="4" t="s">
        <v>1350</v>
      </c>
      <c r="M237" s="4" t="s">
        <v>1351</v>
      </c>
      <c r="N237" s="4" t="s">
        <v>1344</v>
      </c>
      <c r="O237" s="4" t="s">
        <v>1345</v>
      </c>
      <c r="P237" s="4" t="s">
        <v>1352</v>
      </c>
      <c r="Q237" s="4" t="s">
        <v>1353</v>
      </c>
      <c r="R237" s="3" t="str">
        <f t="shared" si="0"/>
        <v>Outstanding</v>
      </c>
      <c r="S237" s="11" t="s">
        <v>28</v>
      </c>
    </row>
    <row r="238" spans="1:19" ht="60" customHeight="1" x14ac:dyDescent="0.35">
      <c r="A238" s="9" t="s">
        <v>1335</v>
      </c>
      <c r="B238" s="2" t="s">
        <v>1354</v>
      </c>
      <c r="C238" s="1" t="s">
        <v>1355</v>
      </c>
      <c r="D238" s="3" t="s">
        <v>532</v>
      </c>
      <c r="E238" s="3" t="s">
        <v>23</v>
      </c>
      <c r="F238" s="3" t="s">
        <v>48</v>
      </c>
      <c r="G238" s="3" t="s">
        <v>25</v>
      </c>
      <c r="H238" s="3" t="s">
        <v>26</v>
      </c>
      <c r="I238" s="3" t="s">
        <v>27</v>
      </c>
      <c r="J238" s="3" t="s">
        <v>28</v>
      </c>
      <c r="K238" s="4" t="s">
        <v>28</v>
      </c>
      <c r="L238" s="4" t="s">
        <v>1356</v>
      </c>
      <c r="M238" s="4" t="s">
        <v>1357</v>
      </c>
      <c r="N238" s="4" t="s">
        <v>1358</v>
      </c>
      <c r="O238" s="4" t="s">
        <v>1359</v>
      </c>
      <c r="P238" s="4" t="s">
        <v>1360</v>
      </c>
      <c r="Q238" s="4" t="s">
        <v>1361</v>
      </c>
      <c r="R238" s="3" t="str">
        <f t="shared" si="0"/>
        <v>Outstanding</v>
      </c>
      <c r="S238" s="11" t="s">
        <v>28</v>
      </c>
    </row>
    <row r="239" spans="1:19" ht="60" customHeight="1" x14ac:dyDescent="0.35">
      <c r="A239" s="9" t="s">
        <v>1362</v>
      </c>
      <c r="B239" s="2" t="s">
        <v>1363</v>
      </c>
      <c r="C239" s="1" t="s">
        <v>1364</v>
      </c>
      <c r="D239" s="3" t="s">
        <v>532</v>
      </c>
      <c r="E239" s="3" t="s">
        <v>23</v>
      </c>
      <c r="F239" s="3" t="s">
        <v>24</v>
      </c>
      <c r="G239" s="3" t="s">
        <v>25</v>
      </c>
      <c r="H239" s="3" t="s">
        <v>26</v>
      </c>
      <c r="I239" s="3" t="s">
        <v>27</v>
      </c>
      <c r="J239" s="3" t="s">
        <v>28</v>
      </c>
      <c r="K239" s="4" t="s">
        <v>28</v>
      </c>
      <c r="L239" s="4" t="s">
        <v>1365</v>
      </c>
      <c r="M239" s="4" t="s">
        <v>1366</v>
      </c>
      <c r="N239" s="4"/>
      <c r="O239" s="4"/>
      <c r="P239" s="4"/>
      <c r="Q239" s="4"/>
      <c r="R239" s="3" t="str">
        <f t="shared" si="0"/>
        <v>Outstanding</v>
      </c>
      <c r="S239" s="11" t="s">
        <v>28</v>
      </c>
    </row>
    <row r="240" spans="1:19" ht="60" customHeight="1" x14ac:dyDescent="0.35">
      <c r="A240" s="9" t="s">
        <v>1367</v>
      </c>
      <c r="B240" s="2" t="s">
        <v>1368</v>
      </c>
      <c r="C240" s="1" t="s">
        <v>1369</v>
      </c>
      <c r="D240" s="3" t="s">
        <v>532</v>
      </c>
      <c r="E240" s="3" t="s">
        <v>23</v>
      </c>
      <c r="F240" s="3" t="s">
        <v>24</v>
      </c>
      <c r="G240" s="3" t="s">
        <v>25</v>
      </c>
      <c r="H240" s="3" t="s">
        <v>26</v>
      </c>
      <c r="I240" s="3" t="s">
        <v>27</v>
      </c>
      <c r="J240" s="3" t="s">
        <v>28</v>
      </c>
      <c r="K240" s="4" t="s">
        <v>28</v>
      </c>
      <c r="L240" s="4" t="s">
        <v>1370</v>
      </c>
      <c r="M240" s="4" t="s">
        <v>1371</v>
      </c>
      <c r="N240" s="4"/>
      <c r="O240" s="4"/>
      <c r="P240" s="4"/>
      <c r="Q240" s="4"/>
      <c r="R240" s="3" t="str">
        <f t="shared" si="0"/>
        <v>Outstanding</v>
      </c>
      <c r="S240" s="11" t="s">
        <v>28</v>
      </c>
    </row>
    <row r="241" spans="1:19" ht="60" customHeight="1" x14ac:dyDescent="0.35">
      <c r="A241" s="9" t="s">
        <v>1367</v>
      </c>
      <c r="B241" s="2" t="s">
        <v>1372</v>
      </c>
      <c r="C241" s="1" t="s">
        <v>1373</v>
      </c>
      <c r="D241" s="3" t="s">
        <v>532</v>
      </c>
      <c r="E241" s="3" t="s">
        <v>23</v>
      </c>
      <c r="F241" s="3" t="s">
        <v>48</v>
      </c>
      <c r="G241" s="3" t="s">
        <v>25</v>
      </c>
      <c r="H241" s="3" t="s">
        <v>26</v>
      </c>
      <c r="I241" s="3" t="s">
        <v>27</v>
      </c>
      <c r="J241" s="3" t="s">
        <v>28</v>
      </c>
      <c r="K241" s="4" t="s">
        <v>28</v>
      </c>
      <c r="L241" s="4" t="s">
        <v>1374</v>
      </c>
      <c r="M241" s="4" t="s">
        <v>1375</v>
      </c>
      <c r="N241" s="4" t="s">
        <v>1376</v>
      </c>
      <c r="O241" s="4" t="s">
        <v>1377</v>
      </c>
      <c r="P241" s="4" t="s">
        <v>1378</v>
      </c>
      <c r="Q241" s="4" t="s">
        <v>1379</v>
      </c>
      <c r="R241" s="3" t="str">
        <f t="shared" si="0"/>
        <v>Outstanding</v>
      </c>
      <c r="S241" s="11" t="s">
        <v>28</v>
      </c>
    </row>
    <row r="242" spans="1:19" ht="60" customHeight="1" x14ac:dyDescent="0.35">
      <c r="A242" s="9" t="s">
        <v>1367</v>
      </c>
      <c r="B242" s="2" t="s">
        <v>1380</v>
      </c>
      <c r="C242" s="1" t="s">
        <v>1381</v>
      </c>
      <c r="D242" s="3" t="s">
        <v>532</v>
      </c>
      <c r="E242" s="3" t="s">
        <v>23</v>
      </c>
      <c r="F242" s="3" t="s">
        <v>48</v>
      </c>
      <c r="G242" s="3" t="s">
        <v>25</v>
      </c>
      <c r="H242" s="3" t="s">
        <v>26</v>
      </c>
      <c r="I242" s="3" t="s">
        <v>27</v>
      </c>
      <c r="J242" s="3" t="s">
        <v>28</v>
      </c>
      <c r="K242" s="4" t="s">
        <v>28</v>
      </c>
      <c r="L242" s="4" t="s">
        <v>1382</v>
      </c>
      <c r="M242" s="4" t="s">
        <v>1383</v>
      </c>
      <c r="N242" s="4" t="s">
        <v>1384</v>
      </c>
      <c r="O242" s="4" t="s">
        <v>1385</v>
      </c>
      <c r="P242" s="4" t="s">
        <v>1386</v>
      </c>
      <c r="Q242" s="4" t="s">
        <v>1387</v>
      </c>
      <c r="R242" s="3" t="str">
        <f t="shared" si="0"/>
        <v>Outstanding</v>
      </c>
      <c r="S242" s="11" t="s">
        <v>28</v>
      </c>
    </row>
    <row r="243" spans="1:19" ht="60" customHeight="1" x14ac:dyDescent="0.35">
      <c r="A243" s="9" t="s">
        <v>1367</v>
      </c>
      <c r="B243" s="2" t="s">
        <v>1388</v>
      </c>
      <c r="C243" s="1" t="s">
        <v>1389</v>
      </c>
      <c r="D243" s="3" t="s">
        <v>532</v>
      </c>
      <c r="E243" s="3" t="s">
        <v>23</v>
      </c>
      <c r="F243" s="3" t="s">
        <v>48</v>
      </c>
      <c r="G243" s="3" t="s">
        <v>25</v>
      </c>
      <c r="H243" s="3" t="s">
        <v>26</v>
      </c>
      <c r="I243" s="3" t="s">
        <v>27</v>
      </c>
      <c r="J243" s="3" t="s">
        <v>28</v>
      </c>
      <c r="K243" s="4" t="s">
        <v>28</v>
      </c>
      <c r="L243" s="4" t="s">
        <v>1390</v>
      </c>
      <c r="M243" s="4" t="s">
        <v>1391</v>
      </c>
      <c r="N243" s="4" t="s">
        <v>1392</v>
      </c>
      <c r="O243" s="4" t="s">
        <v>1393</v>
      </c>
      <c r="P243" s="4" t="s">
        <v>1394</v>
      </c>
      <c r="Q243" s="4" t="s">
        <v>1395</v>
      </c>
      <c r="R243" s="3" t="str">
        <f t="shared" si="0"/>
        <v>Outstanding</v>
      </c>
      <c r="S243" s="11" t="s">
        <v>28</v>
      </c>
    </row>
    <row r="244" spans="1:19" ht="60" customHeight="1" x14ac:dyDescent="0.35">
      <c r="A244" s="9" t="s">
        <v>1367</v>
      </c>
      <c r="B244" s="2" t="s">
        <v>1396</v>
      </c>
      <c r="C244" s="1" t="s">
        <v>1397</v>
      </c>
      <c r="D244" s="3" t="s">
        <v>532</v>
      </c>
      <c r="E244" s="3" t="s">
        <v>23</v>
      </c>
      <c r="F244" s="3" t="s">
        <v>48</v>
      </c>
      <c r="G244" s="3" t="s">
        <v>25</v>
      </c>
      <c r="H244" s="3" t="s">
        <v>26</v>
      </c>
      <c r="I244" s="3" t="s">
        <v>27</v>
      </c>
      <c r="J244" s="3" t="s">
        <v>28</v>
      </c>
      <c r="K244" s="4" t="s">
        <v>28</v>
      </c>
      <c r="L244" s="4" t="s">
        <v>1398</v>
      </c>
      <c r="M244" s="4" t="s">
        <v>1399</v>
      </c>
      <c r="N244" s="4" t="s">
        <v>1400</v>
      </c>
      <c r="O244" s="4" t="s">
        <v>1401</v>
      </c>
      <c r="P244" s="4" t="s">
        <v>1402</v>
      </c>
      <c r="Q244" s="4" t="s">
        <v>1395</v>
      </c>
      <c r="R244" s="3" t="str">
        <f t="shared" si="0"/>
        <v>Outstanding</v>
      </c>
      <c r="S244" s="11" t="s">
        <v>28</v>
      </c>
    </row>
    <row r="245" spans="1:19" ht="60" customHeight="1" x14ac:dyDescent="0.35">
      <c r="A245" s="9" t="s">
        <v>1367</v>
      </c>
      <c r="B245" s="2" t="s">
        <v>1403</v>
      </c>
      <c r="C245" s="1" t="s">
        <v>1404</v>
      </c>
      <c r="D245" s="3" t="s">
        <v>532</v>
      </c>
      <c r="E245" s="3" t="s">
        <v>23</v>
      </c>
      <c r="F245" s="3" t="s">
        <v>48</v>
      </c>
      <c r="G245" s="3" t="s">
        <v>25</v>
      </c>
      <c r="H245" s="3" t="s">
        <v>26</v>
      </c>
      <c r="I245" s="3" t="s">
        <v>27</v>
      </c>
      <c r="J245" s="3" t="s">
        <v>28</v>
      </c>
      <c r="K245" s="4" t="s">
        <v>28</v>
      </c>
      <c r="L245" s="4" t="s">
        <v>1405</v>
      </c>
      <c r="M245" s="4"/>
      <c r="N245" s="4"/>
      <c r="O245" s="4"/>
      <c r="P245" s="4"/>
      <c r="Q245" s="4"/>
      <c r="R245" s="3" t="str">
        <f t="shared" si="0"/>
        <v>Outstanding</v>
      </c>
      <c r="S245" s="11" t="s">
        <v>28</v>
      </c>
    </row>
    <row r="246" spans="1:19" ht="60" customHeight="1" x14ac:dyDescent="0.35">
      <c r="A246" s="9" t="s">
        <v>1367</v>
      </c>
      <c r="B246" s="2" t="s">
        <v>1406</v>
      </c>
      <c r="C246" s="1" t="s">
        <v>1407</v>
      </c>
      <c r="D246" s="3" t="s">
        <v>532</v>
      </c>
      <c r="E246" s="3" t="s">
        <v>23</v>
      </c>
      <c r="F246" s="3" t="s">
        <v>48</v>
      </c>
      <c r="G246" s="3" t="s">
        <v>25</v>
      </c>
      <c r="H246" s="3" t="s">
        <v>26</v>
      </c>
      <c r="I246" s="3" t="s">
        <v>27</v>
      </c>
      <c r="J246" s="3" t="s">
        <v>28</v>
      </c>
      <c r="K246" s="4" t="s">
        <v>28</v>
      </c>
      <c r="L246" s="4" t="s">
        <v>1408</v>
      </c>
      <c r="M246" s="4"/>
      <c r="N246" s="4"/>
      <c r="O246" s="4"/>
      <c r="P246" s="4"/>
      <c r="Q246" s="4"/>
      <c r="R246" s="3" t="str">
        <f t="shared" si="0"/>
        <v>Outstanding</v>
      </c>
      <c r="S246" s="11" t="s">
        <v>28</v>
      </c>
    </row>
    <row r="247" spans="1:19" ht="60" customHeight="1" x14ac:dyDescent="0.35">
      <c r="A247" s="9" t="s">
        <v>1409</v>
      </c>
      <c r="B247" s="2" t="s">
        <v>1410</v>
      </c>
      <c r="C247" s="1" t="s">
        <v>1411</v>
      </c>
      <c r="D247" s="3" t="s">
        <v>532</v>
      </c>
      <c r="E247" s="3" t="s">
        <v>23</v>
      </c>
      <c r="F247" s="3" t="s">
        <v>24</v>
      </c>
      <c r="G247" s="3" t="s">
        <v>25</v>
      </c>
      <c r="H247" s="3" t="s">
        <v>26</v>
      </c>
      <c r="I247" s="3" t="s">
        <v>27</v>
      </c>
      <c r="J247" s="3" t="s">
        <v>28</v>
      </c>
      <c r="K247" s="4" t="s">
        <v>28</v>
      </c>
      <c r="L247" s="4" t="s">
        <v>1412</v>
      </c>
      <c r="M247" s="4" t="s">
        <v>1413</v>
      </c>
      <c r="N247" s="4"/>
      <c r="O247" s="4"/>
      <c r="P247" s="4"/>
      <c r="Q247" s="4"/>
      <c r="R247" s="3" t="str">
        <f t="shared" si="0"/>
        <v>Outstanding</v>
      </c>
      <c r="S247" s="11" t="s">
        <v>28</v>
      </c>
    </row>
    <row r="248" spans="1:19" ht="60" customHeight="1" x14ac:dyDescent="0.35">
      <c r="A248" s="9" t="s">
        <v>1409</v>
      </c>
      <c r="B248" s="2" t="s">
        <v>1414</v>
      </c>
      <c r="C248" s="1" t="s">
        <v>1415</v>
      </c>
      <c r="D248" s="3" t="s">
        <v>532</v>
      </c>
      <c r="E248" s="3" t="s">
        <v>23</v>
      </c>
      <c r="F248" s="3" t="s">
        <v>48</v>
      </c>
      <c r="G248" s="3" t="s">
        <v>25</v>
      </c>
      <c r="H248" s="3" t="s">
        <v>26</v>
      </c>
      <c r="I248" s="3" t="s">
        <v>27</v>
      </c>
      <c r="J248" s="3" t="s">
        <v>28</v>
      </c>
      <c r="K248" s="4" t="s">
        <v>28</v>
      </c>
      <c r="L248" s="4" t="s">
        <v>1416</v>
      </c>
      <c r="M248" s="4" t="s">
        <v>1417</v>
      </c>
      <c r="N248" s="4" t="s">
        <v>1418</v>
      </c>
      <c r="O248" s="4" t="s">
        <v>1419</v>
      </c>
      <c r="P248" s="4" t="s">
        <v>1420</v>
      </c>
      <c r="Q248" s="4" t="s">
        <v>1421</v>
      </c>
      <c r="R248" s="3" t="str">
        <f t="shared" si="0"/>
        <v>Outstanding</v>
      </c>
      <c r="S248" s="11" t="s">
        <v>28</v>
      </c>
    </row>
    <row r="249" spans="1:19" ht="60" customHeight="1" x14ac:dyDescent="0.35">
      <c r="A249" s="9" t="s">
        <v>1422</v>
      </c>
      <c r="B249" s="2" t="s">
        <v>1423</v>
      </c>
      <c r="C249" s="1" t="s">
        <v>1424</v>
      </c>
      <c r="D249" s="3" t="s">
        <v>532</v>
      </c>
      <c r="E249" s="3" t="s">
        <v>23</v>
      </c>
      <c r="F249" s="3" t="s">
        <v>24</v>
      </c>
      <c r="G249" s="3" t="s">
        <v>25</v>
      </c>
      <c r="H249" s="3" t="s">
        <v>26</v>
      </c>
      <c r="I249" s="3" t="s">
        <v>27</v>
      </c>
      <c r="J249" s="3" t="s">
        <v>28</v>
      </c>
      <c r="K249" s="4" t="s">
        <v>28</v>
      </c>
      <c r="L249" s="4" t="s">
        <v>1425</v>
      </c>
      <c r="M249" s="4" t="s">
        <v>1426</v>
      </c>
      <c r="N249" s="4"/>
      <c r="O249" s="4"/>
      <c r="P249" s="4"/>
      <c r="Q249" s="4"/>
      <c r="R249" s="3" t="str">
        <f t="shared" si="0"/>
        <v>Outstanding</v>
      </c>
      <c r="S249" s="11" t="s">
        <v>28</v>
      </c>
    </row>
    <row r="250" spans="1:19" ht="60" customHeight="1" x14ac:dyDescent="0.35">
      <c r="A250" s="9" t="s">
        <v>1422</v>
      </c>
      <c r="B250" s="2" t="s">
        <v>1427</v>
      </c>
      <c r="C250" s="1" t="s">
        <v>1428</v>
      </c>
      <c r="D250" s="3" t="s">
        <v>532</v>
      </c>
      <c r="E250" s="3" t="s">
        <v>23</v>
      </c>
      <c r="F250" s="3" t="s">
        <v>48</v>
      </c>
      <c r="G250" s="3" t="s">
        <v>25</v>
      </c>
      <c r="H250" s="3" t="s">
        <v>26</v>
      </c>
      <c r="I250" s="3" t="s">
        <v>27</v>
      </c>
      <c r="J250" s="3" t="s">
        <v>28</v>
      </c>
      <c r="K250" s="4" t="s">
        <v>28</v>
      </c>
      <c r="L250" s="4" t="s">
        <v>1429</v>
      </c>
      <c r="M250" s="4"/>
      <c r="N250" s="4"/>
      <c r="O250" s="4"/>
      <c r="P250" s="4"/>
      <c r="Q250" s="4"/>
      <c r="R250" s="3" t="str">
        <f t="shared" si="0"/>
        <v>Outstanding</v>
      </c>
      <c r="S250" s="11" t="s">
        <v>28</v>
      </c>
    </row>
    <row r="251" spans="1:19" ht="60" customHeight="1" x14ac:dyDescent="0.35">
      <c r="A251" s="9" t="s">
        <v>1422</v>
      </c>
      <c r="B251" s="2" t="s">
        <v>1430</v>
      </c>
      <c r="C251" s="1" t="s">
        <v>1431</v>
      </c>
      <c r="D251" s="3" t="s">
        <v>532</v>
      </c>
      <c r="E251" s="3" t="s">
        <v>23</v>
      </c>
      <c r="F251" s="3" t="s">
        <v>48</v>
      </c>
      <c r="G251" s="3" t="s">
        <v>25</v>
      </c>
      <c r="H251" s="3" t="s">
        <v>26</v>
      </c>
      <c r="I251" s="3" t="s">
        <v>27</v>
      </c>
      <c r="J251" s="3" t="s">
        <v>28</v>
      </c>
      <c r="K251" s="4" t="s">
        <v>28</v>
      </c>
      <c r="L251" s="4" t="s">
        <v>1432</v>
      </c>
      <c r="M251" s="4"/>
      <c r="N251" s="4"/>
      <c r="O251" s="4"/>
      <c r="P251" s="4"/>
      <c r="Q251" s="4"/>
      <c r="R251" s="3" t="str">
        <f t="shared" si="0"/>
        <v>Outstanding</v>
      </c>
      <c r="S251" s="11" t="s">
        <v>28</v>
      </c>
    </row>
    <row r="252" spans="1:19" ht="60" customHeight="1" x14ac:dyDescent="0.35">
      <c r="A252" s="9" t="s">
        <v>1433</v>
      </c>
      <c r="B252" s="2" t="s">
        <v>1434</v>
      </c>
      <c r="C252" s="1" t="s">
        <v>1435</v>
      </c>
      <c r="D252" s="3" t="s">
        <v>532</v>
      </c>
      <c r="E252" s="3" t="s">
        <v>23</v>
      </c>
      <c r="F252" s="3" t="s">
        <v>24</v>
      </c>
      <c r="G252" s="3" t="s">
        <v>25</v>
      </c>
      <c r="H252" s="3" t="s">
        <v>26</v>
      </c>
      <c r="I252" s="3" t="s">
        <v>27</v>
      </c>
      <c r="J252" s="3" t="s">
        <v>28</v>
      </c>
      <c r="K252" s="4" t="s">
        <v>28</v>
      </c>
      <c r="L252" s="4" t="s">
        <v>1436</v>
      </c>
      <c r="M252" s="4" t="s">
        <v>1437</v>
      </c>
      <c r="N252" s="4"/>
      <c r="O252" s="4"/>
      <c r="P252" s="4"/>
      <c r="Q252" s="4"/>
      <c r="R252" s="3" t="str">
        <f t="shared" si="0"/>
        <v>Outstanding</v>
      </c>
      <c r="S252" s="11" t="s">
        <v>28</v>
      </c>
    </row>
    <row r="253" spans="1:19" ht="60" customHeight="1" x14ac:dyDescent="0.35">
      <c r="A253" s="9" t="s">
        <v>1433</v>
      </c>
      <c r="B253" s="2" t="s">
        <v>1438</v>
      </c>
      <c r="C253" s="1" t="s">
        <v>1439</v>
      </c>
      <c r="D253" s="3" t="s">
        <v>532</v>
      </c>
      <c r="E253" s="3" t="s">
        <v>23</v>
      </c>
      <c r="F253" s="3" t="s">
        <v>48</v>
      </c>
      <c r="G253" s="3" t="s">
        <v>25</v>
      </c>
      <c r="H253" s="3" t="s">
        <v>26</v>
      </c>
      <c r="I253" s="3" t="s">
        <v>27</v>
      </c>
      <c r="J253" s="3" t="s">
        <v>28</v>
      </c>
      <c r="K253" s="4" t="s">
        <v>28</v>
      </c>
      <c r="L253" s="4" t="s">
        <v>1440</v>
      </c>
      <c r="M253" s="4" t="s">
        <v>1441</v>
      </c>
      <c r="N253" s="4" t="s">
        <v>1442</v>
      </c>
      <c r="O253" s="4" t="s">
        <v>1443</v>
      </c>
      <c r="P253" s="4" t="s">
        <v>1444</v>
      </c>
      <c r="Q253" s="4" t="s">
        <v>1445</v>
      </c>
      <c r="R253" s="3" t="str">
        <f t="shared" si="0"/>
        <v>Outstanding</v>
      </c>
      <c r="S253" s="11" t="s">
        <v>28</v>
      </c>
    </row>
    <row r="254" spans="1:19" ht="60" customHeight="1" x14ac:dyDescent="0.35">
      <c r="A254" s="9" t="s">
        <v>1433</v>
      </c>
      <c r="B254" s="2" t="s">
        <v>1446</v>
      </c>
      <c r="C254" s="1" t="s">
        <v>1447</v>
      </c>
      <c r="D254" s="3" t="s">
        <v>532</v>
      </c>
      <c r="E254" s="3" t="s">
        <v>23</v>
      </c>
      <c r="F254" s="3" t="s">
        <v>48</v>
      </c>
      <c r="G254" s="3" t="s">
        <v>25</v>
      </c>
      <c r="H254" s="3" t="s">
        <v>26</v>
      </c>
      <c r="I254" s="3" t="s">
        <v>27</v>
      </c>
      <c r="J254" s="3" t="s">
        <v>28</v>
      </c>
      <c r="K254" s="4" t="s">
        <v>28</v>
      </c>
      <c r="L254" s="4" t="s">
        <v>1448</v>
      </c>
      <c r="M254" s="4" t="s">
        <v>1449</v>
      </c>
      <c r="N254" s="4" t="s">
        <v>1450</v>
      </c>
      <c r="O254" s="4" t="s">
        <v>265</v>
      </c>
      <c r="P254" s="4" t="s">
        <v>1451</v>
      </c>
      <c r="Q254" s="4" t="s">
        <v>1452</v>
      </c>
      <c r="R254" s="3" t="str">
        <f t="shared" si="0"/>
        <v>Outstanding</v>
      </c>
      <c r="S254" s="11" t="s">
        <v>28</v>
      </c>
    </row>
    <row r="255" spans="1:19" ht="60" customHeight="1" x14ac:dyDescent="0.35">
      <c r="A255" s="9" t="s">
        <v>1433</v>
      </c>
      <c r="B255" s="2" t="s">
        <v>1453</v>
      </c>
      <c r="C255" s="1" t="s">
        <v>1454</v>
      </c>
      <c r="D255" s="3" t="s">
        <v>532</v>
      </c>
      <c r="E255" s="3" t="s">
        <v>23</v>
      </c>
      <c r="F255" s="3" t="s">
        <v>48</v>
      </c>
      <c r="G255" s="3" t="s">
        <v>25</v>
      </c>
      <c r="H255" s="3" t="s">
        <v>26</v>
      </c>
      <c r="I255" s="3" t="s">
        <v>27</v>
      </c>
      <c r="J255" s="3" t="s">
        <v>28</v>
      </c>
      <c r="K255" s="4" t="s">
        <v>28</v>
      </c>
      <c r="L255" s="4" t="s">
        <v>1455</v>
      </c>
      <c r="M255" s="4" t="s">
        <v>1456</v>
      </c>
      <c r="N255" s="4" t="s">
        <v>1457</v>
      </c>
      <c r="O255" s="4" t="s">
        <v>1458</v>
      </c>
      <c r="P255" s="4" t="s">
        <v>541</v>
      </c>
      <c r="Q255" s="4" t="s">
        <v>1459</v>
      </c>
      <c r="R255" s="3" t="str">
        <f t="shared" si="0"/>
        <v>Outstanding</v>
      </c>
      <c r="S255" s="11" t="s">
        <v>28</v>
      </c>
    </row>
    <row r="256" spans="1:19" ht="60" customHeight="1" x14ac:dyDescent="0.35">
      <c r="A256" s="9" t="s">
        <v>1433</v>
      </c>
      <c r="B256" s="2" t="s">
        <v>1460</v>
      </c>
      <c r="C256" s="1" t="s">
        <v>1461</v>
      </c>
      <c r="D256" s="3" t="s">
        <v>532</v>
      </c>
      <c r="E256" s="3" t="s">
        <v>23</v>
      </c>
      <c r="F256" s="3" t="s">
        <v>48</v>
      </c>
      <c r="G256" s="3" t="s">
        <v>25</v>
      </c>
      <c r="H256" s="3" t="s">
        <v>26</v>
      </c>
      <c r="I256" s="3" t="s">
        <v>27</v>
      </c>
      <c r="J256" s="3" t="s">
        <v>28</v>
      </c>
      <c r="K256" s="4" t="s">
        <v>28</v>
      </c>
      <c r="L256" s="4" t="s">
        <v>1462</v>
      </c>
      <c r="M256" s="4" t="s">
        <v>1463</v>
      </c>
      <c r="N256" s="4" t="s">
        <v>1464</v>
      </c>
      <c r="O256" s="4" t="s">
        <v>1465</v>
      </c>
      <c r="P256" s="4" t="s">
        <v>541</v>
      </c>
      <c r="Q256" s="4" t="s">
        <v>1466</v>
      </c>
      <c r="R256" s="3" t="str">
        <f t="shared" si="0"/>
        <v>Outstanding</v>
      </c>
      <c r="S256" s="11" t="s">
        <v>28</v>
      </c>
    </row>
    <row r="257" spans="1:19" ht="60" customHeight="1" x14ac:dyDescent="0.35">
      <c r="A257" s="9" t="s">
        <v>1433</v>
      </c>
      <c r="B257" s="2" t="s">
        <v>1467</v>
      </c>
      <c r="C257" s="1" t="s">
        <v>1468</v>
      </c>
      <c r="D257" s="3" t="s">
        <v>532</v>
      </c>
      <c r="E257" s="3" t="s">
        <v>23</v>
      </c>
      <c r="F257" s="3" t="s">
        <v>48</v>
      </c>
      <c r="G257" s="3" t="s">
        <v>25</v>
      </c>
      <c r="H257" s="3" t="s">
        <v>26</v>
      </c>
      <c r="I257" s="3" t="s">
        <v>27</v>
      </c>
      <c r="J257" s="3" t="s">
        <v>28</v>
      </c>
      <c r="K257" s="4" t="s">
        <v>28</v>
      </c>
      <c r="L257" s="4" t="s">
        <v>1469</v>
      </c>
      <c r="M257" s="4" t="s">
        <v>1470</v>
      </c>
      <c r="N257" s="4" t="s">
        <v>1471</v>
      </c>
      <c r="O257" s="4" t="s">
        <v>1472</v>
      </c>
      <c r="P257" s="4" t="s">
        <v>1473</v>
      </c>
      <c r="Q257" s="4" t="s">
        <v>1474</v>
      </c>
      <c r="R257" s="3" t="str">
        <f t="shared" ref="R257:R419" si="1">IF(OR(J257="Implemented",J257="Compensated"),"Resolved",IF(OR(J257="Risk Accepted",J257="N/A"),"Excluded",IF(J257="Testing","Testing","Outstanding")))</f>
        <v>Outstanding</v>
      </c>
      <c r="S257" s="11" t="s">
        <v>28</v>
      </c>
    </row>
    <row r="258" spans="1:19" ht="60" customHeight="1" x14ac:dyDescent="0.35">
      <c r="A258" s="9" t="s">
        <v>1433</v>
      </c>
      <c r="B258" s="2" t="s">
        <v>1475</v>
      </c>
      <c r="C258" s="1" t="s">
        <v>1476</v>
      </c>
      <c r="D258" s="3" t="s">
        <v>532</v>
      </c>
      <c r="E258" s="3" t="s">
        <v>23</v>
      </c>
      <c r="F258" s="3" t="s">
        <v>48</v>
      </c>
      <c r="G258" s="3" t="s">
        <v>25</v>
      </c>
      <c r="H258" s="3" t="s">
        <v>26</v>
      </c>
      <c r="I258" s="3" t="s">
        <v>27</v>
      </c>
      <c r="J258" s="3" t="s">
        <v>28</v>
      </c>
      <c r="K258" s="4" t="s">
        <v>28</v>
      </c>
      <c r="L258" s="4" t="s">
        <v>1477</v>
      </c>
      <c r="M258" s="4" t="s">
        <v>1478</v>
      </c>
      <c r="N258" s="4" t="s">
        <v>1479</v>
      </c>
      <c r="O258" s="4" t="s">
        <v>1480</v>
      </c>
      <c r="P258" s="4" t="s">
        <v>541</v>
      </c>
      <c r="Q258" s="4" t="s">
        <v>1481</v>
      </c>
      <c r="R258" s="3" t="str">
        <f t="shared" si="1"/>
        <v>Outstanding</v>
      </c>
      <c r="S258" s="11" t="s">
        <v>28</v>
      </c>
    </row>
    <row r="259" spans="1:19" ht="60" customHeight="1" x14ac:dyDescent="0.35">
      <c r="A259" s="9" t="s">
        <v>1433</v>
      </c>
      <c r="B259" s="2" t="s">
        <v>1482</v>
      </c>
      <c r="C259" s="1" t="s">
        <v>1483</v>
      </c>
      <c r="D259" s="3" t="s">
        <v>532</v>
      </c>
      <c r="E259" s="3" t="s">
        <v>23</v>
      </c>
      <c r="F259" s="3" t="s">
        <v>48</v>
      </c>
      <c r="G259" s="3" t="s">
        <v>25</v>
      </c>
      <c r="H259" s="3" t="s">
        <v>26</v>
      </c>
      <c r="I259" s="3" t="s">
        <v>27</v>
      </c>
      <c r="J259" s="3" t="s">
        <v>28</v>
      </c>
      <c r="K259" s="4" t="s">
        <v>28</v>
      </c>
      <c r="L259" s="4" t="s">
        <v>1484</v>
      </c>
      <c r="M259" s="4" t="s">
        <v>1485</v>
      </c>
      <c r="N259" s="4" t="s">
        <v>1486</v>
      </c>
      <c r="O259" s="4" t="s">
        <v>1487</v>
      </c>
      <c r="P259" s="4" t="s">
        <v>541</v>
      </c>
      <c r="Q259" s="4" t="s">
        <v>198</v>
      </c>
      <c r="R259" s="3" t="str">
        <f t="shared" si="1"/>
        <v>Outstanding</v>
      </c>
      <c r="S259" s="11" t="s">
        <v>28</v>
      </c>
    </row>
    <row r="260" spans="1:19" ht="60" customHeight="1" x14ac:dyDescent="0.35">
      <c r="A260" s="9" t="s">
        <v>1433</v>
      </c>
      <c r="B260" s="2" t="s">
        <v>1488</v>
      </c>
      <c r="C260" s="1" t="s">
        <v>1489</v>
      </c>
      <c r="D260" s="3" t="s">
        <v>532</v>
      </c>
      <c r="E260" s="3" t="s">
        <v>23</v>
      </c>
      <c r="F260" s="3" t="s">
        <v>48</v>
      </c>
      <c r="G260" s="3" t="s">
        <v>25</v>
      </c>
      <c r="H260" s="3" t="s">
        <v>26</v>
      </c>
      <c r="I260" s="3" t="s">
        <v>27</v>
      </c>
      <c r="J260" s="3" t="s">
        <v>28</v>
      </c>
      <c r="K260" s="4" t="s">
        <v>28</v>
      </c>
      <c r="L260" s="4" t="s">
        <v>1490</v>
      </c>
      <c r="M260" s="4" t="s">
        <v>1491</v>
      </c>
      <c r="N260" s="4" t="s">
        <v>1492</v>
      </c>
      <c r="O260" s="4" t="s">
        <v>265</v>
      </c>
      <c r="P260" s="4" t="s">
        <v>1493</v>
      </c>
      <c r="Q260" s="4" t="s">
        <v>720</v>
      </c>
      <c r="R260" s="3" t="str">
        <f t="shared" si="1"/>
        <v>Outstanding</v>
      </c>
      <c r="S260" s="11" t="s">
        <v>28</v>
      </c>
    </row>
    <row r="261" spans="1:19" ht="60" customHeight="1" x14ac:dyDescent="0.35">
      <c r="A261" s="9" t="s">
        <v>1494</v>
      </c>
      <c r="B261" s="2" t="s">
        <v>1495</v>
      </c>
      <c r="C261" s="1" t="s">
        <v>1496</v>
      </c>
      <c r="D261" s="3" t="s">
        <v>532</v>
      </c>
      <c r="E261" s="3" t="s">
        <v>23</v>
      </c>
      <c r="F261" s="3" t="s">
        <v>24</v>
      </c>
      <c r="G261" s="3" t="s">
        <v>25</v>
      </c>
      <c r="H261" s="3" t="s">
        <v>26</v>
      </c>
      <c r="I261" s="3" t="s">
        <v>27</v>
      </c>
      <c r="J261" s="3" t="s">
        <v>28</v>
      </c>
      <c r="K261" s="4" t="s">
        <v>28</v>
      </c>
      <c r="L261" s="4" t="s">
        <v>1497</v>
      </c>
      <c r="M261" s="4" t="s">
        <v>1498</v>
      </c>
      <c r="N261" s="4"/>
      <c r="O261" s="4"/>
      <c r="P261" s="4"/>
      <c r="Q261" s="4"/>
      <c r="R261" s="3" t="str">
        <f t="shared" si="1"/>
        <v>Outstanding</v>
      </c>
      <c r="S261" s="11" t="s">
        <v>28</v>
      </c>
    </row>
    <row r="262" spans="1:19" ht="60" customHeight="1" x14ac:dyDescent="0.35">
      <c r="A262" s="9" t="s">
        <v>1494</v>
      </c>
      <c r="B262" s="2" t="s">
        <v>1499</v>
      </c>
      <c r="C262" s="1" t="s">
        <v>1500</v>
      </c>
      <c r="D262" s="3" t="s">
        <v>532</v>
      </c>
      <c r="E262" s="3" t="s">
        <v>23</v>
      </c>
      <c r="F262" s="3" t="s">
        <v>48</v>
      </c>
      <c r="G262" s="3" t="s">
        <v>25</v>
      </c>
      <c r="H262" s="3" t="s">
        <v>26</v>
      </c>
      <c r="I262" s="3" t="s">
        <v>27</v>
      </c>
      <c r="J262" s="3" t="s">
        <v>28</v>
      </c>
      <c r="K262" s="4" t="s">
        <v>28</v>
      </c>
      <c r="L262" s="4" t="s">
        <v>1501</v>
      </c>
      <c r="M262" s="4" t="s">
        <v>1502</v>
      </c>
      <c r="N262" s="4" t="s">
        <v>1503</v>
      </c>
      <c r="O262" s="4" t="s">
        <v>1504</v>
      </c>
      <c r="P262" s="4" t="s">
        <v>1505</v>
      </c>
      <c r="Q262" s="4" t="s">
        <v>1506</v>
      </c>
      <c r="R262" s="3" t="str">
        <f t="shared" si="1"/>
        <v>Outstanding</v>
      </c>
      <c r="S262" s="11" t="s">
        <v>28</v>
      </c>
    </row>
    <row r="263" spans="1:19" ht="60" customHeight="1" x14ac:dyDescent="0.35">
      <c r="A263" s="9" t="s">
        <v>1494</v>
      </c>
      <c r="B263" s="2" t="s">
        <v>1507</v>
      </c>
      <c r="C263" s="1" t="s">
        <v>1508</v>
      </c>
      <c r="D263" s="3" t="s">
        <v>532</v>
      </c>
      <c r="E263" s="3" t="s">
        <v>23</v>
      </c>
      <c r="F263" s="3" t="s">
        <v>48</v>
      </c>
      <c r="G263" s="3" t="s">
        <v>25</v>
      </c>
      <c r="H263" s="3" t="s">
        <v>26</v>
      </c>
      <c r="I263" s="3" t="s">
        <v>27</v>
      </c>
      <c r="J263" s="3" t="s">
        <v>28</v>
      </c>
      <c r="K263" s="4" t="s">
        <v>28</v>
      </c>
      <c r="L263" s="4" t="s">
        <v>1509</v>
      </c>
      <c r="M263" s="4" t="s">
        <v>1502</v>
      </c>
      <c r="N263" s="4" t="s">
        <v>1503</v>
      </c>
      <c r="O263" s="4" t="s">
        <v>1510</v>
      </c>
      <c r="P263" s="4" t="s">
        <v>1511</v>
      </c>
      <c r="Q263" s="4" t="s">
        <v>1506</v>
      </c>
      <c r="R263" s="3" t="str">
        <f t="shared" si="1"/>
        <v>Outstanding</v>
      </c>
      <c r="S263" s="11" t="s">
        <v>28</v>
      </c>
    </row>
    <row r="264" spans="1:19" ht="60" customHeight="1" x14ac:dyDescent="0.35">
      <c r="A264" s="9" t="s">
        <v>1494</v>
      </c>
      <c r="B264" s="2" t="s">
        <v>1512</v>
      </c>
      <c r="C264" s="1" t="s">
        <v>1513</v>
      </c>
      <c r="D264" s="3" t="s">
        <v>532</v>
      </c>
      <c r="E264" s="3" t="s">
        <v>23</v>
      </c>
      <c r="F264" s="3" t="s">
        <v>48</v>
      </c>
      <c r="G264" s="3" t="s">
        <v>25</v>
      </c>
      <c r="H264" s="3" t="s">
        <v>26</v>
      </c>
      <c r="I264" s="3" t="s">
        <v>27</v>
      </c>
      <c r="J264" s="3" t="s">
        <v>28</v>
      </c>
      <c r="K264" s="4" t="s">
        <v>28</v>
      </c>
      <c r="L264" s="4" t="s">
        <v>1514</v>
      </c>
      <c r="M264" s="4" t="s">
        <v>1515</v>
      </c>
      <c r="N264" s="4" t="s">
        <v>1516</v>
      </c>
      <c r="O264" s="4" t="s">
        <v>265</v>
      </c>
      <c r="P264" s="4" t="s">
        <v>1517</v>
      </c>
      <c r="Q264" s="4" t="s">
        <v>1518</v>
      </c>
      <c r="R264" s="3" t="str">
        <f t="shared" si="1"/>
        <v>Outstanding</v>
      </c>
      <c r="S264" s="11" t="s">
        <v>28</v>
      </c>
    </row>
    <row r="265" spans="1:19" ht="60" customHeight="1" x14ac:dyDescent="0.35">
      <c r="A265" s="9" t="s">
        <v>1494</v>
      </c>
      <c r="B265" s="2" t="s">
        <v>1519</v>
      </c>
      <c r="C265" s="1" t="s">
        <v>1520</v>
      </c>
      <c r="D265" s="3" t="s">
        <v>532</v>
      </c>
      <c r="E265" s="3" t="s">
        <v>23</v>
      </c>
      <c r="F265" s="3" t="s">
        <v>48</v>
      </c>
      <c r="G265" s="3" t="s">
        <v>25</v>
      </c>
      <c r="H265" s="3" t="s">
        <v>26</v>
      </c>
      <c r="I265" s="3" t="s">
        <v>27</v>
      </c>
      <c r="J265" s="3" t="s">
        <v>28</v>
      </c>
      <c r="K265" s="4" t="s">
        <v>28</v>
      </c>
      <c r="L265" s="4" t="s">
        <v>1521</v>
      </c>
      <c r="M265" s="4" t="s">
        <v>1515</v>
      </c>
      <c r="N265" s="4" t="s">
        <v>1516</v>
      </c>
      <c r="O265" s="4" t="s">
        <v>265</v>
      </c>
      <c r="P265" s="4" t="s">
        <v>1522</v>
      </c>
      <c r="Q265" s="4" t="s">
        <v>1523</v>
      </c>
      <c r="R265" s="3" t="str">
        <f t="shared" si="1"/>
        <v>Outstanding</v>
      </c>
      <c r="S265" s="11" t="s">
        <v>28</v>
      </c>
    </row>
    <row r="266" spans="1:19" ht="60" customHeight="1" x14ac:dyDescent="0.35">
      <c r="A266" s="9" t="s">
        <v>1494</v>
      </c>
      <c r="B266" s="2" t="s">
        <v>1524</v>
      </c>
      <c r="C266" s="1" t="s">
        <v>1525</v>
      </c>
      <c r="D266" s="3" t="s">
        <v>532</v>
      </c>
      <c r="E266" s="3" t="s">
        <v>23</v>
      </c>
      <c r="F266" s="3" t="s">
        <v>48</v>
      </c>
      <c r="G266" s="3" t="s">
        <v>25</v>
      </c>
      <c r="H266" s="3" t="s">
        <v>26</v>
      </c>
      <c r="I266" s="3" t="s">
        <v>27</v>
      </c>
      <c r="J266" s="3" t="s">
        <v>28</v>
      </c>
      <c r="K266" s="4" t="s">
        <v>28</v>
      </c>
      <c r="L266" s="4" t="s">
        <v>1526</v>
      </c>
      <c r="M266" s="4"/>
      <c r="N266" s="4"/>
      <c r="O266" s="4"/>
      <c r="P266" s="4"/>
      <c r="Q266" s="4"/>
      <c r="R266" s="3" t="str">
        <f t="shared" si="1"/>
        <v>Outstanding</v>
      </c>
      <c r="S266" s="11" t="s">
        <v>28</v>
      </c>
    </row>
    <row r="267" spans="1:19" ht="60" customHeight="1" x14ac:dyDescent="0.35">
      <c r="A267" s="9" t="s">
        <v>1494</v>
      </c>
      <c r="B267" s="2" t="s">
        <v>1527</v>
      </c>
      <c r="C267" s="1" t="s">
        <v>1528</v>
      </c>
      <c r="D267" s="3" t="s">
        <v>532</v>
      </c>
      <c r="E267" s="3" t="s">
        <v>23</v>
      </c>
      <c r="F267" s="3" t="s">
        <v>48</v>
      </c>
      <c r="G267" s="3" t="s">
        <v>25</v>
      </c>
      <c r="H267" s="3" t="s">
        <v>26</v>
      </c>
      <c r="I267" s="3" t="s">
        <v>27</v>
      </c>
      <c r="J267" s="3" t="s">
        <v>28</v>
      </c>
      <c r="K267" s="4" t="s">
        <v>28</v>
      </c>
      <c r="L267" s="4" t="s">
        <v>1529</v>
      </c>
      <c r="M267" s="4"/>
      <c r="N267" s="4"/>
      <c r="O267" s="4"/>
      <c r="P267" s="4"/>
      <c r="Q267" s="4"/>
      <c r="R267" s="3" t="str">
        <f t="shared" si="1"/>
        <v>Outstanding</v>
      </c>
      <c r="S267" s="11" t="s">
        <v>28</v>
      </c>
    </row>
    <row r="268" spans="1:19" ht="60" customHeight="1" x14ac:dyDescent="0.35">
      <c r="A268" s="9" t="s">
        <v>1494</v>
      </c>
      <c r="B268" s="2" t="s">
        <v>1530</v>
      </c>
      <c r="C268" s="1" t="s">
        <v>1531</v>
      </c>
      <c r="D268" s="3" t="s">
        <v>532</v>
      </c>
      <c r="E268" s="3" t="s">
        <v>23</v>
      </c>
      <c r="F268" s="3" t="s">
        <v>48</v>
      </c>
      <c r="G268" s="3" t="s">
        <v>25</v>
      </c>
      <c r="H268" s="3" t="s">
        <v>26</v>
      </c>
      <c r="I268" s="3" t="s">
        <v>27</v>
      </c>
      <c r="J268" s="3" t="s">
        <v>28</v>
      </c>
      <c r="K268" s="4" t="s">
        <v>28</v>
      </c>
      <c r="L268" s="4" t="s">
        <v>1532</v>
      </c>
      <c r="M268" s="4"/>
      <c r="N268" s="4"/>
      <c r="O268" s="4"/>
      <c r="P268" s="4"/>
      <c r="Q268" s="4"/>
      <c r="R268" s="3" t="str">
        <f t="shared" si="1"/>
        <v>Outstanding</v>
      </c>
      <c r="S268" s="11" t="s">
        <v>28</v>
      </c>
    </row>
    <row r="269" spans="1:19" ht="60" customHeight="1" x14ac:dyDescent="0.35">
      <c r="A269" s="9" t="s">
        <v>1494</v>
      </c>
      <c r="B269" s="2" t="s">
        <v>1533</v>
      </c>
      <c r="C269" s="1" t="s">
        <v>1534</v>
      </c>
      <c r="D269" s="3" t="s">
        <v>532</v>
      </c>
      <c r="E269" s="3" t="s">
        <v>23</v>
      </c>
      <c r="F269" s="3" t="s">
        <v>48</v>
      </c>
      <c r="G269" s="3" t="s">
        <v>25</v>
      </c>
      <c r="H269" s="3" t="s">
        <v>26</v>
      </c>
      <c r="I269" s="3" t="s">
        <v>27</v>
      </c>
      <c r="J269" s="3" t="s">
        <v>28</v>
      </c>
      <c r="K269" s="4" t="s">
        <v>28</v>
      </c>
      <c r="L269" s="4" t="s">
        <v>1535</v>
      </c>
      <c r="M269" s="4"/>
      <c r="N269" s="4"/>
      <c r="O269" s="4"/>
      <c r="P269" s="4"/>
      <c r="Q269" s="4"/>
      <c r="R269" s="3" t="str">
        <f t="shared" si="1"/>
        <v>Outstanding</v>
      </c>
      <c r="S269" s="11" t="s">
        <v>28</v>
      </c>
    </row>
    <row r="270" spans="1:19" ht="60" customHeight="1" x14ac:dyDescent="0.35">
      <c r="A270" s="9" t="s">
        <v>1494</v>
      </c>
      <c r="B270" s="2" t="s">
        <v>1536</v>
      </c>
      <c r="C270" s="1" t="s">
        <v>1537</v>
      </c>
      <c r="D270" s="3" t="s">
        <v>532</v>
      </c>
      <c r="E270" s="3" t="s">
        <v>23</v>
      </c>
      <c r="F270" s="3" t="s">
        <v>48</v>
      </c>
      <c r="G270" s="3" t="s">
        <v>25</v>
      </c>
      <c r="H270" s="3" t="s">
        <v>26</v>
      </c>
      <c r="I270" s="3" t="s">
        <v>27</v>
      </c>
      <c r="J270" s="3" t="s">
        <v>28</v>
      </c>
      <c r="K270" s="4" t="s">
        <v>28</v>
      </c>
      <c r="L270" s="4" t="s">
        <v>1538</v>
      </c>
      <c r="M270" s="4"/>
      <c r="N270" s="4"/>
      <c r="O270" s="4"/>
      <c r="P270" s="4"/>
      <c r="Q270" s="4"/>
      <c r="R270" s="3" t="str">
        <f t="shared" si="1"/>
        <v>Outstanding</v>
      </c>
      <c r="S270" s="11" t="s">
        <v>28</v>
      </c>
    </row>
    <row r="271" spans="1:19" ht="60" customHeight="1" x14ac:dyDescent="0.35">
      <c r="A271" s="9" t="s">
        <v>1494</v>
      </c>
      <c r="B271" s="2" t="s">
        <v>1539</v>
      </c>
      <c r="C271" s="1" t="s">
        <v>1540</v>
      </c>
      <c r="D271" s="3" t="s">
        <v>532</v>
      </c>
      <c r="E271" s="3" t="s">
        <v>23</v>
      </c>
      <c r="F271" s="3" t="s">
        <v>48</v>
      </c>
      <c r="G271" s="3" t="s">
        <v>25</v>
      </c>
      <c r="H271" s="3" t="s">
        <v>26</v>
      </c>
      <c r="I271" s="3" t="s">
        <v>27</v>
      </c>
      <c r="J271" s="3" t="s">
        <v>28</v>
      </c>
      <c r="K271" s="4" t="s">
        <v>28</v>
      </c>
      <c r="L271" s="4" t="s">
        <v>1541</v>
      </c>
      <c r="M271" s="4"/>
      <c r="N271" s="4"/>
      <c r="O271" s="4"/>
      <c r="P271" s="4"/>
      <c r="Q271" s="4"/>
      <c r="R271" s="3" t="str">
        <f t="shared" si="1"/>
        <v>Outstanding</v>
      </c>
      <c r="S271" s="11" t="s">
        <v>28</v>
      </c>
    </row>
    <row r="272" spans="1:19" ht="60" customHeight="1" x14ac:dyDescent="0.35">
      <c r="A272" s="9" t="s">
        <v>1494</v>
      </c>
      <c r="B272" s="2" t="s">
        <v>1542</v>
      </c>
      <c r="C272" s="1" t="s">
        <v>1543</v>
      </c>
      <c r="D272" s="3" t="s">
        <v>532</v>
      </c>
      <c r="E272" s="3" t="s">
        <v>23</v>
      </c>
      <c r="F272" s="3" t="s">
        <v>48</v>
      </c>
      <c r="G272" s="3" t="s">
        <v>25</v>
      </c>
      <c r="H272" s="3" t="s">
        <v>26</v>
      </c>
      <c r="I272" s="3" t="s">
        <v>27</v>
      </c>
      <c r="J272" s="3" t="s">
        <v>28</v>
      </c>
      <c r="K272" s="4" t="s">
        <v>28</v>
      </c>
      <c r="L272" s="4" t="s">
        <v>1544</v>
      </c>
      <c r="M272" s="4"/>
      <c r="N272" s="4"/>
      <c r="O272" s="4"/>
      <c r="P272" s="4"/>
      <c r="Q272" s="4"/>
      <c r="R272" s="3" t="str">
        <f t="shared" si="1"/>
        <v>Outstanding</v>
      </c>
      <c r="S272" s="11" t="s">
        <v>28</v>
      </c>
    </row>
    <row r="273" spans="1:19" ht="60" customHeight="1" x14ac:dyDescent="0.35">
      <c r="A273" s="9" t="s">
        <v>1494</v>
      </c>
      <c r="B273" s="2" t="s">
        <v>1545</v>
      </c>
      <c r="C273" s="1" t="s">
        <v>1546</v>
      </c>
      <c r="D273" s="3" t="s">
        <v>532</v>
      </c>
      <c r="E273" s="3" t="s">
        <v>23</v>
      </c>
      <c r="F273" s="3" t="s">
        <v>48</v>
      </c>
      <c r="G273" s="3" t="s">
        <v>25</v>
      </c>
      <c r="H273" s="3" t="s">
        <v>26</v>
      </c>
      <c r="I273" s="3" t="s">
        <v>27</v>
      </c>
      <c r="J273" s="3" t="s">
        <v>28</v>
      </c>
      <c r="K273" s="4" t="s">
        <v>28</v>
      </c>
      <c r="L273" s="4" t="s">
        <v>1547</v>
      </c>
      <c r="M273" s="4"/>
      <c r="N273" s="4"/>
      <c r="O273" s="4"/>
      <c r="P273" s="4"/>
      <c r="Q273" s="4"/>
      <c r="R273" s="3" t="str">
        <f t="shared" si="1"/>
        <v>Outstanding</v>
      </c>
      <c r="S273" s="11" t="s">
        <v>28</v>
      </c>
    </row>
    <row r="274" spans="1:19" ht="60" customHeight="1" x14ac:dyDescent="0.35">
      <c r="A274" s="9" t="s">
        <v>1494</v>
      </c>
      <c r="B274" s="2" t="s">
        <v>1548</v>
      </c>
      <c r="C274" s="1" t="s">
        <v>1549</v>
      </c>
      <c r="D274" s="3" t="s">
        <v>532</v>
      </c>
      <c r="E274" s="3" t="s">
        <v>23</v>
      </c>
      <c r="F274" s="3" t="s">
        <v>48</v>
      </c>
      <c r="G274" s="3" t="s">
        <v>25</v>
      </c>
      <c r="H274" s="3" t="s">
        <v>26</v>
      </c>
      <c r="I274" s="3" t="s">
        <v>27</v>
      </c>
      <c r="J274" s="3" t="s">
        <v>28</v>
      </c>
      <c r="K274" s="4" t="s">
        <v>28</v>
      </c>
      <c r="L274" s="4" t="s">
        <v>1550</v>
      </c>
      <c r="M274" s="4"/>
      <c r="N274" s="4"/>
      <c r="O274" s="4"/>
      <c r="P274" s="4"/>
      <c r="Q274" s="4"/>
      <c r="R274" s="3" t="str">
        <f t="shared" si="1"/>
        <v>Outstanding</v>
      </c>
      <c r="S274" s="11" t="s">
        <v>28</v>
      </c>
    </row>
    <row r="275" spans="1:19" ht="60" customHeight="1" x14ac:dyDescent="0.35">
      <c r="A275" s="9" t="s">
        <v>1494</v>
      </c>
      <c r="B275" s="2" t="s">
        <v>1551</v>
      </c>
      <c r="C275" s="1" t="s">
        <v>1552</v>
      </c>
      <c r="D275" s="3" t="s">
        <v>532</v>
      </c>
      <c r="E275" s="3" t="s">
        <v>23</v>
      </c>
      <c r="F275" s="3" t="s">
        <v>48</v>
      </c>
      <c r="G275" s="3" t="s">
        <v>25</v>
      </c>
      <c r="H275" s="3" t="s">
        <v>26</v>
      </c>
      <c r="I275" s="3" t="s">
        <v>27</v>
      </c>
      <c r="J275" s="3" t="s">
        <v>28</v>
      </c>
      <c r="K275" s="4" t="s">
        <v>28</v>
      </c>
      <c r="L275" s="4" t="s">
        <v>1553</v>
      </c>
      <c r="M275" s="4"/>
      <c r="N275" s="4"/>
      <c r="O275" s="4"/>
      <c r="P275" s="4"/>
      <c r="Q275" s="4"/>
      <c r="R275" s="3" t="str">
        <f t="shared" si="1"/>
        <v>Outstanding</v>
      </c>
      <c r="S275" s="11" t="s">
        <v>28</v>
      </c>
    </row>
    <row r="276" spans="1:19" ht="60" customHeight="1" x14ac:dyDescent="0.35">
      <c r="A276" s="9" t="s">
        <v>1554</v>
      </c>
      <c r="B276" s="2" t="s">
        <v>1555</v>
      </c>
      <c r="C276" s="1" t="s">
        <v>1556</v>
      </c>
      <c r="D276" s="3" t="s">
        <v>532</v>
      </c>
      <c r="E276" s="3" t="s">
        <v>23</v>
      </c>
      <c r="F276" s="3" t="s">
        <v>24</v>
      </c>
      <c r="G276" s="3" t="s">
        <v>25</v>
      </c>
      <c r="H276" s="3" t="s">
        <v>26</v>
      </c>
      <c r="I276" s="3" t="s">
        <v>27</v>
      </c>
      <c r="J276" s="3" t="s">
        <v>28</v>
      </c>
      <c r="K276" s="4" t="s">
        <v>28</v>
      </c>
      <c r="L276" s="4" t="s">
        <v>1557</v>
      </c>
      <c r="M276" s="4" t="s">
        <v>1558</v>
      </c>
      <c r="N276" s="4"/>
      <c r="O276" s="4"/>
      <c r="P276" s="4"/>
      <c r="Q276" s="4"/>
      <c r="R276" s="3" t="str">
        <f t="shared" si="1"/>
        <v>Outstanding</v>
      </c>
      <c r="S276" s="11" t="s">
        <v>28</v>
      </c>
    </row>
    <row r="277" spans="1:19" ht="60" customHeight="1" x14ac:dyDescent="0.35">
      <c r="A277" s="9" t="s">
        <v>1554</v>
      </c>
      <c r="B277" s="2" t="s">
        <v>1559</v>
      </c>
      <c r="C277" s="1" t="s">
        <v>1560</v>
      </c>
      <c r="D277" s="3" t="s">
        <v>532</v>
      </c>
      <c r="E277" s="3" t="s">
        <v>23</v>
      </c>
      <c r="F277" s="3" t="s">
        <v>48</v>
      </c>
      <c r="G277" s="3" t="s">
        <v>25</v>
      </c>
      <c r="H277" s="3" t="s">
        <v>26</v>
      </c>
      <c r="I277" s="3" t="s">
        <v>27</v>
      </c>
      <c r="J277" s="3" t="s">
        <v>28</v>
      </c>
      <c r="K277" s="4" t="s">
        <v>28</v>
      </c>
      <c r="L277" s="4" t="s">
        <v>1561</v>
      </c>
      <c r="M277" s="4"/>
      <c r="N277" s="4"/>
      <c r="O277" s="4"/>
      <c r="P277" s="4"/>
      <c r="Q277" s="4"/>
      <c r="R277" s="3" t="str">
        <f t="shared" si="1"/>
        <v>Outstanding</v>
      </c>
      <c r="S277" s="11" t="s">
        <v>28</v>
      </c>
    </row>
    <row r="278" spans="1:19" ht="60" customHeight="1" x14ac:dyDescent="0.35">
      <c r="A278" s="9" t="s">
        <v>1554</v>
      </c>
      <c r="B278" s="2" t="s">
        <v>1562</v>
      </c>
      <c r="C278" s="1" t="s">
        <v>1563</v>
      </c>
      <c r="D278" s="3" t="s">
        <v>532</v>
      </c>
      <c r="E278" s="3" t="s">
        <v>23</v>
      </c>
      <c r="F278" s="3" t="s">
        <v>48</v>
      </c>
      <c r="G278" s="3" t="s">
        <v>25</v>
      </c>
      <c r="H278" s="3" t="s">
        <v>26</v>
      </c>
      <c r="I278" s="3" t="s">
        <v>27</v>
      </c>
      <c r="J278" s="3" t="s">
        <v>28</v>
      </c>
      <c r="K278" s="4" t="s">
        <v>28</v>
      </c>
      <c r="L278" s="4" t="s">
        <v>1564</v>
      </c>
      <c r="M278" s="4" t="s">
        <v>1565</v>
      </c>
      <c r="N278" s="4" t="s">
        <v>1566</v>
      </c>
      <c r="O278" s="4" t="s">
        <v>1567</v>
      </c>
      <c r="P278" s="4" t="s">
        <v>1568</v>
      </c>
      <c r="Q278" s="4" t="s">
        <v>1569</v>
      </c>
      <c r="R278" s="3" t="str">
        <f t="shared" si="1"/>
        <v>Outstanding</v>
      </c>
      <c r="S278" s="11" t="s">
        <v>28</v>
      </c>
    </row>
    <row r="279" spans="1:19" ht="60" customHeight="1" x14ac:dyDescent="0.35">
      <c r="A279" s="9" t="s">
        <v>1554</v>
      </c>
      <c r="B279" s="2" t="s">
        <v>1570</v>
      </c>
      <c r="C279" s="1" t="s">
        <v>1571</v>
      </c>
      <c r="D279" s="3" t="s">
        <v>532</v>
      </c>
      <c r="E279" s="3" t="s">
        <v>23</v>
      </c>
      <c r="F279" s="3" t="s">
        <v>48</v>
      </c>
      <c r="G279" s="3" t="s">
        <v>25</v>
      </c>
      <c r="H279" s="3" t="s">
        <v>26</v>
      </c>
      <c r="I279" s="3" t="s">
        <v>27</v>
      </c>
      <c r="J279" s="3" t="s">
        <v>28</v>
      </c>
      <c r="K279" s="4" t="s">
        <v>28</v>
      </c>
      <c r="L279" s="4" t="s">
        <v>1572</v>
      </c>
      <c r="M279" s="4" t="s">
        <v>1573</v>
      </c>
      <c r="N279" s="4" t="s">
        <v>1574</v>
      </c>
      <c r="O279" s="4" t="s">
        <v>1575</v>
      </c>
      <c r="P279" s="4" t="s">
        <v>1576</v>
      </c>
      <c r="Q279" s="4" t="s">
        <v>1577</v>
      </c>
      <c r="R279" s="3" t="str">
        <f t="shared" si="1"/>
        <v>Outstanding</v>
      </c>
      <c r="S279" s="11" t="s">
        <v>28</v>
      </c>
    </row>
    <row r="280" spans="1:19" ht="60" customHeight="1" x14ac:dyDescent="0.35">
      <c r="A280" s="9" t="s">
        <v>1554</v>
      </c>
      <c r="B280" s="2" t="s">
        <v>1578</v>
      </c>
      <c r="C280" s="1" t="s">
        <v>1579</v>
      </c>
      <c r="D280" s="3" t="s">
        <v>532</v>
      </c>
      <c r="E280" s="3" t="s">
        <v>23</v>
      </c>
      <c r="F280" s="3" t="s">
        <v>48</v>
      </c>
      <c r="G280" s="3" t="s">
        <v>25</v>
      </c>
      <c r="H280" s="3" t="s">
        <v>26</v>
      </c>
      <c r="I280" s="3" t="s">
        <v>27</v>
      </c>
      <c r="J280" s="3" t="s">
        <v>28</v>
      </c>
      <c r="K280" s="4" t="s">
        <v>28</v>
      </c>
      <c r="L280" s="4" t="s">
        <v>1580</v>
      </c>
      <c r="M280" s="4"/>
      <c r="N280" s="4"/>
      <c r="O280" s="4"/>
      <c r="P280" s="4"/>
      <c r="Q280" s="4"/>
      <c r="R280" s="3" t="str">
        <f t="shared" si="1"/>
        <v>Outstanding</v>
      </c>
      <c r="S280" s="11" t="s">
        <v>28</v>
      </c>
    </row>
    <row r="281" spans="1:19" ht="60" customHeight="1" x14ac:dyDescent="0.35">
      <c r="A281" s="9" t="s">
        <v>1581</v>
      </c>
      <c r="B281" s="2" t="s">
        <v>1582</v>
      </c>
      <c r="C281" s="1" t="s">
        <v>1583</v>
      </c>
      <c r="D281" s="3" t="s">
        <v>532</v>
      </c>
      <c r="E281" s="3" t="s">
        <v>23</v>
      </c>
      <c r="F281" s="3" t="s">
        <v>24</v>
      </c>
      <c r="G281" s="3" t="s">
        <v>25</v>
      </c>
      <c r="H281" s="3" t="s">
        <v>26</v>
      </c>
      <c r="I281" s="3" t="s">
        <v>27</v>
      </c>
      <c r="J281" s="3" t="s">
        <v>28</v>
      </c>
      <c r="K281" s="4" t="s">
        <v>28</v>
      </c>
      <c r="L281" s="4" t="s">
        <v>1584</v>
      </c>
      <c r="M281" s="4" t="s">
        <v>1585</v>
      </c>
      <c r="N281" s="4"/>
      <c r="O281" s="4"/>
      <c r="P281" s="4"/>
      <c r="Q281" s="4"/>
      <c r="R281" s="3" t="str">
        <f t="shared" si="1"/>
        <v>Outstanding</v>
      </c>
      <c r="S281" s="11" t="s">
        <v>28</v>
      </c>
    </row>
    <row r="282" spans="1:19" ht="60" customHeight="1" x14ac:dyDescent="0.35">
      <c r="A282" s="9" t="s">
        <v>1581</v>
      </c>
      <c r="B282" s="2" t="s">
        <v>1586</v>
      </c>
      <c r="C282" s="1" t="s">
        <v>1587</v>
      </c>
      <c r="D282" s="3" t="s">
        <v>532</v>
      </c>
      <c r="E282" s="3" t="s">
        <v>23</v>
      </c>
      <c r="F282" s="3" t="s">
        <v>48</v>
      </c>
      <c r="G282" s="3" t="s">
        <v>25</v>
      </c>
      <c r="H282" s="3" t="s">
        <v>26</v>
      </c>
      <c r="I282" s="3" t="s">
        <v>27</v>
      </c>
      <c r="J282" s="3" t="s">
        <v>28</v>
      </c>
      <c r="K282" s="4" t="s">
        <v>28</v>
      </c>
      <c r="L282" s="4" t="s">
        <v>1588</v>
      </c>
      <c r="M282" s="4" t="s">
        <v>1589</v>
      </c>
      <c r="N282" s="4" t="s">
        <v>1590</v>
      </c>
      <c r="O282" s="4" t="s">
        <v>1591</v>
      </c>
      <c r="P282" s="4" t="s">
        <v>1592</v>
      </c>
      <c r="Q282" s="4" t="s">
        <v>1593</v>
      </c>
      <c r="R282" s="3" t="str">
        <f t="shared" si="1"/>
        <v>Outstanding</v>
      </c>
      <c r="S282" s="11" t="s">
        <v>28</v>
      </c>
    </row>
    <row r="283" spans="1:19" ht="60" customHeight="1" x14ac:dyDescent="0.35">
      <c r="A283" s="9" t="s">
        <v>1581</v>
      </c>
      <c r="B283" s="2" t="s">
        <v>1594</v>
      </c>
      <c r="C283" s="1" t="s">
        <v>1595</v>
      </c>
      <c r="D283" s="3" t="s">
        <v>532</v>
      </c>
      <c r="E283" s="3" t="s">
        <v>23</v>
      </c>
      <c r="F283" s="3" t="s">
        <v>48</v>
      </c>
      <c r="G283" s="3" t="s">
        <v>25</v>
      </c>
      <c r="H283" s="3" t="s">
        <v>26</v>
      </c>
      <c r="I283" s="3" t="s">
        <v>27</v>
      </c>
      <c r="J283" s="3" t="s">
        <v>28</v>
      </c>
      <c r="K283" s="4" t="s">
        <v>28</v>
      </c>
      <c r="L283" s="4" t="s">
        <v>1596</v>
      </c>
      <c r="M283" s="4" t="s">
        <v>1597</v>
      </c>
      <c r="N283" s="4" t="s">
        <v>1598</v>
      </c>
      <c r="O283" s="4" t="s">
        <v>1599</v>
      </c>
      <c r="P283" s="4" t="s">
        <v>1600</v>
      </c>
      <c r="Q283" s="4" t="s">
        <v>1601</v>
      </c>
      <c r="R283" s="3" t="str">
        <f t="shared" si="1"/>
        <v>Outstanding</v>
      </c>
      <c r="S283" s="11" t="s">
        <v>28</v>
      </c>
    </row>
    <row r="284" spans="1:19" ht="60" customHeight="1" x14ac:dyDescent="0.35">
      <c r="A284" s="9" t="s">
        <v>1581</v>
      </c>
      <c r="B284" s="2" t="s">
        <v>1602</v>
      </c>
      <c r="C284" s="1" t="s">
        <v>1603</v>
      </c>
      <c r="D284" s="3" t="s">
        <v>532</v>
      </c>
      <c r="E284" s="3" t="s">
        <v>23</v>
      </c>
      <c r="F284" s="3" t="s">
        <v>48</v>
      </c>
      <c r="G284" s="3" t="s">
        <v>25</v>
      </c>
      <c r="H284" s="3" t="s">
        <v>26</v>
      </c>
      <c r="I284" s="3" t="s">
        <v>27</v>
      </c>
      <c r="J284" s="3" t="s">
        <v>28</v>
      </c>
      <c r="K284" s="4" t="s">
        <v>28</v>
      </c>
      <c r="L284" s="4" t="s">
        <v>1604</v>
      </c>
      <c r="M284" s="4" t="s">
        <v>1605</v>
      </c>
      <c r="N284" s="4" t="s">
        <v>1606</v>
      </c>
      <c r="O284" s="4" t="s">
        <v>1607</v>
      </c>
      <c r="P284" s="4" t="s">
        <v>1608</v>
      </c>
      <c r="Q284" s="4" t="s">
        <v>1609</v>
      </c>
      <c r="R284" s="3" t="str">
        <f t="shared" si="1"/>
        <v>Outstanding</v>
      </c>
      <c r="S284" s="11" t="s">
        <v>28</v>
      </c>
    </row>
    <row r="285" spans="1:19" ht="60" customHeight="1" x14ac:dyDescent="0.35">
      <c r="A285" s="9" t="s">
        <v>1581</v>
      </c>
      <c r="B285" s="2" t="s">
        <v>1610</v>
      </c>
      <c r="C285" s="1" t="s">
        <v>1611</v>
      </c>
      <c r="D285" s="3" t="s">
        <v>532</v>
      </c>
      <c r="E285" s="3" t="s">
        <v>23</v>
      </c>
      <c r="F285" s="3" t="s">
        <v>48</v>
      </c>
      <c r="G285" s="3" t="s">
        <v>25</v>
      </c>
      <c r="H285" s="3" t="s">
        <v>26</v>
      </c>
      <c r="I285" s="3" t="s">
        <v>27</v>
      </c>
      <c r="J285" s="3" t="s">
        <v>28</v>
      </c>
      <c r="K285" s="4" t="s">
        <v>28</v>
      </c>
      <c r="L285" s="4" t="s">
        <v>1612</v>
      </c>
      <c r="M285" s="4" t="s">
        <v>1613</v>
      </c>
      <c r="N285" s="4" t="s">
        <v>1614</v>
      </c>
      <c r="O285" s="4" t="s">
        <v>1591</v>
      </c>
      <c r="P285" s="4" t="s">
        <v>1615</v>
      </c>
      <c r="Q285" s="4" t="s">
        <v>1616</v>
      </c>
      <c r="R285" s="3" t="str">
        <f t="shared" si="1"/>
        <v>Outstanding</v>
      </c>
      <c r="S285" s="11" t="s">
        <v>28</v>
      </c>
    </row>
    <row r="286" spans="1:19" ht="60" customHeight="1" x14ac:dyDescent="0.35">
      <c r="A286" s="9" t="s">
        <v>1581</v>
      </c>
      <c r="B286" s="2" t="s">
        <v>1617</v>
      </c>
      <c r="C286" s="1" t="s">
        <v>1618</v>
      </c>
      <c r="D286" s="3" t="s">
        <v>532</v>
      </c>
      <c r="E286" s="3" t="s">
        <v>23</v>
      </c>
      <c r="F286" s="3" t="s">
        <v>48</v>
      </c>
      <c r="G286" s="3" t="s">
        <v>25</v>
      </c>
      <c r="H286" s="3" t="s">
        <v>26</v>
      </c>
      <c r="I286" s="3" t="s">
        <v>27</v>
      </c>
      <c r="J286" s="3" t="s">
        <v>28</v>
      </c>
      <c r="K286" s="4" t="s">
        <v>28</v>
      </c>
      <c r="L286" s="4" t="s">
        <v>1619</v>
      </c>
      <c r="M286" s="4" t="s">
        <v>1620</v>
      </c>
      <c r="N286" s="4" t="s">
        <v>1621</v>
      </c>
      <c r="O286" s="4" t="s">
        <v>1622</v>
      </c>
      <c r="P286" s="4" t="s">
        <v>1623</v>
      </c>
      <c r="Q286" s="4" t="s">
        <v>1624</v>
      </c>
      <c r="R286" s="3" t="str">
        <f t="shared" si="1"/>
        <v>Outstanding</v>
      </c>
      <c r="S286" s="11" t="s">
        <v>28</v>
      </c>
    </row>
    <row r="287" spans="1:19" ht="60" customHeight="1" x14ac:dyDescent="0.35">
      <c r="A287" s="9" t="s">
        <v>1581</v>
      </c>
      <c r="B287" s="2" t="s">
        <v>1625</v>
      </c>
      <c r="C287" s="1" t="s">
        <v>1626</v>
      </c>
      <c r="D287" s="3" t="s">
        <v>532</v>
      </c>
      <c r="E287" s="3" t="s">
        <v>23</v>
      </c>
      <c r="F287" s="3" t="s">
        <v>48</v>
      </c>
      <c r="G287" s="3" t="s">
        <v>25</v>
      </c>
      <c r="H287" s="3" t="s">
        <v>26</v>
      </c>
      <c r="I287" s="3" t="s">
        <v>27</v>
      </c>
      <c r="J287" s="3" t="s">
        <v>28</v>
      </c>
      <c r="K287" s="4" t="s">
        <v>28</v>
      </c>
      <c r="L287" s="4" t="s">
        <v>1627</v>
      </c>
      <c r="M287" s="4" t="s">
        <v>1628</v>
      </c>
      <c r="N287" s="4" t="s">
        <v>1629</v>
      </c>
      <c r="O287" s="4" t="s">
        <v>1622</v>
      </c>
      <c r="P287" s="4" t="s">
        <v>1630</v>
      </c>
      <c r="Q287" s="4" t="s">
        <v>1631</v>
      </c>
      <c r="R287" s="3" t="str">
        <f t="shared" si="1"/>
        <v>Outstanding</v>
      </c>
      <c r="S287" s="11" t="s">
        <v>28</v>
      </c>
    </row>
    <row r="288" spans="1:19" ht="60" customHeight="1" x14ac:dyDescent="0.35">
      <c r="A288" s="9" t="s">
        <v>1581</v>
      </c>
      <c r="B288" s="2" t="s">
        <v>1632</v>
      </c>
      <c r="C288" s="1" t="s">
        <v>1633</v>
      </c>
      <c r="D288" s="3" t="s">
        <v>532</v>
      </c>
      <c r="E288" s="3" t="s">
        <v>23</v>
      </c>
      <c r="F288" s="3" t="s">
        <v>48</v>
      </c>
      <c r="G288" s="3" t="s">
        <v>25</v>
      </c>
      <c r="H288" s="3" t="s">
        <v>26</v>
      </c>
      <c r="I288" s="3" t="s">
        <v>27</v>
      </c>
      <c r="J288" s="3" t="s">
        <v>28</v>
      </c>
      <c r="K288" s="4" t="s">
        <v>28</v>
      </c>
      <c r="L288" s="4" t="s">
        <v>1634</v>
      </c>
      <c r="M288" s="4" t="s">
        <v>1635</v>
      </c>
      <c r="N288" s="4" t="s">
        <v>1636</v>
      </c>
      <c r="O288" s="4" t="s">
        <v>1637</v>
      </c>
      <c r="P288" s="4" t="s">
        <v>1638</v>
      </c>
      <c r="Q288" s="4" t="s">
        <v>1639</v>
      </c>
      <c r="R288" s="3" t="str">
        <f t="shared" si="1"/>
        <v>Outstanding</v>
      </c>
      <c r="S288" s="11" t="s">
        <v>28</v>
      </c>
    </row>
    <row r="289" spans="1:19" ht="60" customHeight="1" x14ac:dyDescent="0.35">
      <c r="A289" s="9" t="s">
        <v>1581</v>
      </c>
      <c r="B289" s="2" t="s">
        <v>1640</v>
      </c>
      <c r="C289" s="1" t="s">
        <v>1641</v>
      </c>
      <c r="D289" s="3" t="s">
        <v>532</v>
      </c>
      <c r="E289" s="3" t="s">
        <v>23</v>
      </c>
      <c r="F289" s="3" t="s">
        <v>48</v>
      </c>
      <c r="G289" s="3" t="s">
        <v>25</v>
      </c>
      <c r="H289" s="3" t="s">
        <v>26</v>
      </c>
      <c r="I289" s="3" t="s">
        <v>27</v>
      </c>
      <c r="J289" s="3" t="s">
        <v>28</v>
      </c>
      <c r="K289" s="4" t="s">
        <v>28</v>
      </c>
      <c r="L289" s="4" t="s">
        <v>1642</v>
      </c>
      <c r="M289" s="4"/>
      <c r="N289" s="4"/>
      <c r="O289" s="4"/>
      <c r="P289" s="4"/>
      <c r="Q289" s="4"/>
      <c r="R289" s="3" t="str">
        <f t="shared" si="1"/>
        <v>Outstanding</v>
      </c>
      <c r="S289" s="11" t="s">
        <v>28</v>
      </c>
    </row>
    <row r="290" spans="1:19" ht="60" customHeight="1" x14ac:dyDescent="0.35">
      <c r="A290" s="9" t="s">
        <v>1581</v>
      </c>
      <c r="B290" s="2" t="s">
        <v>1643</v>
      </c>
      <c r="C290" s="1" t="s">
        <v>1644</v>
      </c>
      <c r="D290" s="3" t="s">
        <v>532</v>
      </c>
      <c r="E290" s="3" t="s">
        <v>23</v>
      </c>
      <c r="F290" s="3" t="s">
        <v>48</v>
      </c>
      <c r="G290" s="3" t="s">
        <v>25</v>
      </c>
      <c r="H290" s="3" t="s">
        <v>26</v>
      </c>
      <c r="I290" s="3" t="s">
        <v>27</v>
      </c>
      <c r="J290" s="3" t="s">
        <v>28</v>
      </c>
      <c r="K290" s="4" t="s">
        <v>28</v>
      </c>
      <c r="L290" s="4" t="s">
        <v>1645</v>
      </c>
      <c r="M290" s="4" t="s">
        <v>1646</v>
      </c>
      <c r="N290" s="4" t="s">
        <v>1647</v>
      </c>
      <c r="O290" s="4" t="s">
        <v>1591</v>
      </c>
      <c r="P290" s="4" t="s">
        <v>1648</v>
      </c>
      <c r="Q290" s="4" t="s">
        <v>1649</v>
      </c>
      <c r="R290" s="3" t="str">
        <f t="shared" si="1"/>
        <v>Outstanding</v>
      </c>
      <c r="S290" s="11" t="s">
        <v>28</v>
      </c>
    </row>
    <row r="291" spans="1:19" ht="60" customHeight="1" x14ac:dyDescent="0.35">
      <c r="A291" s="9" t="s">
        <v>1581</v>
      </c>
      <c r="B291" s="2" t="s">
        <v>1650</v>
      </c>
      <c r="C291" s="1" t="s">
        <v>1651</v>
      </c>
      <c r="D291" s="3" t="s">
        <v>532</v>
      </c>
      <c r="E291" s="3" t="s">
        <v>23</v>
      </c>
      <c r="F291" s="3" t="s">
        <v>48</v>
      </c>
      <c r="G291" s="3" t="s">
        <v>25</v>
      </c>
      <c r="H291" s="3" t="s">
        <v>26</v>
      </c>
      <c r="I291" s="3" t="s">
        <v>27</v>
      </c>
      <c r="J291" s="3" t="s">
        <v>28</v>
      </c>
      <c r="K291" s="4" t="s">
        <v>28</v>
      </c>
      <c r="L291" s="4" t="s">
        <v>1652</v>
      </c>
      <c r="M291" s="4" t="s">
        <v>1653</v>
      </c>
      <c r="N291" s="4" t="s">
        <v>1654</v>
      </c>
      <c r="O291" s="4" t="s">
        <v>1655</v>
      </c>
      <c r="P291" s="4" t="s">
        <v>1656</v>
      </c>
      <c r="Q291" s="4" t="s">
        <v>1657</v>
      </c>
      <c r="R291" s="3" t="str">
        <f t="shared" si="1"/>
        <v>Outstanding</v>
      </c>
      <c r="S291" s="11" t="s">
        <v>28</v>
      </c>
    </row>
    <row r="292" spans="1:19" ht="60" customHeight="1" x14ac:dyDescent="0.35">
      <c r="A292" s="9" t="s">
        <v>1658</v>
      </c>
      <c r="B292" s="2" t="s">
        <v>1659</v>
      </c>
      <c r="C292" s="1" t="s">
        <v>1660</v>
      </c>
      <c r="D292" s="3" t="s">
        <v>532</v>
      </c>
      <c r="E292" s="3" t="s">
        <v>23</v>
      </c>
      <c r="F292" s="3" t="s">
        <v>24</v>
      </c>
      <c r="G292" s="3" t="s">
        <v>25</v>
      </c>
      <c r="H292" s="3" t="s">
        <v>26</v>
      </c>
      <c r="I292" s="3" t="s">
        <v>27</v>
      </c>
      <c r="J292" s="3" t="s">
        <v>28</v>
      </c>
      <c r="K292" s="4" t="s">
        <v>28</v>
      </c>
      <c r="L292" s="4" t="s">
        <v>1661</v>
      </c>
      <c r="M292" s="4" t="s">
        <v>1662</v>
      </c>
      <c r="N292" s="4"/>
      <c r="O292" s="4"/>
      <c r="P292" s="4"/>
      <c r="Q292" s="4"/>
      <c r="R292" s="3" t="str">
        <f t="shared" si="1"/>
        <v>Outstanding</v>
      </c>
      <c r="S292" s="11" t="s">
        <v>28</v>
      </c>
    </row>
    <row r="293" spans="1:19" ht="60" customHeight="1" x14ac:dyDescent="0.35">
      <c r="A293" s="9" t="s">
        <v>1658</v>
      </c>
      <c r="B293" s="2" t="s">
        <v>1663</v>
      </c>
      <c r="C293" s="1" t="s">
        <v>1664</v>
      </c>
      <c r="D293" s="3" t="s">
        <v>532</v>
      </c>
      <c r="E293" s="3" t="s">
        <v>806</v>
      </c>
      <c r="F293" s="3" t="s">
        <v>48</v>
      </c>
      <c r="G293" s="3" t="s">
        <v>25</v>
      </c>
      <c r="H293" s="3" t="s">
        <v>26</v>
      </c>
      <c r="I293" s="3" t="s">
        <v>27</v>
      </c>
      <c r="J293" s="3" t="s">
        <v>28</v>
      </c>
      <c r="K293" s="4" t="s">
        <v>28</v>
      </c>
      <c r="L293" s="4" t="s">
        <v>1665</v>
      </c>
      <c r="M293" s="4"/>
      <c r="N293" s="4"/>
      <c r="O293" s="4"/>
      <c r="P293" s="4"/>
      <c r="Q293" s="4"/>
      <c r="R293" s="3" t="str">
        <f t="shared" si="1"/>
        <v>Outstanding</v>
      </c>
      <c r="S293" s="11" t="s">
        <v>28</v>
      </c>
    </row>
    <row r="294" spans="1:19" ht="60" customHeight="1" x14ac:dyDescent="0.35">
      <c r="A294" s="9" t="s">
        <v>1666</v>
      </c>
      <c r="B294" s="2" t="s">
        <v>1667</v>
      </c>
      <c r="C294" s="1" t="s">
        <v>1668</v>
      </c>
      <c r="D294" s="3" t="s">
        <v>532</v>
      </c>
      <c r="E294" s="3" t="s">
        <v>23</v>
      </c>
      <c r="F294" s="3" t="s">
        <v>24</v>
      </c>
      <c r="G294" s="3" t="s">
        <v>25</v>
      </c>
      <c r="H294" s="3" t="s">
        <v>26</v>
      </c>
      <c r="I294" s="3" t="s">
        <v>27</v>
      </c>
      <c r="J294" s="3" t="s">
        <v>28</v>
      </c>
      <c r="K294" s="4" t="s">
        <v>28</v>
      </c>
      <c r="L294" s="4" t="s">
        <v>1669</v>
      </c>
      <c r="M294" s="4" t="s">
        <v>1670</v>
      </c>
      <c r="N294" s="4"/>
      <c r="O294" s="4"/>
      <c r="P294" s="4"/>
      <c r="Q294" s="4"/>
      <c r="R294" s="3" t="str">
        <f t="shared" si="1"/>
        <v>Outstanding</v>
      </c>
      <c r="S294" s="11" t="s">
        <v>28</v>
      </c>
    </row>
    <row r="295" spans="1:19" ht="60" customHeight="1" x14ac:dyDescent="0.35">
      <c r="A295" s="9" t="s">
        <v>1666</v>
      </c>
      <c r="B295" s="2" t="s">
        <v>1671</v>
      </c>
      <c r="C295" s="1" t="s">
        <v>1672</v>
      </c>
      <c r="D295" s="3" t="s">
        <v>532</v>
      </c>
      <c r="E295" s="3" t="s">
        <v>23</v>
      </c>
      <c r="F295" s="3" t="s">
        <v>48</v>
      </c>
      <c r="G295" s="3" t="s">
        <v>25</v>
      </c>
      <c r="H295" s="3" t="s">
        <v>26</v>
      </c>
      <c r="I295" s="3" t="s">
        <v>27</v>
      </c>
      <c r="J295" s="3" t="s">
        <v>28</v>
      </c>
      <c r="K295" s="4" t="s">
        <v>28</v>
      </c>
      <c r="L295" s="4" t="s">
        <v>1673</v>
      </c>
      <c r="M295" s="4" t="s">
        <v>1674</v>
      </c>
      <c r="N295" s="4" t="s">
        <v>1675</v>
      </c>
      <c r="O295" s="4" t="s">
        <v>265</v>
      </c>
      <c r="P295" s="4" t="s">
        <v>1676</v>
      </c>
      <c r="Q295" s="4" t="s">
        <v>1677</v>
      </c>
      <c r="R295" s="3" t="str">
        <f t="shared" si="1"/>
        <v>Outstanding</v>
      </c>
      <c r="S295" s="11" t="s">
        <v>28</v>
      </c>
    </row>
    <row r="296" spans="1:19" ht="60" customHeight="1" x14ac:dyDescent="0.35">
      <c r="A296" s="9" t="s">
        <v>1666</v>
      </c>
      <c r="B296" s="2" t="s">
        <v>1678</v>
      </c>
      <c r="C296" s="1" t="s">
        <v>1679</v>
      </c>
      <c r="D296" s="3" t="s">
        <v>532</v>
      </c>
      <c r="E296" s="3" t="s">
        <v>23</v>
      </c>
      <c r="F296" s="3" t="s">
        <v>48</v>
      </c>
      <c r="G296" s="3" t="s">
        <v>25</v>
      </c>
      <c r="H296" s="3" t="s">
        <v>26</v>
      </c>
      <c r="I296" s="3" t="s">
        <v>27</v>
      </c>
      <c r="J296" s="3" t="s">
        <v>28</v>
      </c>
      <c r="K296" s="4" t="s">
        <v>28</v>
      </c>
      <c r="L296" s="4" t="s">
        <v>1680</v>
      </c>
      <c r="M296" s="4" t="s">
        <v>1681</v>
      </c>
      <c r="N296" s="4" t="s">
        <v>1682</v>
      </c>
      <c r="O296" s="4" t="s">
        <v>1683</v>
      </c>
      <c r="P296" s="4" t="s">
        <v>1684</v>
      </c>
      <c r="Q296" s="4" t="s">
        <v>1685</v>
      </c>
      <c r="R296" s="3" t="str">
        <f t="shared" si="1"/>
        <v>Outstanding</v>
      </c>
      <c r="S296" s="11" t="s">
        <v>28</v>
      </c>
    </row>
    <row r="297" spans="1:19" ht="60" customHeight="1" x14ac:dyDescent="0.35">
      <c r="A297" s="9" t="s">
        <v>1686</v>
      </c>
      <c r="B297" s="2" t="s">
        <v>1687</v>
      </c>
      <c r="C297" s="1" t="s">
        <v>1688</v>
      </c>
      <c r="D297" s="3" t="s">
        <v>532</v>
      </c>
      <c r="E297" s="3" t="s">
        <v>23</v>
      </c>
      <c r="F297" s="3" t="s">
        <v>24</v>
      </c>
      <c r="G297" s="3" t="s">
        <v>25</v>
      </c>
      <c r="H297" s="3" t="s">
        <v>26</v>
      </c>
      <c r="I297" s="3" t="s">
        <v>27</v>
      </c>
      <c r="J297" s="3" t="s">
        <v>28</v>
      </c>
      <c r="K297" s="4" t="s">
        <v>28</v>
      </c>
      <c r="L297" s="4" t="s">
        <v>1689</v>
      </c>
      <c r="M297" s="4" t="s">
        <v>1690</v>
      </c>
      <c r="N297" s="4"/>
      <c r="O297" s="4"/>
      <c r="P297" s="4"/>
      <c r="Q297" s="4"/>
      <c r="R297" s="3" t="str">
        <f t="shared" si="1"/>
        <v>Outstanding</v>
      </c>
      <c r="S297" s="11" t="s">
        <v>28</v>
      </c>
    </row>
    <row r="298" spans="1:19" ht="60" customHeight="1" x14ac:dyDescent="0.35">
      <c r="A298" s="9" t="s">
        <v>1686</v>
      </c>
      <c r="B298" s="2" t="s">
        <v>1691</v>
      </c>
      <c r="C298" s="1" t="s">
        <v>1692</v>
      </c>
      <c r="D298" s="3" t="s">
        <v>532</v>
      </c>
      <c r="E298" s="3" t="s">
        <v>23</v>
      </c>
      <c r="F298" s="3" t="s">
        <v>48</v>
      </c>
      <c r="G298" s="3" t="s">
        <v>25</v>
      </c>
      <c r="H298" s="3" t="s">
        <v>26</v>
      </c>
      <c r="I298" s="3" t="s">
        <v>27</v>
      </c>
      <c r="J298" s="3" t="s">
        <v>28</v>
      </c>
      <c r="K298" s="4" t="s">
        <v>28</v>
      </c>
      <c r="L298" s="4" t="s">
        <v>1693</v>
      </c>
      <c r="M298" s="4" t="s">
        <v>1694</v>
      </c>
      <c r="N298" s="4" t="s">
        <v>1695</v>
      </c>
      <c r="O298" s="4" t="s">
        <v>1696</v>
      </c>
      <c r="P298" s="4" t="s">
        <v>1697</v>
      </c>
      <c r="Q298" s="4" t="s">
        <v>1698</v>
      </c>
      <c r="R298" s="3" t="str">
        <f t="shared" si="1"/>
        <v>Outstanding</v>
      </c>
      <c r="S298" s="11" t="s">
        <v>28</v>
      </c>
    </row>
    <row r="299" spans="1:19" ht="60" customHeight="1" x14ac:dyDescent="0.35">
      <c r="A299" s="9" t="s">
        <v>1686</v>
      </c>
      <c r="B299" s="2" t="s">
        <v>1699</v>
      </c>
      <c r="C299" s="1" t="s">
        <v>1700</v>
      </c>
      <c r="D299" s="3" t="s">
        <v>532</v>
      </c>
      <c r="E299" s="3" t="s">
        <v>23</v>
      </c>
      <c r="F299" s="3" t="s">
        <v>48</v>
      </c>
      <c r="G299" s="3" t="s">
        <v>25</v>
      </c>
      <c r="H299" s="3" t="s">
        <v>26</v>
      </c>
      <c r="I299" s="3" t="s">
        <v>27</v>
      </c>
      <c r="J299" s="3" t="s">
        <v>28</v>
      </c>
      <c r="K299" s="4" t="s">
        <v>28</v>
      </c>
      <c r="L299" s="4" t="s">
        <v>1701</v>
      </c>
      <c r="M299" s="4" t="s">
        <v>1702</v>
      </c>
      <c r="N299" s="4" t="s">
        <v>1703</v>
      </c>
      <c r="O299" s="4" t="s">
        <v>1704</v>
      </c>
      <c r="P299" s="4" t="s">
        <v>1705</v>
      </c>
      <c r="Q299" s="4" t="s">
        <v>1706</v>
      </c>
      <c r="R299" s="3" t="str">
        <f t="shared" si="1"/>
        <v>Outstanding</v>
      </c>
      <c r="S299" s="11" t="s">
        <v>28</v>
      </c>
    </row>
    <row r="300" spans="1:19" ht="60" customHeight="1" x14ac:dyDescent="0.35">
      <c r="A300" s="9" t="s">
        <v>1686</v>
      </c>
      <c r="B300" s="2" t="s">
        <v>1707</v>
      </c>
      <c r="C300" s="1" t="s">
        <v>1708</v>
      </c>
      <c r="D300" s="3" t="s">
        <v>532</v>
      </c>
      <c r="E300" s="3" t="s">
        <v>23</v>
      </c>
      <c r="F300" s="3" t="s">
        <v>48</v>
      </c>
      <c r="G300" s="3" t="s">
        <v>25</v>
      </c>
      <c r="H300" s="3" t="s">
        <v>26</v>
      </c>
      <c r="I300" s="3" t="s">
        <v>27</v>
      </c>
      <c r="J300" s="3" t="s">
        <v>28</v>
      </c>
      <c r="K300" s="4" t="s">
        <v>28</v>
      </c>
      <c r="L300" s="4" t="s">
        <v>1709</v>
      </c>
      <c r="M300" s="4"/>
      <c r="N300" s="4"/>
      <c r="O300" s="4"/>
      <c r="P300" s="4"/>
      <c r="Q300" s="4"/>
      <c r="R300" s="3" t="str">
        <f t="shared" si="1"/>
        <v>Outstanding</v>
      </c>
      <c r="S300" s="11" t="s">
        <v>28</v>
      </c>
    </row>
    <row r="301" spans="1:19" ht="60" customHeight="1" x14ac:dyDescent="0.35">
      <c r="A301" s="9" t="s">
        <v>1686</v>
      </c>
      <c r="B301" s="2" t="s">
        <v>1710</v>
      </c>
      <c r="C301" s="1" t="s">
        <v>1711</v>
      </c>
      <c r="D301" s="3" t="s">
        <v>532</v>
      </c>
      <c r="E301" s="3" t="s">
        <v>23</v>
      </c>
      <c r="F301" s="3" t="s">
        <v>48</v>
      </c>
      <c r="G301" s="3" t="s">
        <v>25</v>
      </c>
      <c r="H301" s="3" t="s">
        <v>26</v>
      </c>
      <c r="I301" s="3" t="s">
        <v>27</v>
      </c>
      <c r="J301" s="3" t="s">
        <v>28</v>
      </c>
      <c r="K301" s="4" t="s">
        <v>28</v>
      </c>
      <c r="L301" s="4" t="s">
        <v>1712</v>
      </c>
      <c r="M301" s="4" t="s">
        <v>1713</v>
      </c>
      <c r="N301" s="4" t="s">
        <v>1714</v>
      </c>
      <c r="O301" s="4" t="s">
        <v>1715</v>
      </c>
      <c r="P301" s="4" t="s">
        <v>1716</v>
      </c>
      <c r="Q301" s="4" t="s">
        <v>1717</v>
      </c>
      <c r="R301" s="3" t="str">
        <f t="shared" si="1"/>
        <v>Outstanding</v>
      </c>
      <c r="S301" s="11" t="s">
        <v>28</v>
      </c>
    </row>
    <row r="302" spans="1:19" ht="60" customHeight="1" x14ac:dyDescent="0.35">
      <c r="A302" s="9" t="s">
        <v>1686</v>
      </c>
      <c r="B302" s="2" t="s">
        <v>1718</v>
      </c>
      <c r="C302" s="1" t="s">
        <v>1719</v>
      </c>
      <c r="D302" s="3" t="s">
        <v>532</v>
      </c>
      <c r="E302" s="3" t="s">
        <v>23</v>
      </c>
      <c r="F302" s="3" t="s">
        <v>48</v>
      </c>
      <c r="G302" s="3" t="s">
        <v>25</v>
      </c>
      <c r="H302" s="3" t="s">
        <v>26</v>
      </c>
      <c r="I302" s="3" t="s">
        <v>27</v>
      </c>
      <c r="J302" s="3" t="s">
        <v>28</v>
      </c>
      <c r="K302" s="4" t="s">
        <v>28</v>
      </c>
      <c r="L302" s="4" t="s">
        <v>1720</v>
      </c>
      <c r="M302" s="4" t="s">
        <v>1721</v>
      </c>
      <c r="N302" s="4" t="s">
        <v>1722</v>
      </c>
      <c r="O302" s="4" t="s">
        <v>1723</v>
      </c>
      <c r="P302" s="4" t="s">
        <v>1724</v>
      </c>
      <c r="Q302" s="4" t="s">
        <v>1725</v>
      </c>
      <c r="R302" s="3" t="str">
        <f t="shared" si="1"/>
        <v>Outstanding</v>
      </c>
      <c r="S302" s="11" t="s">
        <v>28</v>
      </c>
    </row>
    <row r="303" spans="1:19" ht="60" customHeight="1" x14ac:dyDescent="0.35">
      <c r="A303" s="9" t="s">
        <v>1686</v>
      </c>
      <c r="B303" s="2" t="s">
        <v>1726</v>
      </c>
      <c r="C303" s="1" t="s">
        <v>1727</v>
      </c>
      <c r="D303" s="3" t="s">
        <v>532</v>
      </c>
      <c r="E303" s="3" t="s">
        <v>23</v>
      </c>
      <c r="F303" s="3" t="s">
        <v>48</v>
      </c>
      <c r="G303" s="3" t="s">
        <v>25</v>
      </c>
      <c r="H303" s="3" t="s">
        <v>26</v>
      </c>
      <c r="I303" s="3" t="s">
        <v>27</v>
      </c>
      <c r="J303" s="3" t="s">
        <v>28</v>
      </c>
      <c r="K303" s="4" t="s">
        <v>28</v>
      </c>
      <c r="L303" s="4" t="s">
        <v>1728</v>
      </c>
      <c r="M303" s="4"/>
      <c r="N303" s="4"/>
      <c r="O303" s="4"/>
      <c r="P303" s="4"/>
      <c r="Q303" s="4"/>
      <c r="R303" s="3" t="str">
        <f t="shared" si="1"/>
        <v>Outstanding</v>
      </c>
      <c r="S303" s="11" t="s">
        <v>28</v>
      </c>
    </row>
    <row r="304" spans="1:19" ht="60" customHeight="1" x14ac:dyDescent="0.35">
      <c r="A304" s="9" t="s">
        <v>1686</v>
      </c>
      <c r="B304" s="2" t="s">
        <v>1729</v>
      </c>
      <c r="C304" s="1" t="s">
        <v>1730</v>
      </c>
      <c r="D304" s="3" t="s">
        <v>532</v>
      </c>
      <c r="E304" s="3" t="s">
        <v>23</v>
      </c>
      <c r="F304" s="3" t="s">
        <v>48</v>
      </c>
      <c r="G304" s="3" t="s">
        <v>25</v>
      </c>
      <c r="H304" s="3" t="s">
        <v>26</v>
      </c>
      <c r="I304" s="3" t="s">
        <v>27</v>
      </c>
      <c r="J304" s="3" t="s">
        <v>28</v>
      </c>
      <c r="K304" s="4" t="s">
        <v>28</v>
      </c>
      <c r="L304" s="4" t="s">
        <v>1731</v>
      </c>
      <c r="M304" s="4" t="s">
        <v>1732</v>
      </c>
      <c r="N304" s="4" t="s">
        <v>1733</v>
      </c>
      <c r="O304" s="4" t="s">
        <v>1734</v>
      </c>
      <c r="P304" s="4" t="s">
        <v>1735</v>
      </c>
      <c r="Q304" s="4" t="s">
        <v>1736</v>
      </c>
      <c r="R304" s="3" t="str">
        <f t="shared" si="1"/>
        <v>Outstanding</v>
      </c>
      <c r="S304" s="11" t="s">
        <v>28</v>
      </c>
    </row>
    <row r="305" spans="1:19" ht="60" customHeight="1" x14ac:dyDescent="0.35">
      <c r="A305" s="9" t="s">
        <v>1686</v>
      </c>
      <c r="B305" s="2" t="s">
        <v>1737</v>
      </c>
      <c r="C305" s="1" t="s">
        <v>1738</v>
      </c>
      <c r="D305" s="3" t="s">
        <v>532</v>
      </c>
      <c r="E305" s="3" t="s">
        <v>23</v>
      </c>
      <c r="F305" s="3" t="s">
        <v>48</v>
      </c>
      <c r="G305" s="3" t="s">
        <v>25</v>
      </c>
      <c r="H305" s="3" t="s">
        <v>26</v>
      </c>
      <c r="I305" s="3" t="s">
        <v>27</v>
      </c>
      <c r="J305" s="3" t="s">
        <v>28</v>
      </c>
      <c r="K305" s="4" t="s">
        <v>28</v>
      </c>
      <c r="L305" s="4" t="s">
        <v>1739</v>
      </c>
      <c r="M305" s="4" t="s">
        <v>1740</v>
      </c>
      <c r="N305" s="4" t="s">
        <v>1741</v>
      </c>
      <c r="O305" s="4" t="s">
        <v>1742</v>
      </c>
      <c r="P305" s="4" t="s">
        <v>1743</v>
      </c>
      <c r="Q305" s="4" t="s">
        <v>1744</v>
      </c>
      <c r="R305" s="3" t="str">
        <f t="shared" si="1"/>
        <v>Outstanding</v>
      </c>
      <c r="S305" s="11" t="s">
        <v>28</v>
      </c>
    </row>
    <row r="306" spans="1:19" ht="60" customHeight="1" x14ac:dyDescent="0.35">
      <c r="A306" s="9" t="s">
        <v>1686</v>
      </c>
      <c r="B306" s="2" t="s">
        <v>1745</v>
      </c>
      <c r="C306" s="1" t="s">
        <v>1746</v>
      </c>
      <c r="D306" s="3" t="s">
        <v>532</v>
      </c>
      <c r="E306" s="3" t="s">
        <v>23</v>
      </c>
      <c r="F306" s="3" t="s">
        <v>48</v>
      </c>
      <c r="G306" s="3" t="s">
        <v>25</v>
      </c>
      <c r="H306" s="3" t="s">
        <v>26</v>
      </c>
      <c r="I306" s="3" t="s">
        <v>27</v>
      </c>
      <c r="J306" s="3" t="s">
        <v>28</v>
      </c>
      <c r="K306" s="4" t="s">
        <v>28</v>
      </c>
      <c r="L306" s="4" t="s">
        <v>1747</v>
      </c>
      <c r="M306" s="4" t="s">
        <v>1748</v>
      </c>
      <c r="N306" s="4" t="s">
        <v>1749</v>
      </c>
      <c r="O306" s="4" t="s">
        <v>1750</v>
      </c>
      <c r="P306" s="4" t="s">
        <v>1751</v>
      </c>
      <c r="Q306" s="4" t="s">
        <v>1752</v>
      </c>
      <c r="R306" s="3" t="str">
        <f t="shared" si="1"/>
        <v>Outstanding</v>
      </c>
      <c r="S306" s="11" t="s">
        <v>28</v>
      </c>
    </row>
    <row r="307" spans="1:19" ht="60" customHeight="1" x14ac:dyDescent="0.35">
      <c r="A307" s="9" t="s">
        <v>1686</v>
      </c>
      <c r="B307" s="2" t="s">
        <v>1753</v>
      </c>
      <c r="C307" s="1" t="s">
        <v>1754</v>
      </c>
      <c r="D307" s="3" t="s">
        <v>532</v>
      </c>
      <c r="E307" s="3" t="s">
        <v>23</v>
      </c>
      <c r="F307" s="3" t="s">
        <v>48</v>
      </c>
      <c r="G307" s="3" t="s">
        <v>25</v>
      </c>
      <c r="H307" s="3" t="s">
        <v>26</v>
      </c>
      <c r="I307" s="3" t="s">
        <v>27</v>
      </c>
      <c r="J307" s="3" t="s">
        <v>28</v>
      </c>
      <c r="K307" s="4" t="s">
        <v>28</v>
      </c>
      <c r="L307" s="4" t="s">
        <v>1755</v>
      </c>
      <c r="M307" s="4" t="s">
        <v>1756</v>
      </c>
      <c r="N307" s="4" t="s">
        <v>1757</v>
      </c>
      <c r="O307" s="4" t="s">
        <v>1758</v>
      </c>
      <c r="P307" s="4" t="s">
        <v>1759</v>
      </c>
      <c r="Q307" s="4" t="s">
        <v>1760</v>
      </c>
      <c r="R307" s="3" t="str">
        <f t="shared" si="1"/>
        <v>Outstanding</v>
      </c>
      <c r="S307" s="11" t="s">
        <v>28</v>
      </c>
    </row>
    <row r="308" spans="1:19" ht="60" customHeight="1" x14ac:dyDescent="0.35">
      <c r="A308" s="9" t="s">
        <v>1686</v>
      </c>
      <c r="B308" s="2" t="s">
        <v>1761</v>
      </c>
      <c r="C308" s="1" t="s">
        <v>1762</v>
      </c>
      <c r="D308" s="3" t="s">
        <v>532</v>
      </c>
      <c r="E308" s="3" t="s">
        <v>23</v>
      </c>
      <c r="F308" s="3" t="s">
        <v>48</v>
      </c>
      <c r="G308" s="3" t="s">
        <v>25</v>
      </c>
      <c r="H308" s="3" t="s">
        <v>26</v>
      </c>
      <c r="I308" s="3" t="s">
        <v>27</v>
      </c>
      <c r="J308" s="3" t="s">
        <v>28</v>
      </c>
      <c r="K308" s="4" t="s">
        <v>28</v>
      </c>
      <c r="L308" s="4" t="s">
        <v>1763</v>
      </c>
      <c r="M308" s="4" t="s">
        <v>1764</v>
      </c>
      <c r="N308" s="4" t="s">
        <v>1765</v>
      </c>
      <c r="O308" s="4" t="s">
        <v>1766</v>
      </c>
      <c r="P308" s="4" t="s">
        <v>1767</v>
      </c>
      <c r="Q308" s="4" t="s">
        <v>1768</v>
      </c>
      <c r="R308" s="3" t="str">
        <f t="shared" si="1"/>
        <v>Outstanding</v>
      </c>
      <c r="S308" s="11" t="s">
        <v>28</v>
      </c>
    </row>
    <row r="309" spans="1:19" ht="60" customHeight="1" x14ac:dyDescent="0.35">
      <c r="A309" s="9" t="s">
        <v>1686</v>
      </c>
      <c r="B309" s="2" t="s">
        <v>1769</v>
      </c>
      <c r="C309" s="1" t="s">
        <v>1770</v>
      </c>
      <c r="D309" s="3" t="s">
        <v>532</v>
      </c>
      <c r="E309" s="3" t="s">
        <v>23</v>
      </c>
      <c r="F309" s="3" t="s">
        <v>48</v>
      </c>
      <c r="G309" s="3" t="s">
        <v>25</v>
      </c>
      <c r="H309" s="3" t="s">
        <v>26</v>
      </c>
      <c r="I309" s="3" t="s">
        <v>27</v>
      </c>
      <c r="J309" s="3" t="s">
        <v>28</v>
      </c>
      <c r="K309" s="4" t="s">
        <v>28</v>
      </c>
      <c r="L309" s="4" t="s">
        <v>1771</v>
      </c>
      <c r="M309" s="4" t="s">
        <v>1772</v>
      </c>
      <c r="N309" s="4" t="s">
        <v>1773</v>
      </c>
      <c r="O309" s="4" t="s">
        <v>265</v>
      </c>
      <c r="P309" s="4" t="s">
        <v>1774</v>
      </c>
      <c r="Q309" s="4" t="s">
        <v>1775</v>
      </c>
      <c r="R309" s="3" t="str">
        <f t="shared" si="1"/>
        <v>Outstanding</v>
      </c>
      <c r="S309" s="11" t="s">
        <v>28</v>
      </c>
    </row>
    <row r="310" spans="1:19" ht="60" customHeight="1" x14ac:dyDescent="0.35">
      <c r="A310" s="9" t="s">
        <v>1686</v>
      </c>
      <c r="B310" s="2" t="s">
        <v>1776</v>
      </c>
      <c r="C310" s="1" t="s">
        <v>1777</v>
      </c>
      <c r="D310" s="3" t="s">
        <v>532</v>
      </c>
      <c r="E310" s="3" t="s">
        <v>23</v>
      </c>
      <c r="F310" s="3" t="s">
        <v>48</v>
      </c>
      <c r="G310" s="3" t="s">
        <v>25</v>
      </c>
      <c r="H310" s="3" t="s">
        <v>26</v>
      </c>
      <c r="I310" s="3" t="s">
        <v>27</v>
      </c>
      <c r="J310" s="3" t="s">
        <v>28</v>
      </c>
      <c r="K310" s="4" t="s">
        <v>28</v>
      </c>
      <c r="L310" s="4" t="s">
        <v>1778</v>
      </c>
      <c r="M310" s="4" t="s">
        <v>1779</v>
      </c>
      <c r="N310" s="4" t="s">
        <v>1780</v>
      </c>
      <c r="O310" s="4" t="s">
        <v>1781</v>
      </c>
      <c r="P310" s="4" t="s">
        <v>541</v>
      </c>
      <c r="Q310" s="4" t="s">
        <v>1782</v>
      </c>
      <c r="R310" s="3" t="str">
        <f t="shared" si="1"/>
        <v>Outstanding</v>
      </c>
      <c r="S310" s="11" t="s">
        <v>28</v>
      </c>
    </row>
    <row r="311" spans="1:19" ht="60" customHeight="1" x14ac:dyDescent="0.35">
      <c r="A311" s="9" t="s">
        <v>1686</v>
      </c>
      <c r="B311" s="2" t="s">
        <v>1783</v>
      </c>
      <c r="C311" s="1" t="s">
        <v>1784</v>
      </c>
      <c r="D311" s="3" t="s">
        <v>532</v>
      </c>
      <c r="E311" s="3" t="s">
        <v>23</v>
      </c>
      <c r="F311" s="3" t="s">
        <v>48</v>
      </c>
      <c r="G311" s="3" t="s">
        <v>25</v>
      </c>
      <c r="H311" s="3" t="s">
        <v>26</v>
      </c>
      <c r="I311" s="3" t="s">
        <v>27</v>
      </c>
      <c r="J311" s="3" t="s">
        <v>28</v>
      </c>
      <c r="K311" s="4" t="s">
        <v>28</v>
      </c>
      <c r="L311" s="4" t="s">
        <v>1785</v>
      </c>
      <c r="M311" s="4" t="s">
        <v>1786</v>
      </c>
      <c r="N311" s="4" t="s">
        <v>1787</v>
      </c>
      <c r="O311" s="4" t="s">
        <v>1788</v>
      </c>
      <c r="P311" s="4" t="s">
        <v>541</v>
      </c>
      <c r="Q311" s="4" t="s">
        <v>1789</v>
      </c>
      <c r="R311" s="3" t="str">
        <f t="shared" si="1"/>
        <v>Outstanding</v>
      </c>
      <c r="S311" s="11" t="s">
        <v>28</v>
      </c>
    </row>
    <row r="312" spans="1:19" ht="60" customHeight="1" x14ac:dyDescent="0.35">
      <c r="A312" s="9" t="s">
        <v>1790</v>
      </c>
      <c r="B312" s="2" t="s">
        <v>1791</v>
      </c>
      <c r="C312" s="1" t="s">
        <v>1792</v>
      </c>
      <c r="D312" s="3" t="s">
        <v>532</v>
      </c>
      <c r="E312" s="3" t="s">
        <v>23</v>
      </c>
      <c r="F312" s="3" t="s">
        <v>24</v>
      </c>
      <c r="G312" s="3" t="s">
        <v>25</v>
      </c>
      <c r="H312" s="3" t="s">
        <v>26</v>
      </c>
      <c r="I312" s="3" t="s">
        <v>27</v>
      </c>
      <c r="J312" s="3" t="s">
        <v>28</v>
      </c>
      <c r="K312" s="4" t="s">
        <v>28</v>
      </c>
      <c r="L312" s="4" t="s">
        <v>1793</v>
      </c>
      <c r="M312" s="4" t="s">
        <v>1794</v>
      </c>
      <c r="N312" s="4"/>
      <c r="O312" s="4"/>
      <c r="P312" s="4"/>
      <c r="Q312" s="4"/>
      <c r="R312" s="3" t="str">
        <f t="shared" si="1"/>
        <v>Outstanding</v>
      </c>
      <c r="S312" s="11" t="s">
        <v>28</v>
      </c>
    </row>
    <row r="313" spans="1:19" ht="60" customHeight="1" x14ac:dyDescent="0.35">
      <c r="A313" s="9" t="s">
        <v>1790</v>
      </c>
      <c r="B313" s="2" t="s">
        <v>1795</v>
      </c>
      <c r="C313" s="1" t="s">
        <v>1796</v>
      </c>
      <c r="D313" s="3" t="s">
        <v>532</v>
      </c>
      <c r="E313" s="3" t="s">
        <v>23</v>
      </c>
      <c r="F313" s="3" t="s">
        <v>48</v>
      </c>
      <c r="G313" s="3" t="s">
        <v>25</v>
      </c>
      <c r="H313" s="3" t="s">
        <v>26</v>
      </c>
      <c r="I313" s="3" t="s">
        <v>27</v>
      </c>
      <c r="J313" s="3" t="s">
        <v>28</v>
      </c>
      <c r="K313" s="4" t="s">
        <v>28</v>
      </c>
      <c r="L313" s="4" t="s">
        <v>1797</v>
      </c>
      <c r="M313" s="4" t="s">
        <v>1798</v>
      </c>
      <c r="N313" s="4" t="s">
        <v>1799</v>
      </c>
      <c r="O313" s="4" t="s">
        <v>265</v>
      </c>
      <c r="P313" s="4" t="s">
        <v>1800</v>
      </c>
      <c r="Q313" s="4" t="s">
        <v>1801</v>
      </c>
      <c r="R313" s="3" t="str">
        <f t="shared" si="1"/>
        <v>Outstanding</v>
      </c>
      <c r="S313" s="11" t="s">
        <v>28</v>
      </c>
    </row>
    <row r="314" spans="1:19" ht="60" customHeight="1" x14ac:dyDescent="0.35">
      <c r="A314" s="9" t="s">
        <v>1802</v>
      </c>
      <c r="B314" s="2" t="s">
        <v>1803</v>
      </c>
      <c r="C314" s="1" t="s">
        <v>1804</v>
      </c>
      <c r="D314" s="3" t="s">
        <v>532</v>
      </c>
      <c r="E314" s="3" t="s">
        <v>23</v>
      </c>
      <c r="F314" s="3" t="s">
        <v>24</v>
      </c>
      <c r="G314" s="3" t="s">
        <v>25</v>
      </c>
      <c r="H314" s="3" t="s">
        <v>26</v>
      </c>
      <c r="I314" s="3" t="s">
        <v>27</v>
      </c>
      <c r="J314" s="3" t="s">
        <v>28</v>
      </c>
      <c r="K314" s="4" t="s">
        <v>28</v>
      </c>
      <c r="L314" s="4" t="s">
        <v>1805</v>
      </c>
      <c r="M314" s="4" t="s">
        <v>1806</v>
      </c>
      <c r="N314" s="4"/>
      <c r="O314" s="4"/>
      <c r="P314" s="4"/>
      <c r="Q314" s="4"/>
      <c r="R314" s="3" t="str">
        <f t="shared" si="1"/>
        <v>Outstanding</v>
      </c>
      <c r="S314" s="11" t="s">
        <v>28</v>
      </c>
    </row>
    <row r="315" spans="1:19" ht="60" customHeight="1" x14ac:dyDescent="0.35">
      <c r="A315" s="9" t="s">
        <v>1802</v>
      </c>
      <c r="B315" s="2" t="s">
        <v>1807</v>
      </c>
      <c r="C315" s="1" t="s">
        <v>1808</v>
      </c>
      <c r="D315" s="3" t="s">
        <v>532</v>
      </c>
      <c r="E315" s="3" t="s">
        <v>23</v>
      </c>
      <c r="F315" s="3" t="s">
        <v>48</v>
      </c>
      <c r="G315" s="3" t="s">
        <v>25</v>
      </c>
      <c r="H315" s="3" t="s">
        <v>26</v>
      </c>
      <c r="I315" s="3" t="s">
        <v>27</v>
      </c>
      <c r="J315" s="3" t="s">
        <v>28</v>
      </c>
      <c r="K315" s="4" t="s">
        <v>28</v>
      </c>
      <c r="L315" s="4" t="s">
        <v>1809</v>
      </c>
      <c r="M315" s="4"/>
      <c r="N315" s="4"/>
      <c r="O315" s="4"/>
      <c r="P315" s="4"/>
      <c r="Q315" s="4"/>
      <c r="R315" s="3" t="str">
        <f t="shared" si="1"/>
        <v>Outstanding</v>
      </c>
      <c r="S315" s="11" t="s">
        <v>28</v>
      </c>
    </row>
    <row r="316" spans="1:19" ht="60" customHeight="1" x14ac:dyDescent="0.35">
      <c r="A316" s="9" t="s">
        <v>1802</v>
      </c>
      <c r="B316" s="2" t="s">
        <v>1810</v>
      </c>
      <c r="C316" s="1" t="s">
        <v>1811</v>
      </c>
      <c r="D316" s="3" t="s">
        <v>532</v>
      </c>
      <c r="E316" s="3" t="s">
        <v>23</v>
      </c>
      <c r="F316" s="3" t="s">
        <v>48</v>
      </c>
      <c r="G316" s="3" t="s">
        <v>25</v>
      </c>
      <c r="H316" s="3" t="s">
        <v>26</v>
      </c>
      <c r="I316" s="3" t="s">
        <v>27</v>
      </c>
      <c r="J316" s="3" t="s">
        <v>28</v>
      </c>
      <c r="K316" s="4" t="s">
        <v>28</v>
      </c>
      <c r="L316" s="4" t="s">
        <v>1812</v>
      </c>
      <c r="M316" s="4" t="s">
        <v>1813</v>
      </c>
      <c r="N316" s="4" t="s">
        <v>1814</v>
      </c>
      <c r="O316" s="4" t="s">
        <v>1815</v>
      </c>
      <c r="P316" s="4" t="s">
        <v>1816</v>
      </c>
      <c r="Q316" s="4" t="s">
        <v>1817</v>
      </c>
      <c r="R316" s="3" t="str">
        <f t="shared" si="1"/>
        <v>Outstanding</v>
      </c>
      <c r="S316" s="11" t="s">
        <v>28</v>
      </c>
    </row>
    <row r="317" spans="1:19" ht="60" customHeight="1" x14ac:dyDescent="0.35">
      <c r="A317" s="9" t="s">
        <v>1802</v>
      </c>
      <c r="B317" s="2" t="s">
        <v>1818</v>
      </c>
      <c r="C317" s="1" t="s">
        <v>1819</v>
      </c>
      <c r="D317" s="3" t="s">
        <v>532</v>
      </c>
      <c r="E317" s="3" t="s">
        <v>23</v>
      </c>
      <c r="F317" s="3" t="s">
        <v>48</v>
      </c>
      <c r="G317" s="3" t="s">
        <v>25</v>
      </c>
      <c r="H317" s="3" t="s">
        <v>26</v>
      </c>
      <c r="I317" s="3" t="s">
        <v>27</v>
      </c>
      <c r="J317" s="3" t="s">
        <v>28</v>
      </c>
      <c r="K317" s="4" t="s">
        <v>28</v>
      </c>
      <c r="L317" s="4" t="s">
        <v>1820</v>
      </c>
      <c r="M317" s="4"/>
      <c r="N317" s="4"/>
      <c r="O317" s="4"/>
      <c r="P317" s="4"/>
      <c r="Q317" s="4"/>
      <c r="R317" s="3" t="str">
        <f t="shared" si="1"/>
        <v>Outstanding</v>
      </c>
      <c r="S317" s="11" t="s">
        <v>28</v>
      </c>
    </row>
    <row r="318" spans="1:19" ht="60" customHeight="1" x14ac:dyDescent="0.35">
      <c r="A318" s="9" t="s">
        <v>1821</v>
      </c>
      <c r="B318" s="2" t="s">
        <v>1822</v>
      </c>
      <c r="C318" s="1" t="s">
        <v>1823</v>
      </c>
      <c r="D318" s="3" t="s">
        <v>532</v>
      </c>
      <c r="E318" s="3" t="s">
        <v>23</v>
      </c>
      <c r="F318" s="3" t="s">
        <v>24</v>
      </c>
      <c r="G318" s="3" t="s">
        <v>25</v>
      </c>
      <c r="H318" s="3" t="s">
        <v>26</v>
      </c>
      <c r="I318" s="3" t="s">
        <v>27</v>
      </c>
      <c r="J318" s="3" t="s">
        <v>28</v>
      </c>
      <c r="K318" s="4" t="s">
        <v>28</v>
      </c>
      <c r="L318" s="4" t="s">
        <v>1824</v>
      </c>
      <c r="M318" s="4" t="s">
        <v>1825</v>
      </c>
      <c r="N318" s="4"/>
      <c r="O318" s="4"/>
      <c r="P318" s="4"/>
      <c r="Q318" s="4"/>
      <c r="R318" s="3" t="str">
        <f t="shared" si="1"/>
        <v>Outstanding</v>
      </c>
      <c r="S318" s="11" t="s">
        <v>28</v>
      </c>
    </row>
    <row r="319" spans="1:19" ht="60" customHeight="1" x14ac:dyDescent="0.35">
      <c r="A319" s="9" t="s">
        <v>1821</v>
      </c>
      <c r="B319" s="2" t="s">
        <v>1826</v>
      </c>
      <c r="C319" s="1" t="s">
        <v>1827</v>
      </c>
      <c r="D319" s="3" t="s">
        <v>532</v>
      </c>
      <c r="E319" s="3" t="s">
        <v>23</v>
      </c>
      <c r="F319" s="3" t="s">
        <v>48</v>
      </c>
      <c r="G319" s="3" t="s">
        <v>25</v>
      </c>
      <c r="H319" s="3" t="s">
        <v>26</v>
      </c>
      <c r="I319" s="3" t="s">
        <v>27</v>
      </c>
      <c r="J319" s="3" t="s">
        <v>28</v>
      </c>
      <c r="K319" s="4" t="s">
        <v>28</v>
      </c>
      <c r="L319" s="4" t="s">
        <v>1828</v>
      </c>
      <c r="M319" s="4"/>
      <c r="N319" s="4"/>
      <c r="O319" s="4"/>
      <c r="P319" s="4"/>
      <c r="Q319" s="4"/>
      <c r="R319" s="3" t="str">
        <f t="shared" si="1"/>
        <v>Outstanding</v>
      </c>
      <c r="S319" s="11" t="s">
        <v>28</v>
      </c>
    </row>
    <row r="320" spans="1:19" ht="60" customHeight="1" x14ac:dyDescent="0.35">
      <c r="A320" s="9" t="s">
        <v>1829</v>
      </c>
      <c r="B320" s="2" t="s">
        <v>1830</v>
      </c>
      <c r="C320" s="1" t="s">
        <v>1831</v>
      </c>
      <c r="D320" s="3" t="s">
        <v>532</v>
      </c>
      <c r="E320" s="3" t="s">
        <v>23</v>
      </c>
      <c r="F320" s="3" t="s">
        <v>24</v>
      </c>
      <c r="G320" s="3" t="s">
        <v>25</v>
      </c>
      <c r="H320" s="3" t="s">
        <v>26</v>
      </c>
      <c r="I320" s="3" t="s">
        <v>27</v>
      </c>
      <c r="J320" s="3" t="s">
        <v>28</v>
      </c>
      <c r="K320" s="4" t="s">
        <v>28</v>
      </c>
      <c r="L320" s="4" t="s">
        <v>1832</v>
      </c>
      <c r="M320" s="4" t="s">
        <v>1833</v>
      </c>
      <c r="N320" s="4"/>
      <c r="O320" s="4"/>
      <c r="P320" s="4"/>
      <c r="Q320" s="4"/>
      <c r="R320" s="3" t="str">
        <f t="shared" si="1"/>
        <v>Outstanding</v>
      </c>
      <c r="S320" s="11" t="s">
        <v>28</v>
      </c>
    </row>
    <row r="321" spans="1:19" ht="60" customHeight="1" x14ac:dyDescent="0.35">
      <c r="A321" s="9" t="s">
        <v>1829</v>
      </c>
      <c r="B321" s="2" t="s">
        <v>1834</v>
      </c>
      <c r="C321" s="1" t="s">
        <v>1835</v>
      </c>
      <c r="D321" s="3" t="s">
        <v>532</v>
      </c>
      <c r="E321" s="3" t="s">
        <v>23</v>
      </c>
      <c r="F321" s="3" t="s">
        <v>48</v>
      </c>
      <c r="G321" s="3" t="s">
        <v>25</v>
      </c>
      <c r="H321" s="3" t="s">
        <v>26</v>
      </c>
      <c r="I321" s="3" t="s">
        <v>27</v>
      </c>
      <c r="J321" s="3" t="s">
        <v>28</v>
      </c>
      <c r="K321" s="4" t="s">
        <v>28</v>
      </c>
      <c r="L321" s="4" t="s">
        <v>1836</v>
      </c>
      <c r="M321" s="4" t="s">
        <v>1837</v>
      </c>
      <c r="N321" s="4" t="s">
        <v>1838</v>
      </c>
      <c r="O321" s="4" t="s">
        <v>1839</v>
      </c>
      <c r="P321" s="4" t="s">
        <v>1840</v>
      </c>
      <c r="Q321" s="4" t="s">
        <v>1841</v>
      </c>
      <c r="R321" s="3" t="str">
        <f t="shared" si="1"/>
        <v>Outstanding</v>
      </c>
      <c r="S321" s="11" t="s">
        <v>28</v>
      </c>
    </row>
    <row r="322" spans="1:19" ht="60" customHeight="1" x14ac:dyDescent="0.35">
      <c r="A322" s="9" t="s">
        <v>1829</v>
      </c>
      <c r="B322" s="2" t="s">
        <v>1842</v>
      </c>
      <c r="C322" s="1" t="s">
        <v>1843</v>
      </c>
      <c r="D322" s="3" t="s">
        <v>532</v>
      </c>
      <c r="E322" s="3" t="s">
        <v>23</v>
      </c>
      <c r="F322" s="3" t="s">
        <v>48</v>
      </c>
      <c r="G322" s="3" t="s">
        <v>25</v>
      </c>
      <c r="H322" s="3" t="s">
        <v>26</v>
      </c>
      <c r="I322" s="3" t="s">
        <v>27</v>
      </c>
      <c r="J322" s="3" t="s">
        <v>28</v>
      </c>
      <c r="K322" s="4" t="s">
        <v>28</v>
      </c>
      <c r="L322" s="4" t="s">
        <v>1844</v>
      </c>
      <c r="M322" s="4" t="s">
        <v>1845</v>
      </c>
      <c r="N322" s="4" t="s">
        <v>1838</v>
      </c>
      <c r="O322" s="4" t="s">
        <v>1846</v>
      </c>
      <c r="P322" s="4" t="s">
        <v>1847</v>
      </c>
      <c r="Q322" s="4" t="s">
        <v>1848</v>
      </c>
      <c r="R322" s="3" t="str">
        <f t="shared" si="1"/>
        <v>Outstanding</v>
      </c>
      <c r="S322" s="11" t="s">
        <v>28</v>
      </c>
    </row>
    <row r="323" spans="1:19" ht="60" customHeight="1" x14ac:dyDescent="0.35">
      <c r="A323" s="9" t="s">
        <v>1829</v>
      </c>
      <c r="B323" s="2" t="s">
        <v>1849</v>
      </c>
      <c r="C323" s="1" t="s">
        <v>1850</v>
      </c>
      <c r="D323" s="3" t="s">
        <v>532</v>
      </c>
      <c r="E323" s="3" t="s">
        <v>23</v>
      </c>
      <c r="F323" s="3" t="s">
        <v>48</v>
      </c>
      <c r="G323" s="3" t="s">
        <v>25</v>
      </c>
      <c r="H323" s="3" t="s">
        <v>26</v>
      </c>
      <c r="I323" s="3" t="s">
        <v>27</v>
      </c>
      <c r="J323" s="3" t="s">
        <v>28</v>
      </c>
      <c r="K323" s="4" t="s">
        <v>28</v>
      </c>
      <c r="L323" s="4" t="s">
        <v>1851</v>
      </c>
      <c r="M323" s="4" t="s">
        <v>1852</v>
      </c>
      <c r="N323" s="4" t="s">
        <v>1838</v>
      </c>
      <c r="O323" s="4" t="s">
        <v>1853</v>
      </c>
      <c r="P323" s="4" t="s">
        <v>1854</v>
      </c>
      <c r="Q323" s="4" t="s">
        <v>1855</v>
      </c>
      <c r="R323" s="3" t="str">
        <f t="shared" si="1"/>
        <v>Outstanding</v>
      </c>
      <c r="S323" s="11" t="s">
        <v>28</v>
      </c>
    </row>
    <row r="324" spans="1:19" ht="60" customHeight="1" x14ac:dyDescent="0.35">
      <c r="A324" s="9" t="s">
        <v>1829</v>
      </c>
      <c r="B324" s="2" t="s">
        <v>1856</v>
      </c>
      <c r="C324" s="1" t="s">
        <v>1857</v>
      </c>
      <c r="D324" s="3" t="s">
        <v>532</v>
      </c>
      <c r="E324" s="3" t="s">
        <v>23</v>
      </c>
      <c r="F324" s="3" t="s">
        <v>48</v>
      </c>
      <c r="G324" s="3" t="s">
        <v>25</v>
      </c>
      <c r="H324" s="3" t="s">
        <v>26</v>
      </c>
      <c r="I324" s="3" t="s">
        <v>27</v>
      </c>
      <c r="J324" s="3" t="s">
        <v>28</v>
      </c>
      <c r="K324" s="4" t="s">
        <v>28</v>
      </c>
      <c r="L324" s="4" t="s">
        <v>1858</v>
      </c>
      <c r="M324" s="4" t="s">
        <v>1859</v>
      </c>
      <c r="N324" s="4" t="s">
        <v>1860</v>
      </c>
      <c r="O324" s="4" t="s">
        <v>1861</v>
      </c>
      <c r="P324" s="4" t="s">
        <v>1862</v>
      </c>
      <c r="Q324" s="4" t="s">
        <v>1863</v>
      </c>
      <c r="R324" s="3" t="str">
        <f t="shared" si="1"/>
        <v>Outstanding</v>
      </c>
      <c r="S324" s="11" t="s">
        <v>28</v>
      </c>
    </row>
    <row r="325" spans="1:19" ht="60" customHeight="1" x14ac:dyDescent="0.35">
      <c r="A325" s="9" t="s">
        <v>1864</v>
      </c>
      <c r="B325" s="2" t="s">
        <v>1865</v>
      </c>
      <c r="C325" s="1" t="s">
        <v>1866</v>
      </c>
      <c r="D325" s="3" t="s">
        <v>532</v>
      </c>
      <c r="E325" s="3" t="s">
        <v>23</v>
      </c>
      <c r="F325" s="3" t="s">
        <v>24</v>
      </c>
      <c r="G325" s="3" t="s">
        <v>25</v>
      </c>
      <c r="H325" s="3" t="s">
        <v>26</v>
      </c>
      <c r="I325" s="3" t="s">
        <v>27</v>
      </c>
      <c r="J325" s="3" t="s">
        <v>28</v>
      </c>
      <c r="K325" s="4" t="s">
        <v>28</v>
      </c>
      <c r="L325" s="4" t="s">
        <v>1867</v>
      </c>
      <c r="M325" s="4" t="s">
        <v>1868</v>
      </c>
      <c r="N325" s="4"/>
      <c r="O325" s="4"/>
      <c r="P325" s="4"/>
      <c r="Q325" s="4"/>
      <c r="R325" s="3" t="str">
        <f t="shared" si="1"/>
        <v>Outstanding</v>
      </c>
      <c r="S325" s="11" t="s">
        <v>28</v>
      </c>
    </row>
    <row r="326" spans="1:19" ht="60" customHeight="1" x14ac:dyDescent="0.35">
      <c r="A326" s="9" t="s">
        <v>1864</v>
      </c>
      <c r="B326" s="2" t="s">
        <v>1869</v>
      </c>
      <c r="C326" s="1" t="s">
        <v>1870</v>
      </c>
      <c r="D326" s="3" t="s">
        <v>532</v>
      </c>
      <c r="E326" s="3" t="s">
        <v>23</v>
      </c>
      <c r="F326" s="3" t="s">
        <v>48</v>
      </c>
      <c r="G326" s="3" t="s">
        <v>25</v>
      </c>
      <c r="H326" s="3" t="s">
        <v>26</v>
      </c>
      <c r="I326" s="3" t="s">
        <v>27</v>
      </c>
      <c r="J326" s="3" t="s">
        <v>28</v>
      </c>
      <c r="K326" s="4" t="s">
        <v>28</v>
      </c>
      <c r="L326" s="4" t="s">
        <v>1871</v>
      </c>
      <c r="M326" s="4" t="s">
        <v>1872</v>
      </c>
      <c r="N326" s="4" t="s">
        <v>1873</v>
      </c>
      <c r="O326" s="4" t="s">
        <v>1874</v>
      </c>
      <c r="P326" s="4" t="s">
        <v>1875</v>
      </c>
      <c r="Q326" s="4" t="s">
        <v>1876</v>
      </c>
      <c r="R326" s="3" t="str">
        <f t="shared" si="1"/>
        <v>Outstanding</v>
      </c>
      <c r="S326" s="11" t="s">
        <v>28</v>
      </c>
    </row>
    <row r="327" spans="1:19" ht="60" customHeight="1" x14ac:dyDescent="0.35">
      <c r="A327" s="9" t="s">
        <v>1864</v>
      </c>
      <c r="B327" s="2" t="s">
        <v>1877</v>
      </c>
      <c r="C327" s="1" t="s">
        <v>1878</v>
      </c>
      <c r="D327" s="3" t="s">
        <v>532</v>
      </c>
      <c r="E327" s="3" t="s">
        <v>23</v>
      </c>
      <c r="F327" s="3" t="s">
        <v>48</v>
      </c>
      <c r="G327" s="3" t="s">
        <v>25</v>
      </c>
      <c r="H327" s="3" t="s">
        <v>26</v>
      </c>
      <c r="I327" s="3" t="s">
        <v>27</v>
      </c>
      <c r="J327" s="3" t="s">
        <v>28</v>
      </c>
      <c r="K327" s="4" t="s">
        <v>28</v>
      </c>
      <c r="L327" s="4" t="s">
        <v>1879</v>
      </c>
      <c r="M327" s="4" t="s">
        <v>1880</v>
      </c>
      <c r="N327" s="4" t="s">
        <v>1881</v>
      </c>
      <c r="O327" s="4" t="s">
        <v>1882</v>
      </c>
      <c r="P327" s="4" t="s">
        <v>1883</v>
      </c>
      <c r="Q327" s="4" t="s">
        <v>1884</v>
      </c>
      <c r="R327" s="3" t="str">
        <f t="shared" si="1"/>
        <v>Outstanding</v>
      </c>
      <c r="S327" s="11" t="s">
        <v>28</v>
      </c>
    </row>
    <row r="328" spans="1:19" ht="60" customHeight="1" x14ac:dyDescent="0.35">
      <c r="A328" s="9" t="s">
        <v>1864</v>
      </c>
      <c r="B328" s="2" t="s">
        <v>1885</v>
      </c>
      <c r="C328" s="1" t="s">
        <v>1886</v>
      </c>
      <c r="D328" s="3" t="s">
        <v>532</v>
      </c>
      <c r="E328" s="3" t="s">
        <v>23</v>
      </c>
      <c r="F328" s="3" t="s">
        <v>48</v>
      </c>
      <c r="G328" s="3" t="s">
        <v>25</v>
      </c>
      <c r="H328" s="3" t="s">
        <v>26</v>
      </c>
      <c r="I328" s="3" t="s">
        <v>27</v>
      </c>
      <c r="J328" s="3" t="s">
        <v>28</v>
      </c>
      <c r="K328" s="4" t="s">
        <v>28</v>
      </c>
      <c r="L328" s="4" t="s">
        <v>1887</v>
      </c>
      <c r="M328" s="4" t="s">
        <v>1888</v>
      </c>
      <c r="N328" s="4" t="s">
        <v>1889</v>
      </c>
      <c r="O328" s="4" t="s">
        <v>1890</v>
      </c>
      <c r="P328" s="4" t="s">
        <v>1891</v>
      </c>
      <c r="Q328" s="4" t="s">
        <v>1892</v>
      </c>
      <c r="R328" s="3" t="str">
        <f t="shared" si="1"/>
        <v>Outstanding</v>
      </c>
      <c r="S328" s="11" t="s">
        <v>28</v>
      </c>
    </row>
    <row r="329" spans="1:19" ht="60" customHeight="1" x14ac:dyDescent="0.35">
      <c r="A329" s="9" t="s">
        <v>1864</v>
      </c>
      <c r="B329" s="2" t="s">
        <v>1893</v>
      </c>
      <c r="C329" s="1" t="s">
        <v>1894</v>
      </c>
      <c r="D329" s="3" t="s">
        <v>532</v>
      </c>
      <c r="E329" s="3" t="s">
        <v>23</v>
      </c>
      <c r="F329" s="3" t="s">
        <v>48</v>
      </c>
      <c r="G329" s="3" t="s">
        <v>25</v>
      </c>
      <c r="H329" s="3" t="s">
        <v>26</v>
      </c>
      <c r="I329" s="3" t="s">
        <v>27</v>
      </c>
      <c r="J329" s="3" t="s">
        <v>28</v>
      </c>
      <c r="K329" s="4" t="s">
        <v>28</v>
      </c>
      <c r="L329" s="4" t="s">
        <v>1895</v>
      </c>
      <c r="M329" s="4" t="s">
        <v>1896</v>
      </c>
      <c r="N329" s="4" t="s">
        <v>1897</v>
      </c>
      <c r="O329" s="4" t="s">
        <v>265</v>
      </c>
      <c r="P329" s="4" t="s">
        <v>1898</v>
      </c>
      <c r="Q329" s="4" t="s">
        <v>1899</v>
      </c>
      <c r="R329" s="3" t="str">
        <f t="shared" si="1"/>
        <v>Outstanding</v>
      </c>
      <c r="S329" s="11" t="s">
        <v>28</v>
      </c>
    </row>
    <row r="330" spans="1:19" ht="60" customHeight="1" x14ac:dyDescent="0.35">
      <c r="A330" s="9" t="s">
        <v>1864</v>
      </c>
      <c r="B330" s="2" t="s">
        <v>1900</v>
      </c>
      <c r="C330" s="1" t="s">
        <v>1901</v>
      </c>
      <c r="D330" s="3" t="s">
        <v>532</v>
      </c>
      <c r="E330" s="3" t="s">
        <v>23</v>
      </c>
      <c r="F330" s="3" t="s">
        <v>48</v>
      </c>
      <c r="G330" s="3" t="s">
        <v>25</v>
      </c>
      <c r="H330" s="3" t="s">
        <v>26</v>
      </c>
      <c r="I330" s="3" t="s">
        <v>27</v>
      </c>
      <c r="J330" s="3" t="s">
        <v>28</v>
      </c>
      <c r="K330" s="4" t="s">
        <v>28</v>
      </c>
      <c r="L330" s="4" t="s">
        <v>1902</v>
      </c>
      <c r="M330" s="4" t="s">
        <v>1903</v>
      </c>
      <c r="N330" s="4" t="s">
        <v>1904</v>
      </c>
      <c r="O330" s="4" t="s">
        <v>265</v>
      </c>
      <c r="P330" s="4" t="s">
        <v>1905</v>
      </c>
      <c r="Q330" s="4" t="s">
        <v>1906</v>
      </c>
      <c r="R330" s="3" t="str">
        <f t="shared" si="1"/>
        <v>Outstanding</v>
      </c>
      <c r="S330" s="11" t="s">
        <v>28</v>
      </c>
    </row>
    <row r="331" spans="1:19" ht="60" customHeight="1" x14ac:dyDescent="0.35">
      <c r="A331" s="9" t="s">
        <v>1864</v>
      </c>
      <c r="B331" s="2" t="s">
        <v>1907</v>
      </c>
      <c r="C331" s="1" t="s">
        <v>1908</v>
      </c>
      <c r="D331" s="3" t="s">
        <v>532</v>
      </c>
      <c r="E331" s="3" t="s">
        <v>23</v>
      </c>
      <c r="F331" s="3" t="s">
        <v>48</v>
      </c>
      <c r="G331" s="3" t="s">
        <v>25</v>
      </c>
      <c r="H331" s="3" t="s">
        <v>26</v>
      </c>
      <c r="I331" s="3" t="s">
        <v>27</v>
      </c>
      <c r="J331" s="3" t="s">
        <v>28</v>
      </c>
      <c r="K331" s="4" t="s">
        <v>28</v>
      </c>
      <c r="L331" s="4" t="s">
        <v>1909</v>
      </c>
      <c r="M331" s="4" t="s">
        <v>1910</v>
      </c>
      <c r="N331" s="4" t="s">
        <v>1911</v>
      </c>
      <c r="O331" s="4" t="s">
        <v>1912</v>
      </c>
      <c r="P331" s="4" t="s">
        <v>1913</v>
      </c>
      <c r="Q331" s="4" t="s">
        <v>1914</v>
      </c>
      <c r="R331" s="3" t="str">
        <f t="shared" si="1"/>
        <v>Outstanding</v>
      </c>
      <c r="S331" s="11" t="s">
        <v>28</v>
      </c>
    </row>
    <row r="332" spans="1:19" ht="60" customHeight="1" x14ac:dyDescent="0.35">
      <c r="A332" s="9" t="s">
        <v>1864</v>
      </c>
      <c r="B332" s="2" t="s">
        <v>1915</v>
      </c>
      <c r="C332" s="1" t="s">
        <v>1916</v>
      </c>
      <c r="D332" s="3" t="s">
        <v>532</v>
      </c>
      <c r="E332" s="3" t="s">
        <v>23</v>
      </c>
      <c r="F332" s="3" t="s">
        <v>48</v>
      </c>
      <c r="G332" s="3" t="s">
        <v>25</v>
      </c>
      <c r="H332" s="3" t="s">
        <v>26</v>
      </c>
      <c r="I332" s="3" t="s">
        <v>27</v>
      </c>
      <c r="J332" s="3" t="s">
        <v>28</v>
      </c>
      <c r="K332" s="4" t="s">
        <v>28</v>
      </c>
      <c r="L332" s="4" t="s">
        <v>1917</v>
      </c>
      <c r="M332" s="4" t="s">
        <v>1918</v>
      </c>
      <c r="N332" s="4" t="s">
        <v>1919</v>
      </c>
      <c r="O332" s="4" t="s">
        <v>265</v>
      </c>
      <c r="P332" s="4" t="s">
        <v>1920</v>
      </c>
      <c r="Q332" s="4" t="s">
        <v>1921</v>
      </c>
      <c r="R332" s="3" t="str">
        <f t="shared" si="1"/>
        <v>Outstanding</v>
      </c>
      <c r="S332" s="11" t="s">
        <v>28</v>
      </c>
    </row>
    <row r="333" spans="1:19" ht="60" customHeight="1" x14ac:dyDescent="0.35">
      <c r="A333" s="9" t="s">
        <v>1864</v>
      </c>
      <c r="B333" s="2" t="s">
        <v>1922</v>
      </c>
      <c r="C333" s="1" t="s">
        <v>1923</v>
      </c>
      <c r="D333" s="3" t="s">
        <v>532</v>
      </c>
      <c r="E333" s="3" t="s">
        <v>23</v>
      </c>
      <c r="F333" s="3" t="s">
        <v>48</v>
      </c>
      <c r="G333" s="3" t="s">
        <v>25</v>
      </c>
      <c r="H333" s="3" t="s">
        <v>26</v>
      </c>
      <c r="I333" s="3" t="s">
        <v>27</v>
      </c>
      <c r="J333" s="3" t="s">
        <v>28</v>
      </c>
      <c r="K333" s="4" t="s">
        <v>28</v>
      </c>
      <c r="L333" s="4" t="s">
        <v>1924</v>
      </c>
      <c r="M333" s="4" t="s">
        <v>1925</v>
      </c>
      <c r="N333" s="4" t="s">
        <v>1926</v>
      </c>
      <c r="O333" s="4" t="s">
        <v>1927</v>
      </c>
      <c r="P333" s="4" t="s">
        <v>1928</v>
      </c>
      <c r="Q333" s="4" t="s">
        <v>1929</v>
      </c>
      <c r="R333" s="3" t="str">
        <f t="shared" si="1"/>
        <v>Outstanding</v>
      </c>
      <c r="S333" s="11" t="s">
        <v>28</v>
      </c>
    </row>
    <row r="334" spans="1:19" ht="60" customHeight="1" x14ac:dyDescent="0.35">
      <c r="A334" s="9" t="s">
        <v>1864</v>
      </c>
      <c r="B334" s="2" t="s">
        <v>1930</v>
      </c>
      <c r="C334" s="1" t="s">
        <v>1931</v>
      </c>
      <c r="D334" s="3" t="s">
        <v>532</v>
      </c>
      <c r="E334" s="3" t="s">
        <v>23</v>
      </c>
      <c r="F334" s="3" t="s">
        <v>48</v>
      </c>
      <c r="G334" s="3" t="s">
        <v>25</v>
      </c>
      <c r="H334" s="3" t="s">
        <v>26</v>
      </c>
      <c r="I334" s="3" t="s">
        <v>27</v>
      </c>
      <c r="J334" s="3" t="s">
        <v>28</v>
      </c>
      <c r="K334" s="4" t="s">
        <v>28</v>
      </c>
      <c r="L334" s="4" t="s">
        <v>1932</v>
      </c>
      <c r="M334" s="4" t="s">
        <v>1933</v>
      </c>
      <c r="N334" s="4" t="s">
        <v>1934</v>
      </c>
      <c r="O334" s="4" t="s">
        <v>1935</v>
      </c>
      <c r="P334" s="4" t="s">
        <v>1936</v>
      </c>
      <c r="Q334" s="4" t="s">
        <v>1937</v>
      </c>
      <c r="R334" s="3" t="str">
        <f t="shared" si="1"/>
        <v>Outstanding</v>
      </c>
      <c r="S334" s="11" t="s">
        <v>28</v>
      </c>
    </row>
    <row r="335" spans="1:19" ht="60" customHeight="1" x14ac:dyDescent="0.35">
      <c r="A335" s="9" t="s">
        <v>1864</v>
      </c>
      <c r="B335" s="2" t="s">
        <v>1938</v>
      </c>
      <c r="C335" s="1" t="s">
        <v>1939</v>
      </c>
      <c r="D335" s="3" t="s">
        <v>532</v>
      </c>
      <c r="E335" s="3" t="s">
        <v>23</v>
      </c>
      <c r="F335" s="3" t="s">
        <v>48</v>
      </c>
      <c r="G335" s="3" t="s">
        <v>25</v>
      </c>
      <c r="H335" s="3" t="s">
        <v>26</v>
      </c>
      <c r="I335" s="3" t="s">
        <v>27</v>
      </c>
      <c r="J335" s="3" t="s">
        <v>28</v>
      </c>
      <c r="K335" s="4" t="s">
        <v>28</v>
      </c>
      <c r="L335" s="4" t="s">
        <v>1940</v>
      </c>
      <c r="M335" s="4" t="s">
        <v>1941</v>
      </c>
      <c r="N335" s="4" t="s">
        <v>1942</v>
      </c>
      <c r="O335" s="4" t="s">
        <v>1935</v>
      </c>
      <c r="P335" s="4" t="s">
        <v>1943</v>
      </c>
      <c r="Q335" s="4" t="s">
        <v>1944</v>
      </c>
      <c r="R335" s="3" t="str">
        <f t="shared" si="1"/>
        <v>Outstanding</v>
      </c>
      <c r="S335" s="11" t="s">
        <v>28</v>
      </c>
    </row>
    <row r="336" spans="1:19" ht="60" customHeight="1" x14ac:dyDescent="0.35">
      <c r="A336" s="9" t="s">
        <v>1864</v>
      </c>
      <c r="B336" s="2" t="s">
        <v>1945</v>
      </c>
      <c r="C336" s="1" t="s">
        <v>1946</v>
      </c>
      <c r="D336" s="3" t="s">
        <v>532</v>
      </c>
      <c r="E336" s="3" t="s">
        <v>23</v>
      </c>
      <c r="F336" s="3" t="s">
        <v>48</v>
      </c>
      <c r="G336" s="3" t="s">
        <v>25</v>
      </c>
      <c r="H336" s="3" t="s">
        <v>26</v>
      </c>
      <c r="I336" s="3" t="s">
        <v>27</v>
      </c>
      <c r="J336" s="3" t="s">
        <v>28</v>
      </c>
      <c r="K336" s="4" t="s">
        <v>28</v>
      </c>
      <c r="L336" s="4" t="s">
        <v>1947</v>
      </c>
      <c r="M336" s="4" t="s">
        <v>1948</v>
      </c>
      <c r="N336" s="4" t="s">
        <v>1949</v>
      </c>
      <c r="O336" s="4" t="s">
        <v>1950</v>
      </c>
      <c r="P336" s="4" t="s">
        <v>1951</v>
      </c>
      <c r="Q336" s="4" t="s">
        <v>1952</v>
      </c>
      <c r="R336" s="3" t="str">
        <f t="shared" si="1"/>
        <v>Outstanding</v>
      </c>
      <c r="S336" s="11" t="s">
        <v>28</v>
      </c>
    </row>
    <row r="337" spans="1:19" ht="60" customHeight="1" x14ac:dyDescent="0.35">
      <c r="A337" s="9" t="s">
        <v>1864</v>
      </c>
      <c r="B337" s="2" t="s">
        <v>1953</v>
      </c>
      <c r="C337" s="1" t="s">
        <v>1954</v>
      </c>
      <c r="D337" s="3" t="s">
        <v>532</v>
      </c>
      <c r="E337" s="3" t="s">
        <v>23</v>
      </c>
      <c r="F337" s="3" t="s">
        <v>48</v>
      </c>
      <c r="G337" s="3" t="s">
        <v>25</v>
      </c>
      <c r="H337" s="3" t="s">
        <v>26</v>
      </c>
      <c r="I337" s="3" t="s">
        <v>27</v>
      </c>
      <c r="J337" s="3" t="s">
        <v>28</v>
      </c>
      <c r="K337" s="4" t="s">
        <v>28</v>
      </c>
      <c r="L337" s="4" t="s">
        <v>1955</v>
      </c>
      <c r="M337" s="4" t="s">
        <v>1956</v>
      </c>
      <c r="N337" s="4" t="s">
        <v>1957</v>
      </c>
      <c r="O337" s="4" t="s">
        <v>265</v>
      </c>
      <c r="P337" s="4" t="s">
        <v>1958</v>
      </c>
      <c r="Q337" s="4" t="s">
        <v>1959</v>
      </c>
      <c r="R337" s="3" t="str">
        <f t="shared" si="1"/>
        <v>Outstanding</v>
      </c>
      <c r="S337" s="11" t="s">
        <v>28</v>
      </c>
    </row>
    <row r="338" spans="1:19" ht="60" customHeight="1" x14ac:dyDescent="0.35">
      <c r="A338" s="9" t="s">
        <v>1864</v>
      </c>
      <c r="B338" s="2" t="s">
        <v>1960</v>
      </c>
      <c r="C338" s="1" t="s">
        <v>1961</v>
      </c>
      <c r="D338" s="3" t="s">
        <v>532</v>
      </c>
      <c r="E338" s="3" t="s">
        <v>23</v>
      </c>
      <c r="F338" s="3" t="s">
        <v>48</v>
      </c>
      <c r="G338" s="3" t="s">
        <v>25</v>
      </c>
      <c r="H338" s="3" t="s">
        <v>26</v>
      </c>
      <c r="I338" s="3" t="s">
        <v>27</v>
      </c>
      <c r="J338" s="3" t="s">
        <v>28</v>
      </c>
      <c r="K338" s="4" t="s">
        <v>28</v>
      </c>
      <c r="L338" s="4" t="s">
        <v>1962</v>
      </c>
      <c r="M338" s="4"/>
      <c r="N338" s="4"/>
      <c r="O338" s="4"/>
      <c r="P338" s="4"/>
      <c r="Q338" s="4"/>
      <c r="R338" s="3" t="str">
        <f t="shared" si="1"/>
        <v>Outstanding</v>
      </c>
      <c r="S338" s="11" t="s">
        <v>28</v>
      </c>
    </row>
    <row r="339" spans="1:19" ht="60" customHeight="1" x14ac:dyDescent="0.35">
      <c r="A339" s="9" t="s">
        <v>1963</v>
      </c>
      <c r="B339" s="2" t="s">
        <v>1964</v>
      </c>
      <c r="C339" s="1" t="s">
        <v>1965</v>
      </c>
      <c r="D339" s="3" t="s">
        <v>532</v>
      </c>
      <c r="E339" s="3" t="s">
        <v>23</v>
      </c>
      <c r="F339" s="3" t="s">
        <v>24</v>
      </c>
      <c r="G339" s="3" t="s">
        <v>25</v>
      </c>
      <c r="H339" s="3" t="s">
        <v>26</v>
      </c>
      <c r="I339" s="3" t="s">
        <v>27</v>
      </c>
      <c r="J339" s="3" t="s">
        <v>28</v>
      </c>
      <c r="K339" s="4" t="s">
        <v>28</v>
      </c>
      <c r="L339" s="4" t="s">
        <v>1966</v>
      </c>
      <c r="M339" s="4" t="s">
        <v>1967</v>
      </c>
      <c r="N339" s="4"/>
      <c r="O339" s="4"/>
      <c r="P339" s="4"/>
      <c r="Q339" s="4"/>
      <c r="R339" s="3" t="str">
        <f t="shared" si="1"/>
        <v>Outstanding</v>
      </c>
      <c r="S339" s="11" t="s">
        <v>28</v>
      </c>
    </row>
    <row r="340" spans="1:19" ht="60" customHeight="1" x14ac:dyDescent="0.35">
      <c r="A340" s="9" t="s">
        <v>1963</v>
      </c>
      <c r="B340" s="2" t="s">
        <v>1968</v>
      </c>
      <c r="C340" s="1" t="s">
        <v>1969</v>
      </c>
      <c r="D340" s="3" t="s">
        <v>532</v>
      </c>
      <c r="E340" s="3" t="s">
        <v>23</v>
      </c>
      <c r="F340" s="3" t="s">
        <v>48</v>
      </c>
      <c r="G340" s="3" t="s">
        <v>25</v>
      </c>
      <c r="H340" s="3" t="s">
        <v>26</v>
      </c>
      <c r="I340" s="3" t="s">
        <v>27</v>
      </c>
      <c r="J340" s="3" t="s">
        <v>28</v>
      </c>
      <c r="K340" s="4" t="s">
        <v>28</v>
      </c>
      <c r="L340" s="4" t="s">
        <v>1970</v>
      </c>
      <c r="M340" s="4" t="s">
        <v>1971</v>
      </c>
      <c r="N340" s="4" t="s">
        <v>1972</v>
      </c>
      <c r="O340" s="4" t="s">
        <v>1973</v>
      </c>
      <c r="P340" s="4" t="s">
        <v>1974</v>
      </c>
      <c r="Q340" s="4" t="s">
        <v>1975</v>
      </c>
      <c r="R340" s="3" t="str">
        <f t="shared" si="1"/>
        <v>Outstanding</v>
      </c>
      <c r="S340" s="11" t="s">
        <v>28</v>
      </c>
    </row>
    <row r="341" spans="1:19" ht="60" customHeight="1" x14ac:dyDescent="0.35">
      <c r="A341" s="9" t="s">
        <v>1963</v>
      </c>
      <c r="B341" s="2" t="s">
        <v>1976</v>
      </c>
      <c r="C341" s="1" t="s">
        <v>1977</v>
      </c>
      <c r="D341" s="3" t="s">
        <v>532</v>
      </c>
      <c r="E341" s="3" t="s">
        <v>23</v>
      </c>
      <c r="F341" s="3" t="s">
        <v>48</v>
      </c>
      <c r="G341" s="3" t="s">
        <v>25</v>
      </c>
      <c r="H341" s="3" t="s">
        <v>26</v>
      </c>
      <c r="I341" s="3" t="s">
        <v>27</v>
      </c>
      <c r="J341" s="3" t="s">
        <v>28</v>
      </c>
      <c r="K341" s="4" t="s">
        <v>28</v>
      </c>
      <c r="L341" s="4" t="s">
        <v>1978</v>
      </c>
      <c r="M341" s="4" t="s">
        <v>1979</v>
      </c>
      <c r="N341" s="4" t="s">
        <v>1972</v>
      </c>
      <c r="O341" s="4" t="s">
        <v>1973</v>
      </c>
      <c r="P341" s="4" t="s">
        <v>1980</v>
      </c>
      <c r="Q341" s="4" t="s">
        <v>1981</v>
      </c>
      <c r="R341" s="3" t="str">
        <f t="shared" si="1"/>
        <v>Outstanding</v>
      </c>
      <c r="S341" s="11" t="s">
        <v>28</v>
      </c>
    </row>
    <row r="342" spans="1:19" ht="60" customHeight="1" x14ac:dyDescent="0.35">
      <c r="A342" s="9" t="s">
        <v>1963</v>
      </c>
      <c r="B342" s="2" t="s">
        <v>1982</v>
      </c>
      <c r="C342" s="1" t="s">
        <v>1983</v>
      </c>
      <c r="D342" s="3" t="s">
        <v>532</v>
      </c>
      <c r="E342" s="3" t="s">
        <v>23</v>
      </c>
      <c r="F342" s="3" t="s">
        <v>48</v>
      </c>
      <c r="G342" s="3" t="s">
        <v>25</v>
      </c>
      <c r="H342" s="3" t="s">
        <v>26</v>
      </c>
      <c r="I342" s="3" t="s">
        <v>27</v>
      </c>
      <c r="J342" s="3" t="s">
        <v>28</v>
      </c>
      <c r="K342" s="4" t="s">
        <v>28</v>
      </c>
      <c r="L342" s="4" t="s">
        <v>1984</v>
      </c>
      <c r="M342" s="4"/>
      <c r="N342" s="4"/>
      <c r="O342" s="4"/>
      <c r="P342" s="4"/>
      <c r="Q342" s="4"/>
      <c r="R342" s="3" t="str">
        <f t="shared" si="1"/>
        <v>Outstanding</v>
      </c>
      <c r="S342" s="11" t="s">
        <v>28</v>
      </c>
    </row>
    <row r="343" spans="1:19" ht="60" customHeight="1" x14ac:dyDescent="0.35">
      <c r="A343" s="9" t="s">
        <v>1963</v>
      </c>
      <c r="B343" s="2" t="s">
        <v>1985</v>
      </c>
      <c r="C343" s="1" t="s">
        <v>1986</v>
      </c>
      <c r="D343" s="3" t="s">
        <v>532</v>
      </c>
      <c r="E343" s="3" t="s">
        <v>23</v>
      </c>
      <c r="F343" s="3" t="s">
        <v>48</v>
      </c>
      <c r="G343" s="3" t="s">
        <v>25</v>
      </c>
      <c r="H343" s="3" t="s">
        <v>26</v>
      </c>
      <c r="I343" s="3" t="s">
        <v>27</v>
      </c>
      <c r="J343" s="3" t="s">
        <v>28</v>
      </c>
      <c r="K343" s="4" t="s">
        <v>28</v>
      </c>
      <c r="L343" s="4" t="s">
        <v>1987</v>
      </c>
      <c r="M343" s="4" t="s">
        <v>1988</v>
      </c>
      <c r="N343" s="4" t="s">
        <v>1989</v>
      </c>
      <c r="O343" s="4" t="s">
        <v>1990</v>
      </c>
      <c r="P343" s="4" t="s">
        <v>1991</v>
      </c>
      <c r="Q343" s="4" t="s">
        <v>1992</v>
      </c>
      <c r="R343" s="3" t="str">
        <f t="shared" si="1"/>
        <v>Outstanding</v>
      </c>
      <c r="S343" s="11" t="s">
        <v>28</v>
      </c>
    </row>
    <row r="344" spans="1:19" ht="60" customHeight="1" x14ac:dyDescent="0.35">
      <c r="A344" s="9" t="s">
        <v>1963</v>
      </c>
      <c r="B344" s="2" t="s">
        <v>1993</v>
      </c>
      <c r="C344" s="1" t="s">
        <v>1994</v>
      </c>
      <c r="D344" s="3" t="s">
        <v>532</v>
      </c>
      <c r="E344" s="3" t="s">
        <v>23</v>
      </c>
      <c r="F344" s="3" t="s">
        <v>48</v>
      </c>
      <c r="G344" s="3" t="s">
        <v>25</v>
      </c>
      <c r="H344" s="3" t="s">
        <v>26</v>
      </c>
      <c r="I344" s="3" t="s">
        <v>27</v>
      </c>
      <c r="J344" s="3" t="s">
        <v>28</v>
      </c>
      <c r="K344" s="4" t="s">
        <v>28</v>
      </c>
      <c r="L344" s="4" t="s">
        <v>1995</v>
      </c>
      <c r="M344" s="4" t="s">
        <v>1996</v>
      </c>
      <c r="N344" s="4" t="s">
        <v>1997</v>
      </c>
      <c r="O344" s="4" t="s">
        <v>1998</v>
      </c>
      <c r="P344" s="4" t="s">
        <v>1999</v>
      </c>
      <c r="Q344" s="4" t="s">
        <v>2000</v>
      </c>
      <c r="R344" s="3" t="str">
        <f t="shared" si="1"/>
        <v>Outstanding</v>
      </c>
      <c r="S344" s="11" t="s">
        <v>28</v>
      </c>
    </row>
    <row r="345" spans="1:19" ht="60" customHeight="1" x14ac:dyDescent="0.35">
      <c r="A345" s="9" t="s">
        <v>1963</v>
      </c>
      <c r="B345" s="2" t="s">
        <v>2001</v>
      </c>
      <c r="C345" s="1" t="s">
        <v>2002</v>
      </c>
      <c r="D345" s="3" t="s">
        <v>532</v>
      </c>
      <c r="E345" s="3" t="s">
        <v>23</v>
      </c>
      <c r="F345" s="3" t="s">
        <v>48</v>
      </c>
      <c r="G345" s="3" t="s">
        <v>25</v>
      </c>
      <c r="H345" s="3" t="s">
        <v>26</v>
      </c>
      <c r="I345" s="3" t="s">
        <v>27</v>
      </c>
      <c r="J345" s="3" t="s">
        <v>28</v>
      </c>
      <c r="K345" s="4" t="s">
        <v>28</v>
      </c>
      <c r="L345" s="4" t="s">
        <v>2003</v>
      </c>
      <c r="M345" s="4" t="s">
        <v>2004</v>
      </c>
      <c r="N345" s="4" t="s">
        <v>2005</v>
      </c>
      <c r="O345" s="4" t="s">
        <v>1990</v>
      </c>
      <c r="P345" s="4" t="s">
        <v>2006</v>
      </c>
      <c r="Q345" s="4" t="s">
        <v>1992</v>
      </c>
      <c r="R345" s="3" t="str">
        <f t="shared" si="1"/>
        <v>Outstanding</v>
      </c>
      <c r="S345" s="11" t="s">
        <v>28</v>
      </c>
    </row>
    <row r="346" spans="1:19" ht="60" customHeight="1" x14ac:dyDescent="0.35">
      <c r="A346" s="9" t="s">
        <v>2007</v>
      </c>
      <c r="B346" s="2" t="s">
        <v>2008</v>
      </c>
      <c r="C346" s="1" t="s">
        <v>2009</v>
      </c>
      <c r="D346" s="3" t="s">
        <v>532</v>
      </c>
      <c r="E346" s="3" t="s">
        <v>23</v>
      </c>
      <c r="F346" s="3" t="s">
        <v>24</v>
      </c>
      <c r="G346" s="3" t="s">
        <v>25</v>
      </c>
      <c r="H346" s="3" t="s">
        <v>26</v>
      </c>
      <c r="I346" s="3" t="s">
        <v>27</v>
      </c>
      <c r="J346" s="3" t="s">
        <v>28</v>
      </c>
      <c r="K346" s="4" t="s">
        <v>28</v>
      </c>
      <c r="L346" s="4" t="s">
        <v>2010</v>
      </c>
      <c r="M346" s="4" t="s">
        <v>2011</v>
      </c>
      <c r="N346" s="4"/>
      <c r="O346" s="4"/>
      <c r="P346" s="4"/>
      <c r="Q346" s="4"/>
      <c r="R346" s="3" t="str">
        <f t="shared" si="1"/>
        <v>Outstanding</v>
      </c>
      <c r="S346" s="11" t="s">
        <v>28</v>
      </c>
    </row>
    <row r="347" spans="1:19" ht="60" customHeight="1" x14ac:dyDescent="0.35">
      <c r="A347" s="9" t="s">
        <v>2007</v>
      </c>
      <c r="B347" s="2" t="s">
        <v>2012</v>
      </c>
      <c r="C347" s="1" t="s">
        <v>2013</v>
      </c>
      <c r="D347" s="3" t="s">
        <v>532</v>
      </c>
      <c r="E347" s="3" t="s">
        <v>23</v>
      </c>
      <c r="F347" s="3" t="s">
        <v>48</v>
      </c>
      <c r="G347" s="3" t="s">
        <v>25</v>
      </c>
      <c r="H347" s="3" t="s">
        <v>26</v>
      </c>
      <c r="I347" s="3" t="s">
        <v>27</v>
      </c>
      <c r="J347" s="3" t="s">
        <v>28</v>
      </c>
      <c r="K347" s="4" t="s">
        <v>28</v>
      </c>
      <c r="L347" s="4" t="s">
        <v>2014</v>
      </c>
      <c r="M347" s="4" t="s">
        <v>2015</v>
      </c>
      <c r="N347" s="4" t="s">
        <v>2016</v>
      </c>
      <c r="O347" s="4" t="s">
        <v>2017</v>
      </c>
      <c r="P347" s="4" t="s">
        <v>2018</v>
      </c>
      <c r="Q347" s="4" t="s">
        <v>2019</v>
      </c>
      <c r="R347" s="3" t="str">
        <f t="shared" si="1"/>
        <v>Outstanding</v>
      </c>
      <c r="S347" s="11" t="s">
        <v>28</v>
      </c>
    </row>
    <row r="348" spans="1:19" ht="60" customHeight="1" x14ac:dyDescent="0.35">
      <c r="A348" s="9" t="s">
        <v>2007</v>
      </c>
      <c r="B348" s="2" t="s">
        <v>2020</v>
      </c>
      <c r="C348" s="1" t="s">
        <v>2021</v>
      </c>
      <c r="D348" s="3" t="s">
        <v>532</v>
      </c>
      <c r="E348" s="3" t="s">
        <v>23</v>
      </c>
      <c r="F348" s="3" t="s">
        <v>48</v>
      </c>
      <c r="G348" s="3" t="s">
        <v>25</v>
      </c>
      <c r="H348" s="3" t="s">
        <v>26</v>
      </c>
      <c r="I348" s="3" t="s">
        <v>27</v>
      </c>
      <c r="J348" s="3" t="s">
        <v>28</v>
      </c>
      <c r="K348" s="4" t="s">
        <v>28</v>
      </c>
      <c r="L348" s="4" t="s">
        <v>2022</v>
      </c>
      <c r="M348" s="4" t="s">
        <v>2023</v>
      </c>
      <c r="N348" s="4" t="s">
        <v>2024</v>
      </c>
      <c r="O348" s="4" t="s">
        <v>2025</v>
      </c>
      <c r="P348" s="4" t="s">
        <v>2026</v>
      </c>
      <c r="Q348" s="4" t="s">
        <v>2027</v>
      </c>
      <c r="R348" s="3" t="str">
        <f t="shared" si="1"/>
        <v>Outstanding</v>
      </c>
      <c r="S348" s="11" t="s">
        <v>28</v>
      </c>
    </row>
    <row r="349" spans="1:19" ht="60" customHeight="1" x14ac:dyDescent="0.35">
      <c r="A349" s="9" t="s">
        <v>2007</v>
      </c>
      <c r="B349" s="2" t="s">
        <v>2028</v>
      </c>
      <c r="C349" s="1" t="s">
        <v>2029</v>
      </c>
      <c r="D349" s="3" t="s">
        <v>532</v>
      </c>
      <c r="E349" s="3" t="s">
        <v>23</v>
      </c>
      <c r="F349" s="3" t="s">
        <v>48</v>
      </c>
      <c r="G349" s="3" t="s">
        <v>25</v>
      </c>
      <c r="H349" s="3" t="s">
        <v>26</v>
      </c>
      <c r="I349" s="3" t="s">
        <v>27</v>
      </c>
      <c r="J349" s="3" t="s">
        <v>28</v>
      </c>
      <c r="K349" s="4" t="s">
        <v>28</v>
      </c>
      <c r="L349" s="4" t="s">
        <v>2030</v>
      </c>
      <c r="M349" s="4" t="s">
        <v>2031</v>
      </c>
      <c r="N349" s="4" t="s">
        <v>2032</v>
      </c>
      <c r="O349" s="4" t="s">
        <v>2033</v>
      </c>
      <c r="P349" s="4" t="s">
        <v>2034</v>
      </c>
      <c r="Q349" s="4" t="s">
        <v>2035</v>
      </c>
      <c r="R349" s="3" t="str">
        <f t="shared" si="1"/>
        <v>Outstanding</v>
      </c>
      <c r="S349" s="11" t="s">
        <v>28</v>
      </c>
    </row>
    <row r="350" spans="1:19" ht="60" customHeight="1" x14ac:dyDescent="0.35">
      <c r="A350" s="9" t="s">
        <v>2007</v>
      </c>
      <c r="B350" s="2" t="s">
        <v>2036</v>
      </c>
      <c r="C350" s="1" t="s">
        <v>2037</v>
      </c>
      <c r="D350" s="3" t="s">
        <v>532</v>
      </c>
      <c r="E350" s="3" t="s">
        <v>23</v>
      </c>
      <c r="F350" s="3" t="s">
        <v>48</v>
      </c>
      <c r="G350" s="3" t="s">
        <v>25</v>
      </c>
      <c r="H350" s="3" t="s">
        <v>26</v>
      </c>
      <c r="I350" s="3" t="s">
        <v>27</v>
      </c>
      <c r="J350" s="3" t="s">
        <v>28</v>
      </c>
      <c r="K350" s="4" t="s">
        <v>28</v>
      </c>
      <c r="L350" s="4" t="s">
        <v>2038</v>
      </c>
      <c r="M350" s="4" t="s">
        <v>2039</v>
      </c>
      <c r="N350" s="4" t="s">
        <v>2040</v>
      </c>
      <c r="O350" s="4" t="s">
        <v>2041</v>
      </c>
      <c r="P350" s="4" t="s">
        <v>2042</v>
      </c>
      <c r="Q350" s="4" t="s">
        <v>2043</v>
      </c>
      <c r="R350" s="3" t="str">
        <f t="shared" si="1"/>
        <v>Outstanding</v>
      </c>
      <c r="S350" s="11" t="s">
        <v>28</v>
      </c>
    </row>
    <row r="351" spans="1:19" ht="60" customHeight="1" x14ac:dyDescent="0.35">
      <c r="A351" s="9" t="s">
        <v>2007</v>
      </c>
      <c r="B351" s="2" t="s">
        <v>2044</v>
      </c>
      <c r="C351" s="1" t="s">
        <v>2045</v>
      </c>
      <c r="D351" s="3" t="s">
        <v>532</v>
      </c>
      <c r="E351" s="3" t="s">
        <v>23</v>
      </c>
      <c r="F351" s="3" t="s">
        <v>48</v>
      </c>
      <c r="G351" s="3" t="s">
        <v>25</v>
      </c>
      <c r="H351" s="3" t="s">
        <v>26</v>
      </c>
      <c r="I351" s="3" t="s">
        <v>27</v>
      </c>
      <c r="J351" s="3" t="s">
        <v>28</v>
      </c>
      <c r="K351" s="4" t="s">
        <v>28</v>
      </c>
      <c r="L351" s="4" t="s">
        <v>2046</v>
      </c>
      <c r="M351" s="4" t="s">
        <v>2047</v>
      </c>
      <c r="N351" s="4" t="s">
        <v>2048</v>
      </c>
      <c r="O351" s="4" t="s">
        <v>2049</v>
      </c>
      <c r="P351" s="4" t="s">
        <v>2050</v>
      </c>
      <c r="Q351" s="4" t="s">
        <v>2051</v>
      </c>
      <c r="R351" s="3" t="str">
        <f t="shared" si="1"/>
        <v>Outstanding</v>
      </c>
      <c r="S351" s="11" t="s">
        <v>28</v>
      </c>
    </row>
    <row r="352" spans="1:19" ht="60" customHeight="1" x14ac:dyDescent="0.35">
      <c r="A352" s="9" t="s">
        <v>2007</v>
      </c>
      <c r="B352" s="2" t="s">
        <v>2052</v>
      </c>
      <c r="C352" s="1" t="s">
        <v>2053</v>
      </c>
      <c r="D352" s="3" t="s">
        <v>532</v>
      </c>
      <c r="E352" s="3" t="s">
        <v>23</v>
      </c>
      <c r="F352" s="3" t="s">
        <v>48</v>
      </c>
      <c r="G352" s="3" t="s">
        <v>25</v>
      </c>
      <c r="H352" s="3" t="s">
        <v>26</v>
      </c>
      <c r="I352" s="3" t="s">
        <v>27</v>
      </c>
      <c r="J352" s="3" t="s">
        <v>28</v>
      </c>
      <c r="K352" s="4" t="s">
        <v>28</v>
      </c>
      <c r="L352" s="4" t="s">
        <v>2054</v>
      </c>
      <c r="M352" s="4" t="s">
        <v>2055</v>
      </c>
      <c r="N352" s="4" t="s">
        <v>2056</v>
      </c>
      <c r="O352" s="4" t="s">
        <v>2057</v>
      </c>
      <c r="P352" s="4" t="s">
        <v>2058</v>
      </c>
      <c r="Q352" s="4" t="s">
        <v>2059</v>
      </c>
      <c r="R352" s="3" t="str">
        <f t="shared" si="1"/>
        <v>Outstanding</v>
      </c>
      <c r="S352" s="11" t="s">
        <v>28</v>
      </c>
    </row>
    <row r="353" spans="1:19" ht="60" customHeight="1" x14ac:dyDescent="0.35">
      <c r="A353" s="9" t="s">
        <v>2007</v>
      </c>
      <c r="B353" s="2" t="s">
        <v>2060</v>
      </c>
      <c r="C353" s="1" t="s">
        <v>2061</v>
      </c>
      <c r="D353" s="3" t="s">
        <v>532</v>
      </c>
      <c r="E353" s="3" t="s">
        <v>806</v>
      </c>
      <c r="F353" s="3" t="s">
        <v>48</v>
      </c>
      <c r="G353" s="3" t="s">
        <v>25</v>
      </c>
      <c r="H353" s="3" t="s">
        <v>26</v>
      </c>
      <c r="I353" s="3" t="s">
        <v>27</v>
      </c>
      <c r="J353" s="3" t="s">
        <v>28</v>
      </c>
      <c r="K353" s="4" t="s">
        <v>28</v>
      </c>
      <c r="L353" s="4" t="s">
        <v>2062</v>
      </c>
      <c r="M353" s="4"/>
      <c r="N353" s="4"/>
      <c r="O353" s="4"/>
      <c r="P353" s="4"/>
      <c r="Q353" s="4"/>
      <c r="R353" s="3" t="str">
        <f t="shared" si="1"/>
        <v>Outstanding</v>
      </c>
      <c r="S353" s="11" t="s">
        <v>28</v>
      </c>
    </row>
    <row r="354" spans="1:19" ht="60" customHeight="1" x14ac:dyDescent="0.35">
      <c r="A354" s="9" t="s">
        <v>2007</v>
      </c>
      <c r="B354" s="2" t="s">
        <v>2063</v>
      </c>
      <c r="C354" s="1" t="s">
        <v>2064</v>
      </c>
      <c r="D354" s="3" t="s">
        <v>532</v>
      </c>
      <c r="E354" s="3" t="s">
        <v>806</v>
      </c>
      <c r="F354" s="3" t="s">
        <v>48</v>
      </c>
      <c r="G354" s="3" t="s">
        <v>25</v>
      </c>
      <c r="H354" s="3" t="s">
        <v>26</v>
      </c>
      <c r="I354" s="3" t="s">
        <v>27</v>
      </c>
      <c r="J354" s="3" t="s">
        <v>28</v>
      </c>
      <c r="K354" s="4" t="s">
        <v>28</v>
      </c>
      <c r="L354" s="4" t="s">
        <v>2065</v>
      </c>
      <c r="M354" s="4"/>
      <c r="N354" s="4"/>
      <c r="O354" s="4"/>
      <c r="P354" s="4"/>
      <c r="Q354" s="4"/>
      <c r="R354" s="3" t="str">
        <f t="shared" si="1"/>
        <v>Outstanding</v>
      </c>
      <c r="S354" s="11" t="s">
        <v>28</v>
      </c>
    </row>
    <row r="355" spans="1:19" ht="60" customHeight="1" x14ac:dyDescent="0.35">
      <c r="A355" s="9" t="s">
        <v>2007</v>
      </c>
      <c r="B355" s="2" t="s">
        <v>2066</v>
      </c>
      <c r="C355" s="1" t="s">
        <v>2067</v>
      </c>
      <c r="D355" s="3" t="s">
        <v>532</v>
      </c>
      <c r="E355" s="3" t="s">
        <v>806</v>
      </c>
      <c r="F355" s="3" t="s">
        <v>48</v>
      </c>
      <c r="G355" s="3" t="s">
        <v>25</v>
      </c>
      <c r="H355" s="3" t="s">
        <v>26</v>
      </c>
      <c r="I355" s="3" t="s">
        <v>27</v>
      </c>
      <c r="J355" s="3" t="s">
        <v>28</v>
      </c>
      <c r="K355" s="4" t="s">
        <v>28</v>
      </c>
      <c r="L355" s="4" t="s">
        <v>2068</v>
      </c>
      <c r="M355" s="4"/>
      <c r="N355" s="4"/>
      <c r="O355" s="4"/>
      <c r="P355" s="4"/>
      <c r="Q355" s="4"/>
      <c r="R355" s="3" t="str">
        <f t="shared" si="1"/>
        <v>Outstanding</v>
      </c>
      <c r="S355" s="11" t="s">
        <v>28</v>
      </c>
    </row>
    <row r="356" spans="1:19" ht="60" customHeight="1" x14ac:dyDescent="0.35">
      <c r="A356" s="9" t="s">
        <v>2007</v>
      </c>
      <c r="B356" s="2" t="s">
        <v>2069</v>
      </c>
      <c r="C356" s="1" t="s">
        <v>2070</v>
      </c>
      <c r="D356" s="3" t="s">
        <v>532</v>
      </c>
      <c r="E356" s="3" t="s">
        <v>23</v>
      </c>
      <c r="F356" s="3" t="s">
        <v>48</v>
      </c>
      <c r="G356" s="3" t="s">
        <v>25</v>
      </c>
      <c r="H356" s="3" t="s">
        <v>26</v>
      </c>
      <c r="I356" s="3" t="s">
        <v>27</v>
      </c>
      <c r="J356" s="3" t="s">
        <v>28</v>
      </c>
      <c r="K356" s="4" t="s">
        <v>28</v>
      </c>
      <c r="L356" s="4" t="s">
        <v>2071</v>
      </c>
      <c r="M356" s="4" t="s">
        <v>2072</v>
      </c>
      <c r="N356" s="4" t="s">
        <v>2073</v>
      </c>
      <c r="O356" s="4" t="s">
        <v>2074</v>
      </c>
      <c r="P356" s="4" t="s">
        <v>2075</v>
      </c>
      <c r="Q356" s="4" t="s">
        <v>2076</v>
      </c>
      <c r="R356" s="3" t="str">
        <f t="shared" si="1"/>
        <v>Outstanding</v>
      </c>
      <c r="S356" s="11" t="s">
        <v>28</v>
      </c>
    </row>
    <row r="357" spans="1:19" ht="60" customHeight="1" x14ac:dyDescent="0.35">
      <c r="A357" s="9" t="s">
        <v>2007</v>
      </c>
      <c r="B357" s="2" t="s">
        <v>2077</v>
      </c>
      <c r="C357" s="1" t="s">
        <v>2078</v>
      </c>
      <c r="D357" s="3" t="s">
        <v>532</v>
      </c>
      <c r="E357" s="3" t="s">
        <v>23</v>
      </c>
      <c r="F357" s="3" t="s">
        <v>48</v>
      </c>
      <c r="G357" s="3" t="s">
        <v>25</v>
      </c>
      <c r="H357" s="3" t="s">
        <v>26</v>
      </c>
      <c r="I357" s="3" t="s">
        <v>27</v>
      </c>
      <c r="J357" s="3" t="s">
        <v>28</v>
      </c>
      <c r="K357" s="4" t="s">
        <v>28</v>
      </c>
      <c r="L357" s="4" t="s">
        <v>2079</v>
      </c>
      <c r="M357" s="4" t="s">
        <v>2080</v>
      </c>
      <c r="N357" s="4" t="s">
        <v>2081</v>
      </c>
      <c r="O357" s="4" t="s">
        <v>2082</v>
      </c>
      <c r="P357" s="4" t="s">
        <v>2083</v>
      </c>
      <c r="Q357" s="4" t="s">
        <v>2084</v>
      </c>
      <c r="R357" s="3" t="str">
        <f t="shared" si="1"/>
        <v>Outstanding</v>
      </c>
      <c r="S357" s="11" t="s">
        <v>28</v>
      </c>
    </row>
    <row r="358" spans="1:19" ht="60" customHeight="1" x14ac:dyDescent="0.35">
      <c r="A358" s="9" t="s">
        <v>2085</v>
      </c>
      <c r="B358" s="2" t="s">
        <v>2086</v>
      </c>
      <c r="C358" s="1" t="s">
        <v>2087</v>
      </c>
      <c r="D358" s="3" t="s">
        <v>532</v>
      </c>
      <c r="E358" s="3" t="s">
        <v>23</v>
      </c>
      <c r="F358" s="3" t="s">
        <v>24</v>
      </c>
      <c r="G358" s="3" t="s">
        <v>25</v>
      </c>
      <c r="H358" s="3" t="s">
        <v>26</v>
      </c>
      <c r="I358" s="3" t="s">
        <v>27</v>
      </c>
      <c r="J358" s="3" t="s">
        <v>28</v>
      </c>
      <c r="K358" s="4" t="s">
        <v>28</v>
      </c>
      <c r="L358" s="4" t="s">
        <v>2088</v>
      </c>
      <c r="M358" s="4" t="s">
        <v>2089</v>
      </c>
      <c r="N358" s="4"/>
      <c r="O358" s="4"/>
      <c r="P358" s="4"/>
      <c r="Q358" s="4"/>
      <c r="R358" s="3" t="str">
        <f t="shared" si="1"/>
        <v>Outstanding</v>
      </c>
      <c r="S358" s="11" t="s">
        <v>28</v>
      </c>
    </row>
    <row r="359" spans="1:19" ht="60" customHeight="1" x14ac:dyDescent="0.35">
      <c r="A359" s="9" t="s">
        <v>2090</v>
      </c>
      <c r="B359" s="2" t="s">
        <v>2091</v>
      </c>
      <c r="C359" s="1" t="s">
        <v>2092</v>
      </c>
      <c r="D359" s="3" t="s">
        <v>532</v>
      </c>
      <c r="E359" s="3" t="s">
        <v>23</v>
      </c>
      <c r="F359" s="3" t="s">
        <v>24</v>
      </c>
      <c r="G359" s="3" t="s">
        <v>25</v>
      </c>
      <c r="H359" s="3" t="s">
        <v>26</v>
      </c>
      <c r="I359" s="3" t="s">
        <v>27</v>
      </c>
      <c r="J359" s="3" t="s">
        <v>28</v>
      </c>
      <c r="K359" s="4" t="s">
        <v>28</v>
      </c>
      <c r="L359" s="4" t="s">
        <v>2093</v>
      </c>
      <c r="M359" s="4" t="s">
        <v>2094</v>
      </c>
      <c r="N359" s="4"/>
      <c r="O359" s="4"/>
      <c r="P359" s="4"/>
      <c r="Q359" s="4"/>
      <c r="R359" s="3" t="str">
        <f t="shared" si="1"/>
        <v>Outstanding</v>
      </c>
      <c r="S359" s="11" t="s">
        <v>28</v>
      </c>
    </row>
    <row r="360" spans="1:19" ht="60" customHeight="1" x14ac:dyDescent="0.35">
      <c r="A360" s="9" t="s">
        <v>2090</v>
      </c>
      <c r="B360" s="2" t="s">
        <v>2095</v>
      </c>
      <c r="C360" s="1" t="s">
        <v>2096</v>
      </c>
      <c r="D360" s="3" t="s">
        <v>532</v>
      </c>
      <c r="E360" s="3" t="s">
        <v>23</v>
      </c>
      <c r="F360" s="3" t="s">
        <v>48</v>
      </c>
      <c r="G360" s="3" t="s">
        <v>25</v>
      </c>
      <c r="H360" s="3" t="s">
        <v>26</v>
      </c>
      <c r="I360" s="3" t="s">
        <v>27</v>
      </c>
      <c r="J360" s="3" t="s">
        <v>28</v>
      </c>
      <c r="K360" s="4" t="s">
        <v>28</v>
      </c>
      <c r="L360" s="4" t="s">
        <v>2097</v>
      </c>
      <c r="M360" s="4"/>
      <c r="N360" s="4"/>
      <c r="O360" s="4"/>
      <c r="P360" s="4"/>
      <c r="Q360" s="4"/>
      <c r="R360" s="3" t="str">
        <f t="shared" si="1"/>
        <v>Outstanding</v>
      </c>
      <c r="S360" s="11" t="s">
        <v>28</v>
      </c>
    </row>
    <row r="361" spans="1:19" ht="60" customHeight="1" x14ac:dyDescent="0.35">
      <c r="A361" s="9" t="s">
        <v>2098</v>
      </c>
      <c r="B361" s="2" t="s">
        <v>2099</v>
      </c>
      <c r="C361" s="1" t="s">
        <v>2100</v>
      </c>
      <c r="D361" s="3" t="s">
        <v>532</v>
      </c>
      <c r="E361" s="3" t="s">
        <v>23</v>
      </c>
      <c r="F361" s="3" t="s">
        <v>24</v>
      </c>
      <c r="G361" s="3" t="s">
        <v>25</v>
      </c>
      <c r="H361" s="3" t="s">
        <v>26</v>
      </c>
      <c r="I361" s="3" t="s">
        <v>27</v>
      </c>
      <c r="J361" s="3" t="s">
        <v>28</v>
      </c>
      <c r="K361" s="4" t="s">
        <v>28</v>
      </c>
      <c r="L361" s="4" t="s">
        <v>2101</v>
      </c>
      <c r="M361" s="4" t="s">
        <v>2102</v>
      </c>
      <c r="N361" s="4"/>
      <c r="O361" s="4"/>
      <c r="P361" s="4"/>
      <c r="Q361" s="4"/>
      <c r="R361" s="3" t="str">
        <f t="shared" si="1"/>
        <v>Outstanding</v>
      </c>
      <c r="S361" s="11" t="s">
        <v>28</v>
      </c>
    </row>
    <row r="362" spans="1:19" ht="60" customHeight="1" x14ac:dyDescent="0.35">
      <c r="A362" s="9" t="s">
        <v>2103</v>
      </c>
      <c r="B362" s="2" t="s">
        <v>2104</v>
      </c>
      <c r="C362" s="1" t="s">
        <v>2105</v>
      </c>
      <c r="D362" s="3" t="s">
        <v>532</v>
      </c>
      <c r="E362" s="3" t="s">
        <v>23</v>
      </c>
      <c r="F362" s="3" t="s">
        <v>24</v>
      </c>
      <c r="G362" s="3" t="s">
        <v>25</v>
      </c>
      <c r="H362" s="3" t="s">
        <v>26</v>
      </c>
      <c r="I362" s="3" t="s">
        <v>27</v>
      </c>
      <c r="J362" s="3" t="s">
        <v>28</v>
      </c>
      <c r="K362" s="4" t="s">
        <v>28</v>
      </c>
      <c r="L362" s="4" t="s">
        <v>2106</v>
      </c>
      <c r="M362" s="4" t="s">
        <v>2107</v>
      </c>
      <c r="N362" s="4"/>
      <c r="O362" s="4"/>
      <c r="P362" s="4"/>
      <c r="Q362" s="4"/>
      <c r="R362" s="3" t="str">
        <f t="shared" si="1"/>
        <v>Outstanding</v>
      </c>
      <c r="S362" s="11" t="s">
        <v>28</v>
      </c>
    </row>
    <row r="363" spans="1:19" ht="60" customHeight="1" x14ac:dyDescent="0.35">
      <c r="A363" s="9" t="s">
        <v>2103</v>
      </c>
      <c r="B363" s="2" t="s">
        <v>2108</v>
      </c>
      <c r="C363" s="1" t="s">
        <v>2109</v>
      </c>
      <c r="D363" s="3" t="s">
        <v>532</v>
      </c>
      <c r="E363" s="3" t="s">
        <v>23</v>
      </c>
      <c r="F363" s="3" t="s">
        <v>48</v>
      </c>
      <c r="G363" s="3" t="s">
        <v>25</v>
      </c>
      <c r="H363" s="3" t="s">
        <v>26</v>
      </c>
      <c r="I363" s="3" t="s">
        <v>27</v>
      </c>
      <c r="J363" s="3" t="s">
        <v>28</v>
      </c>
      <c r="K363" s="4" t="s">
        <v>28</v>
      </c>
      <c r="L363" s="4" t="s">
        <v>2110</v>
      </c>
      <c r="M363" s="4" t="s">
        <v>2111</v>
      </c>
      <c r="N363" s="4" t="s">
        <v>2112</v>
      </c>
      <c r="O363" s="4" t="s">
        <v>2113</v>
      </c>
      <c r="P363" s="4" t="s">
        <v>541</v>
      </c>
      <c r="Q363" s="4" t="s">
        <v>2114</v>
      </c>
      <c r="R363" s="3" t="str">
        <f t="shared" si="1"/>
        <v>Outstanding</v>
      </c>
      <c r="S363" s="11" t="s">
        <v>28</v>
      </c>
    </row>
    <row r="364" spans="1:19" ht="60" customHeight="1" x14ac:dyDescent="0.35">
      <c r="A364" s="9" t="s">
        <v>2103</v>
      </c>
      <c r="B364" s="2" t="s">
        <v>2115</v>
      </c>
      <c r="C364" s="1" t="s">
        <v>2116</v>
      </c>
      <c r="D364" s="3" t="s">
        <v>532</v>
      </c>
      <c r="E364" s="3" t="s">
        <v>23</v>
      </c>
      <c r="F364" s="3" t="s">
        <v>48</v>
      </c>
      <c r="G364" s="3" t="s">
        <v>25</v>
      </c>
      <c r="H364" s="3" t="s">
        <v>26</v>
      </c>
      <c r="I364" s="3" t="s">
        <v>27</v>
      </c>
      <c r="J364" s="3" t="s">
        <v>28</v>
      </c>
      <c r="K364" s="4" t="s">
        <v>28</v>
      </c>
      <c r="L364" s="4" t="s">
        <v>2117</v>
      </c>
      <c r="M364" s="4" t="s">
        <v>2118</v>
      </c>
      <c r="N364" s="4" t="s">
        <v>2119</v>
      </c>
      <c r="O364" s="4" t="s">
        <v>2120</v>
      </c>
      <c r="P364" s="4" t="s">
        <v>541</v>
      </c>
      <c r="Q364" s="4" t="s">
        <v>2114</v>
      </c>
      <c r="R364" s="3" t="str">
        <f t="shared" si="1"/>
        <v>Outstanding</v>
      </c>
      <c r="S364" s="11" t="s">
        <v>28</v>
      </c>
    </row>
    <row r="365" spans="1:19" ht="60" customHeight="1" x14ac:dyDescent="0.35">
      <c r="A365" s="9" t="s">
        <v>2121</v>
      </c>
      <c r="B365" s="2" t="s">
        <v>2122</v>
      </c>
      <c r="C365" s="1" t="s">
        <v>2123</v>
      </c>
      <c r="D365" s="3" t="s">
        <v>532</v>
      </c>
      <c r="E365" s="3" t="s">
        <v>23</v>
      </c>
      <c r="F365" s="3" t="s">
        <v>24</v>
      </c>
      <c r="G365" s="3" t="s">
        <v>25</v>
      </c>
      <c r="H365" s="3" t="s">
        <v>26</v>
      </c>
      <c r="I365" s="3" t="s">
        <v>27</v>
      </c>
      <c r="J365" s="3" t="s">
        <v>28</v>
      </c>
      <c r="K365" s="4" t="s">
        <v>28</v>
      </c>
      <c r="L365" s="4" t="s">
        <v>2124</v>
      </c>
      <c r="M365" s="4" t="s">
        <v>2125</v>
      </c>
      <c r="N365" s="4"/>
      <c r="O365" s="4"/>
      <c r="P365" s="4"/>
      <c r="Q365" s="4"/>
      <c r="R365" s="3" t="str">
        <f t="shared" si="1"/>
        <v>Outstanding</v>
      </c>
      <c r="S365" s="11" t="s">
        <v>28</v>
      </c>
    </row>
    <row r="366" spans="1:19" ht="60" customHeight="1" x14ac:dyDescent="0.35">
      <c r="A366" s="9" t="s">
        <v>2121</v>
      </c>
      <c r="B366" s="2" t="s">
        <v>2126</v>
      </c>
      <c r="C366" s="1" t="s">
        <v>2127</v>
      </c>
      <c r="D366" s="3" t="s">
        <v>532</v>
      </c>
      <c r="E366" s="3" t="s">
        <v>23</v>
      </c>
      <c r="F366" s="3" t="s">
        <v>48</v>
      </c>
      <c r="G366" s="3" t="s">
        <v>25</v>
      </c>
      <c r="H366" s="3" t="s">
        <v>26</v>
      </c>
      <c r="I366" s="3" t="s">
        <v>27</v>
      </c>
      <c r="J366" s="3" t="s">
        <v>28</v>
      </c>
      <c r="K366" s="4" t="s">
        <v>28</v>
      </c>
      <c r="L366" s="4" t="s">
        <v>2128</v>
      </c>
      <c r="M366" s="4" t="s">
        <v>2129</v>
      </c>
      <c r="N366" s="4" t="s">
        <v>2130</v>
      </c>
      <c r="O366" s="4" t="s">
        <v>2131</v>
      </c>
      <c r="P366" s="4" t="s">
        <v>2132</v>
      </c>
      <c r="Q366" s="4" t="s">
        <v>2133</v>
      </c>
      <c r="R366" s="3" t="str">
        <f t="shared" si="1"/>
        <v>Outstanding</v>
      </c>
      <c r="S366" s="11" t="s">
        <v>28</v>
      </c>
    </row>
    <row r="367" spans="1:19" ht="60" customHeight="1" x14ac:dyDescent="0.35">
      <c r="A367" s="9" t="s">
        <v>2121</v>
      </c>
      <c r="B367" s="2" t="s">
        <v>2134</v>
      </c>
      <c r="C367" s="1" t="s">
        <v>2135</v>
      </c>
      <c r="D367" s="3" t="s">
        <v>532</v>
      </c>
      <c r="E367" s="3" t="s">
        <v>23</v>
      </c>
      <c r="F367" s="3" t="s">
        <v>48</v>
      </c>
      <c r="G367" s="3" t="s">
        <v>25</v>
      </c>
      <c r="H367" s="3" t="s">
        <v>26</v>
      </c>
      <c r="I367" s="3" t="s">
        <v>27</v>
      </c>
      <c r="J367" s="3" t="s">
        <v>28</v>
      </c>
      <c r="K367" s="4" t="s">
        <v>28</v>
      </c>
      <c r="L367" s="4" t="s">
        <v>2136</v>
      </c>
      <c r="M367" s="4"/>
      <c r="N367" s="4"/>
      <c r="O367" s="4"/>
      <c r="P367" s="4"/>
      <c r="Q367" s="4"/>
      <c r="R367" s="3" t="str">
        <f t="shared" si="1"/>
        <v>Outstanding</v>
      </c>
      <c r="S367" s="11" t="s">
        <v>28</v>
      </c>
    </row>
    <row r="368" spans="1:19" ht="60" customHeight="1" x14ac:dyDescent="0.35">
      <c r="A368" s="9" t="s">
        <v>2137</v>
      </c>
      <c r="B368" s="2" t="s">
        <v>2138</v>
      </c>
      <c r="C368" s="1" t="s">
        <v>2139</v>
      </c>
      <c r="D368" s="3" t="s">
        <v>532</v>
      </c>
      <c r="E368" s="3" t="s">
        <v>23</v>
      </c>
      <c r="F368" s="3" t="s">
        <v>24</v>
      </c>
      <c r="G368" s="3" t="s">
        <v>25</v>
      </c>
      <c r="H368" s="3" t="s">
        <v>26</v>
      </c>
      <c r="I368" s="3" t="s">
        <v>27</v>
      </c>
      <c r="J368" s="3" t="s">
        <v>28</v>
      </c>
      <c r="K368" s="4" t="s">
        <v>28</v>
      </c>
      <c r="L368" s="4" t="s">
        <v>2140</v>
      </c>
      <c r="M368" s="4" t="s">
        <v>2141</v>
      </c>
      <c r="N368" s="4"/>
      <c r="O368" s="4"/>
      <c r="P368" s="4"/>
      <c r="Q368" s="4"/>
      <c r="R368" s="3" t="str">
        <f t="shared" si="1"/>
        <v>Outstanding</v>
      </c>
      <c r="S368" s="11" t="s">
        <v>28</v>
      </c>
    </row>
    <row r="369" spans="1:19" ht="60" customHeight="1" x14ac:dyDescent="0.35">
      <c r="A369" s="9" t="s">
        <v>2142</v>
      </c>
      <c r="B369" s="2" t="s">
        <v>2143</v>
      </c>
      <c r="C369" s="1" t="s">
        <v>2144</v>
      </c>
      <c r="D369" s="3" t="s">
        <v>532</v>
      </c>
      <c r="E369" s="3" t="s">
        <v>23</v>
      </c>
      <c r="F369" s="3" t="s">
        <v>24</v>
      </c>
      <c r="G369" s="3" t="s">
        <v>25</v>
      </c>
      <c r="H369" s="3" t="s">
        <v>26</v>
      </c>
      <c r="I369" s="3" t="s">
        <v>27</v>
      </c>
      <c r="J369" s="3" t="s">
        <v>28</v>
      </c>
      <c r="K369" s="4" t="s">
        <v>28</v>
      </c>
      <c r="L369" s="4" t="s">
        <v>2145</v>
      </c>
      <c r="M369" s="4" t="s">
        <v>2146</v>
      </c>
      <c r="N369" s="4"/>
      <c r="O369" s="4"/>
      <c r="P369" s="4"/>
      <c r="Q369" s="4"/>
      <c r="R369" s="3" t="str">
        <f t="shared" si="1"/>
        <v>Outstanding</v>
      </c>
      <c r="S369" s="11" t="s">
        <v>28</v>
      </c>
    </row>
    <row r="370" spans="1:19" ht="60" customHeight="1" x14ac:dyDescent="0.35">
      <c r="A370" s="9" t="s">
        <v>2142</v>
      </c>
      <c r="B370" s="2" t="s">
        <v>2147</v>
      </c>
      <c r="C370" s="1" t="s">
        <v>2148</v>
      </c>
      <c r="D370" s="3" t="s">
        <v>532</v>
      </c>
      <c r="E370" s="3" t="s">
        <v>23</v>
      </c>
      <c r="F370" s="3" t="s">
        <v>48</v>
      </c>
      <c r="G370" s="3" t="s">
        <v>25</v>
      </c>
      <c r="H370" s="3" t="s">
        <v>26</v>
      </c>
      <c r="I370" s="3" t="s">
        <v>27</v>
      </c>
      <c r="J370" s="3" t="s">
        <v>28</v>
      </c>
      <c r="K370" s="4" t="s">
        <v>28</v>
      </c>
      <c r="L370" s="4" t="s">
        <v>2149</v>
      </c>
      <c r="M370" s="4" t="s">
        <v>2150</v>
      </c>
      <c r="N370" s="4" t="s">
        <v>2151</v>
      </c>
      <c r="O370" s="4" t="s">
        <v>265</v>
      </c>
      <c r="P370" s="4" t="s">
        <v>541</v>
      </c>
      <c r="Q370" s="4" t="s">
        <v>1789</v>
      </c>
      <c r="R370" s="3" t="str">
        <f t="shared" si="1"/>
        <v>Outstanding</v>
      </c>
      <c r="S370" s="11" t="s">
        <v>28</v>
      </c>
    </row>
    <row r="371" spans="1:19" ht="60" customHeight="1" x14ac:dyDescent="0.35">
      <c r="A371" s="9" t="s">
        <v>2142</v>
      </c>
      <c r="B371" s="2" t="s">
        <v>2152</v>
      </c>
      <c r="C371" s="1" t="s">
        <v>2153</v>
      </c>
      <c r="D371" s="3" t="s">
        <v>532</v>
      </c>
      <c r="E371" s="3" t="s">
        <v>23</v>
      </c>
      <c r="F371" s="3" t="s">
        <v>48</v>
      </c>
      <c r="G371" s="3" t="s">
        <v>25</v>
      </c>
      <c r="H371" s="3" t="s">
        <v>26</v>
      </c>
      <c r="I371" s="3" t="s">
        <v>27</v>
      </c>
      <c r="J371" s="3" t="s">
        <v>28</v>
      </c>
      <c r="K371" s="4" t="s">
        <v>28</v>
      </c>
      <c r="L371" s="4" t="s">
        <v>2154</v>
      </c>
      <c r="M371" s="4" t="s">
        <v>2155</v>
      </c>
      <c r="N371" s="4" t="s">
        <v>2156</v>
      </c>
      <c r="O371" s="4" t="s">
        <v>2157</v>
      </c>
      <c r="P371" s="4" t="s">
        <v>541</v>
      </c>
      <c r="Q371" s="4" t="s">
        <v>2158</v>
      </c>
      <c r="R371" s="3" t="str">
        <f t="shared" si="1"/>
        <v>Outstanding</v>
      </c>
      <c r="S371" s="11" t="s">
        <v>28</v>
      </c>
    </row>
    <row r="372" spans="1:19" ht="60" customHeight="1" x14ac:dyDescent="0.35">
      <c r="A372" s="9" t="s">
        <v>2142</v>
      </c>
      <c r="B372" s="2" t="s">
        <v>2159</v>
      </c>
      <c r="C372" s="1" t="s">
        <v>2160</v>
      </c>
      <c r="D372" s="3" t="s">
        <v>532</v>
      </c>
      <c r="E372" s="3" t="s">
        <v>23</v>
      </c>
      <c r="F372" s="3" t="s">
        <v>48</v>
      </c>
      <c r="G372" s="3" t="s">
        <v>25</v>
      </c>
      <c r="H372" s="3" t="s">
        <v>26</v>
      </c>
      <c r="I372" s="3" t="s">
        <v>27</v>
      </c>
      <c r="J372" s="3" t="s">
        <v>28</v>
      </c>
      <c r="K372" s="4" t="s">
        <v>28</v>
      </c>
      <c r="L372" s="4" t="s">
        <v>2161</v>
      </c>
      <c r="M372" s="4" t="s">
        <v>2162</v>
      </c>
      <c r="N372" s="4" t="s">
        <v>2163</v>
      </c>
      <c r="O372" s="4" t="s">
        <v>2164</v>
      </c>
      <c r="P372" s="4" t="s">
        <v>541</v>
      </c>
      <c r="Q372" s="4" t="s">
        <v>1789</v>
      </c>
      <c r="R372" s="3" t="str">
        <f t="shared" si="1"/>
        <v>Outstanding</v>
      </c>
      <c r="S372" s="11" t="s">
        <v>28</v>
      </c>
    </row>
    <row r="373" spans="1:19" ht="60" customHeight="1" x14ac:dyDescent="0.35">
      <c r="A373" s="9" t="s">
        <v>2142</v>
      </c>
      <c r="B373" s="2" t="s">
        <v>2165</v>
      </c>
      <c r="C373" s="1" t="s">
        <v>2166</v>
      </c>
      <c r="D373" s="3" t="s">
        <v>532</v>
      </c>
      <c r="E373" s="3" t="s">
        <v>23</v>
      </c>
      <c r="F373" s="3" t="s">
        <v>48</v>
      </c>
      <c r="G373" s="3" t="s">
        <v>25</v>
      </c>
      <c r="H373" s="3" t="s">
        <v>26</v>
      </c>
      <c r="I373" s="3" t="s">
        <v>27</v>
      </c>
      <c r="J373" s="3" t="s">
        <v>28</v>
      </c>
      <c r="K373" s="4" t="s">
        <v>28</v>
      </c>
      <c r="L373" s="4" t="s">
        <v>2167</v>
      </c>
      <c r="M373" s="4" t="s">
        <v>2168</v>
      </c>
      <c r="N373" s="4" t="s">
        <v>2169</v>
      </c>
      <c r="O373" s="4" t="s">
        <v>2170</v>
      </c>
      <c r="P373" s="4" t="s">
        <v>541</v>
      </c>
      <c r="Q373" s="4" t="s">
        <v>2171</v>
      </c>
      <c r="R373" s="3" t="str">
        <f t="shared" si="1"/>
        <v>Outstanding</v>
      </c>
      <c r="S373" s="11" t="s">
        <v>28</v>
      </c>
    </row>
    <row r="374" spans="1:19" ht="60" customHeight="1" x14ac:dyDescent="0.35">
      <c r="A374" s="9" t="s">
        <v>2142</v>
      </c>
      <c r="B374" s="2" t="s">
        <v>2172</v>
      </c>
      <c r="C374" s="1" t="s">
        <v>2173</v>
      </c>
      <c r="D374" s="3" t="s">
        <v>532</v>
      </c>
      <c r="E374" s="3" t="s">
        <v>23</v>
      </c>
      <c r="F374" s="3" t="s">
        <v>48</v>
      </c>
      <c r="G374" s="3" t="s">
        <v>25</v>
      </c>
      <c r="H374" s="3" t="s">
        <v>26</v>
      </c>
      <c r="I374" s="3" t="s">
        <v>27</v>
      </c>
      <c r="J374" s="3" t="s">
        <v>28</v>
      </c>
      <c r="K374" s="4" t="s">
        <v>28</v>
      </c>
      <c r="L374" s="4" t="s">
        <v>2174</v>
      </c>
      <c r="M374" s="4" t="s">
        <v>2175</v>
      </c>
      <c r="N374" s="4" t="s">
        <v>2176</v>
      </c>
      <c r="O374" s="4" t="s">
        <v>265</v>
      </c>
      <c r="P374" s="4" t="s">
        <v>541</v>
      </c>
      <c r="Q374" s="4" t="s">
        <v>843</v>
      </c>
      <c r="R374" s="3" t="str">
        <f t="shared" si="1"/>
        <v>Outstanding</v>
      </c>
      <c r="S374" s="11" t="s">
        <v>28</v>
      </c>
    </row>
    <row r="375" spans="1:19" ht="60" customHeight="1" x14ac:dyDescent="0.35">
      <c r="A375" s="9" t="s">
        <v>2142</v>
      </c>
      <c r="B375" s="2" t="s">
        <v>2177</v>
      </c>
      <c r="C375" s="1" t="s">
        <v>2178</v>
      </c>
      <c r="D375" s="3" t="s">
        <v>532</v>
      </c>
      <c r="E375" s="3" t="s">
        <v>23</v>
      </c>
      <c r="F375" s="3" t="s">
        <v>48</v>
      </c>
      <c r="G375" s="3" t="s">
        <v>25</v>
      </c>
      <c r="H375" s="3" t="s">
        <v>26</v>
      </c>
      <c r="I375" s="3" t="s">
        <v>27</v>
      </c>
      <c r="J375" s="3" t="s">
        <v>28</v>
      </c>
      <c r="K375" s="4" t="s">
        <v>28</v>
      </c>
      <c r="L375" s="4" t="s">
        <v>2179</v>
      </c>
      <c r="M375" s="4" t="s">
        <v>2180</v>
      </c>
      <c r="N375" s="4" t="s">
        <v>2181</v>
      </c>
      <c r="O375" s="4" t="s">
        <v>265</v>
      </c>
      <c r="P375" s="4" t="s">
        <v>541</v>
      </c>
      <c r="Q375" s="4" t="s">
        <v>1789</v>
      </c>
      <c r="R375" s="3" t="str">
        <f t="shared" si="1"/>
        <v>Outstanding</v>
      </c>
      <c r="S375" s="11" t="s">
        <v>28</v>
      </c>
    </row>
    <row r="376" spans="1:19" ht="60" customHeight="1" x14ac:dyDescent="0.35">
      <c r="A376" s="9" t="s">
        <v>2142</v>
      </c>
      <c r="B376" s="2" t="s">
        <v>2182</v>
      </c>
      <c r="C376" s="1" t="s">
        <v>2183</v>
      </c>
      <c r="D376" s="3" t="s">
        <v>532</v>
      </c>
      <c r="E376" s="3" t="s">
        <v>23</v>
      </c>
      <c r="F376" s="3" t="s">
        <v>48</v>
      </c>
      <c r="G376" s="3" t="s">
        <v>25</v>
      </c>
      <c r="H376" s="3" t="s">
        <v>26</v>
      </c>
      <c r="I376" s="3" t="s">
        <v>27</v>
      </c>
      <c r="J376" s="3" t="s">
        <v>28</v>
      </c>
      <c r="K376" s="4" t="s">
        <v>28</v>
      </c>
      <c r="L376" s="4" t="s">
        <v>2184</v>
      </c>
      <c r="M376" s="4" t="s">
        <v>2185</v>
      </c>
      <c r="N376" s="4" t="s">
        <v>2186</v>
      </c>
      <c r="O376" s="4" t="s">
        <v>265</v>
      </c>
      <c r="P376" s="4" t="s">
        <v>541</v>
      </c>
      <c r="Q376" s="4" t="s">
        <v>2187</v>
      </c>
      <c r="R376" s="3" t="str">
        <f t="shared" si="1"/>
        <v>Outstanding</v>
      </c>
      <c r="S376" s="11" t="s">
        <v>28</v>
      </c>
    </row>
    <row r="377" spans="1:19" ht="60" customHeight="1" x14ac:dyDescent="0.35">
      <c r="A377" s="9" t="s">
        <v>2142</v>
      </c>
      <c r="B377" s="2" t="s">
        <v>2188</v>
      </c>
      <c r="C377" s="1" t="s">
        <v>2189</v>
      </c>
      <c r="D377" s="3" t="s">
        <v>532</v>
      </c>
      <c r="E377" s="3" t="s">
        <v>23</v>
      </c>
      <c r="F377" s="3" t="s">
        <v>48</v>
      </c>
      <c r="G377" s="3" t="s">
        <v>25</v>
      </c>
      <c r="H377" s="3" t="s">
        <v>26</v>
      </c>
      <c r="I377" s="3" t="s">
        <v>27</v>
      </c>
      <c r="J377" s="3" t="s">
        <v>28</v>
      </c>
      <c r="K377" s="4" t="s">
        <v>28</v>
      </c>
      <c r="L377" s="4" t="s">
        <v>2190</v>
      </c>
      <c r="M377" s="4" t="s">
        <v>2191</v>
      </c>
      <c r="N377" s="4" t="s">
        <v>2192</v>
      </c>
      <c r="O377" s="4" t="s">
        <v>265</v>
      </c>
      <c r="P377" s="4" t="s">
        <v>541</v>
      </c>
      <c r="Q377" s="4" t="s">
        <v>1789</v>
      </c>
      <c r="R377" s="3" t="str">
        <f t="shared" si="1"/>
        <v>Outstanding</v>
      </c>
      <c r="S377" s="11" t="s">
        <v>28</v>
      </c>
    </row>
    <row r="378" spans="1:19" ht="60" customHeight="1" x14ac:dyDescent="0.35">
      <c r="A378" s="9" t="s">
        <v>2142</v>
      </c>
      <c r="B378" s="2" t="s">
        <v>2193</v>
      </c>
      <c r="C378" s="1" t="s">
        <v>2194</v>
      </c>
      <c r="D378" s="3" t="s">
        <v>532</v>
      </c>
      <c r="E378" s="3" t="s">
        <v>23</v>
      </c>
      <c r="F378" s="3" t="s">
        <v>48</v>
      </c>
      <c r="G378" s="3" t="s">
        <v>25</v>
      </c>
      <c r="H378" s="3" t="s">
        <v>26</v>
      </c>
      <c r="I378" s="3" t="s">
        <v>27</v>
      </c>
      <c r="J378" s="3" t="s">
        <v>28</v>
      </c>
      <c r="K378" s="4" t="s">
        <v>28</v>
      </c>
      <c r="L378" s="4" t="s">
        <v>2195</v>
      </c>
      <c r="M378" s="4" t="s">
        <v>2196</v>
      </c>
      <c r="N378" s="4" t="s">
        <v>2197</v>
      </c>
      <c r="O378" s="4" t="s">
        <v>2198</v>
      </c>
      <c r="P378" s="4" t="s">
        <v>541</v>
      </c>
      <c r="Q378" s="4" t="s">
        <v>843</v>
      </c>
      <c r="R378" s="3" t="str">
        <f t="shared" si="1"/>
        <v>Outstanding</v>
      </c>
      <c r="S378" s="11" t="s">
        <v>28</v>
      </c>
    </row>
    <row r="379" spans="1:19" ht="60" customHeight="1" x14ac:dyDescent="0.35">
      <c r="A379" s="9" t="s">
        <v>2142</v>
      </c>
      <c r="B379" s="2" t="s">
        <v>2199</v>
      </c>
      <c r="C379" s="1" t="s">
        <v>2200</v>
      </c>
      <c r="D379" s="3" t="s">
        <v>532</v>
      </c>
      <c r="E379" s="3" t="s">
        <v>23</v>
      </c>
      <c r="F379" s="3" t="s">
        <v>48</v>
      </c>
      <c r="G379" s="3" t="s">
        <v>25</v>
      </c>
      <c r="H379" s="3" t="s">
        <v>26</v>
      </c>
      <c r="I379" s="3" t="s">
        <v>27</v>
      </c>
      <c r="J379" s="3" t="s">
        <v>28</v>
      </c>
      <c r="K379" s="4" t="s">
        <v>28</v>
      </c>
      <c r="L379" s="4" t="s">
        <v>2201</v>
      </c>
      <c r="M379" s="4" t="s">
        <v>2202</v>
      </c>
      <c r="N379" s="4" t="s">
        <v>2203</v>
      </c>
      <c r="O379" s="4" t="s">
        <v>2204</v>
      </c>
      <c r="P379" s="4" t="s">
        <v>541</v>
      </c>
      <c r="Q379" s="4" t="s">
        <v>2205</v>
      </c>
      <c r="R379" s="3" t="str">
        <f t="shared" si="1"/>
        <v>Outstanding</v>
      </c>
      <c r="S379" s="11" t="s">
        <v>28</v>
      </c>
    </row>
    <row r="380" spans="1:19" ht="60" customHeight="1" x14ac:dyDescent="0.35">
      <c r="A380" s="9" t="s">
        <v>2142</v>
      </c>
      <c r="B380" s="2" t="s">
        <v>2206</v>
      </c>
      <c r="C380" s="1" t="s">
        <v>2207</v>
      </c>
      <c r="D380" s="3" t="s">
        <v>532</v>
      </c>
      <c r="E380" s="3" t="s">
        <v>23</v>
      </c>
      <c r="F380" s="3" t="s">
        <v>48</v>
      </c>
      <c r="G380" s="3" t="s">
        <v>25</v>
      </c>
      <c r="H380" s="3" t="s">
        <v>26</v>
      </c>
      <c r="I380" s="3" t="s">
        <v>27</v>
      </c>
      <c r="J380" s="3" t="s">
        <v>28</v>
      </c>
      <c r="K380" s="4" t="s">
        <v>28</v>
      </c>
      <c r="L380" s="4" t="s">
        <v>2208</v>
      </c>
      <c r="M380" s="4" t="s">
        <v>2209</v>
      </c>
      <c r="N380" s="4" t="s">
        <v>2210</v>
      </c>
      <c r="O380" s="4" t="s">
        <v>2211</v>
      </c>
      <c r="P380" s="4" t="s">
        <v>541</v>
      </c>
      <c r="Q380" s="4" t="s">
        <v>1789</v>
      </c>
      <c r="R380" s="3" t="str">
        <f t="shared" si="1"/>
        <v>Outstanding</v>
      </c>
      <c r="S380" s="11" t="s">
        <v>28</v>
      </c>
    </row>
    <row r="381" spans="1:19" ht="60" customHeight="1" x14ac:dyDescent="0.35">
      <c r="A381" s="9" t="s">
        <v>2142</v>
      </c>
      <c r="B381" s="2" t="s">
        <v>2212</v>
      </c>
      <c r="C381" s="1" t="s">
        <v>2213</v>
      </c>
      <c r="D381" s="3" t="s">
        <v>532</v>
      </c>
      <c r="E381" s="3" t="s">
        <v>23</v>
      </c>
      <c r="F381" s="3" t="s">
        <v>48</v>
      </c>
      <c r="G381" s="3" t="s">
        <v>25</v>
      </c>
      <c r="H381" s="3" t="s">
        <v>26</v>
      </c>
      <c r="I381" s="3" t="s">
        <v>27</v>
      </c>
      <c r="J381" s="3" t="s">
        <v>28</v>
      </c>
      <c r="K381" s="4" t="s">
        <v>28</v>
      </c>
      <c r="L381" s="4" t="s">
        <v>2214</v>
      </c>
      <c r="M381" s="4" t="s">
        <v>2215</v>
      </c>
      <c r="N381" s="4" t="s">
        <v>2216</v>
      </c>
      <c r="O381" s="4" t="s">
        <v>2217</v>
      </c>
      <c r="P381" s="4" t="s">
        <v>541</v>
      </c>
      <c r="Q381" s="4" t="s">
        <v>2205</v>
      </c>
      <c r="R381" s="3" t="str">
        <f t="shared" si="1"/>
        <v>Outstanding</v>
      </c>
      <c r="S381" s="11" t="s">
        <v>28</v>
      </c>
    </row>
    <row r="382" spans="1:19" ht="60" customHeight="1" x14ac:dyDescent="0.35">
      <c r="A382" s="9" t="s">
        <v>2142</v>
      </c>
      <c r="B382" s="2" t="s">
        <v>2218</v>
      </c>
      <c r="C382" s="1" t="s">
        <v>2219</v>
      </c>
      <c r="D382" s="3" t="s">
        <v>532</v>
      </c>
      <c r="E382" s="3" t="s">
        <v>23</v>
      </c>
      <c r="F382" s="3" t="s">
        <v>48</v>
      </c>
      <c r="G382" s="3" t="s">
        <v>25</v>
      </c>
      <c r="H382" s="3" t="s">
        <v>26</v>
      </c>
      <c r="I382" s="3" t="s">
        <v>27</v>
      </c>
      <c r="J382" s="3" t="s">
        <v>28</v>
      </c>
      <c r="K382" s="4" t="s">
        <v>28</v>
      </c>
      <c r="L382" s="4" t="s">
        <v>2220</v>
      </c>
      <c r="M382" s="4" t="s">
        <v>2221</v>
      </c>
      <c r="N382" s="4" t="s">
        <v>2222</v>
      </c>
      <c r="O382" s="4" t="s">
        <v>2223</v>
      </c>
      <c r="P382" s="4" t="s">
        <v>541</v>
      </c>
      <c r="Q382" s="4" t="s">
        <v>1789</v>
      </c>
      <c r="R382" s="3" t="str">
        <f t="shared" si="1"/>
        <v>Outstanding</v>
      </c>
      <c r="S382" s="11" t="s">
        <v>28</v>
      </c>
    </row>
    <row r="383" spans="1:19" ht="60" customHeight="1" x14ac:dyDescent="0.35">
      <c r="A383" s="9" t="s">
        <v>2142</v>
      </c>
      <c r="B383" s="2" t="s">
        <v>2224</v>
      </c>
      <c r="C383" s="1" t="s">
        <v>2225</v>
      </c>
      <c r="D383" s="3" t="s">
        <v>532</v>
      </c>
      <c r="E383" s="3" t="s">
        <v>23</v>
      </c>
      <c r="F383" s="3" t="s">
        <v>48</v>
      </c>
      <c r="G383" s="3" t="s">
        <v>25</v>
      </c>
      <c r="H383" s="3" t="s">
        <v>26</v>
      </c>
      <c r="I383" s="3" t="s">
        <v>27</v>
      </c>
      <c r="J383" s="3" t="s">
        <v>28</v>
      </c>
      <c r="K383" s="4" t="s">
        <v>28</v>
      </c>
      <c r="L383" s="4" t="s">
        <v>2226</v>
      </c>
      <c r="M383" s="4" t="s">
        <v>2227</v>
      </c>
      <c r="N383" s="4" t="s">
        <v>2228</v>
      </c>
      <c r="O383" s="4" t="s">
        <v>265</v>
      </c>
      <c r="P383" s="4" t="s">
        <v>541</v>
      </c>
      <c r="Q383" s="4" t="s">
        <v>1789</v>
      </c>
      <c r="R383" s="3" t="str">
        <f t="shared" si="1"/>
        <v>Outstanding</v>
      </c>
      <c r="S383" s="11" t="s">
        <v>28</v>
      </c>
    </row>
    <row r="384" spans="1:19" ht="60" customHeight="1" x14ac:dyDescent="0.35">
      <c r="A384" s="9" t="s">
        <v>2142</v>
      </c>
      <c r="B384" s="2" t="s">
        <v>2229</v>
      </c>
      <c r="C384" s="1" t="s">
        <v>2230</v>
      </c>
      <c r="D384" s="3" t="s">
        <v>532</v>
      </c>
      <c r="E384" s="3" t="s">
        <v>23</v>
      </c>
      <c r="F384" s="3" t="s">
        <v>48</v>
      </c>
      <c r="G384" s="3" t="s">
        <v>25</v>
      </c>
      <c r="H384" s="3" t="s">
        <v>26</v>
      </c>
      <c r="I384" s="3" t="s">
        <v>27</v>
      </c>
      <c r="J384" s="3" t="s">
        <v>28</v>
      </c>
      <c r="K384" s="4" t="s">
        <v>28</v>
      </c>
      <c r="L384" s="4" t="s">
        <v>2231</v>
      </c>
      <c r="M384" s="4" t="s">
        <v>2232</v>
      </c>
      <c r="N384" s="4" t="s">
        <v>2233</v>
      </c>
      <c r="O384" s="4" t="s">
        <v>2234</v>
      </c>
      <c r="P384" s="4" t="s">
        <v>541</v>
      </c>
      <c r="Q384" s="4" t="s">
        <v>843</v>
      </c>
      <c r="R384" s="3" t="str">
        <f t="shared" si="1"/>
        <v>Outstanding</v>
      </c>
      <c r="S384" s="11" t="s">
        <v>28</v>
      </c>
    </row>
    <row r="385" spans="1:19" ht="60" customHeight="1" x14ac:dyDescent="0.35">
      <c r="A385" s="9" t="s">
        <v>2142</v>
      </c>
      <c r="B385" s="2" t="s">
        <v>2235</v>
      </c>
      <c r="C385" s="1" t="s">
        <v>2236</v>
      </c>
      <c r="D385" s="3" t="s">
        <v>532</v>
      </c>
      <c r="E385" s="3" t="s">
        <v>23</v>
      </c>
      <c r="F385" s="3" t="s">
        <v>48</v>
      </c>
      <c r="G385" s="3" t="s">
        <v>25</v>
      </c>
      <c r="H385" s="3" t="s">
        <v>26</v>
      </c>
      <c r="I385" s="3" t="s">
        <v>27</v>
      </c>
      <c r="J385" s="3" t="s">
        <v>28</v>
      </c>
      <c r="K385" s="4" t="s">
        <v>28</v>
      </c>
      <c r="L385" s="4" t="s">
        <v>2237</v>
      </c>
      <c r="M385" s="4" t="s">
        <v>2238</v>
      </c>
      <c r="N385" s="4" t="s">
        <v>2239</v>
      </c>
      <c r="O385" s="4" t="s">
        <v>2240</v>
      </c>
      <c r="P385" s="4" t="s">
        <v>541</v>
      </c>
      <c r="Q385" s="4" t="s">
        <v>2187</v>
      </c>
      <c r="R385" s="3" t="str">
        <f t="shared" si="1"/>
        <v>Outstanding</v>
      </c>
      <c r="S385" s="11" t="s">
        <v>28</v>
      </c>
    </row>
    <row r="386" spans="1:19" ht="60" customHeight="1" x14ac:dyDescent="0.35">
      <c r="A386" s="9" t="s">
        <v>2142</v>
      </c>
      <c r="B386" s="2" t="s">
        <v>2241</v>
      </c>
      <c r="C386" s="1" t="s">
        <v>2242</v>
      </c>
      <c r="D386" s="3" t="s">
        <v>532</v>
      </c>
      <c r="E386" s="3" t="s">
        <v>23</v>
      </c>
      <c r="F386" s="3" t="s">
        <v>48</v>
      </c>
      <c r="G386" s="3" t="s">
        <v>25</v>
      </c>
      <c r="H386" s="3" t="s">
        <v>26</v>
      </c>
      <c r="I386" s="3" t="s">
        <v>27</v>
      </c>
      <c r="J386" s="3" t="s">
        <v>28</v>
      </c>
      <c r="K386" s="4" t="s">
        <v>28</v>
      </c>
      <c r="L386" s="4" t="s">
        <v>2243</v>
      </c>
      <c r="M386" s="4" t="s">
        <v>2244</v>
      </c>
      <c r="N386" s="4" t="s">
        <v>2245</v>
      </c>
      <c r="O386" s="4" t="s">
        <v>2246</v>
      </c>
      <c r="P386" s="4" t="s">
        <v>541</v>
      </c>
      <c r="Q386" s="4" t="s">
        <v>843</v>
      </c>
      <c r="R386" s="3" t="str">
        <f t="shared" si="1"/>
        <v>Outstanding</v>
      </c>
      <c r="S386" s="11" t="s">
        <v>28</v>
      </c>
    </row>
    <row r="387" spans="1:19" ht="60" customHeight="1" x14ac:dyDescent="0.35">
      <c r="A387" s="9" t="s">
        <v>2142</v>
      </c>
      <c r="B387" s="2" t="s">
        <v>2247</v>
      </c>
      <c r="C387" s="1" t="s">
        <v>2248</v>
      </c>
      <c r="D387" s="3" t="s">
        <v>532</v>
      </c>
      <c r="E387" s="3" t="s">
        <v>23</v>
      </c>
      <c r="F387" s="3" t="s">
        <v>48</v>
      </c>
      <c r="G387" s="3" t="s">
        <v>25</v>
      </c>
      <c r="H387" s="3" t="s">
        <v>26</v>
      </c>
      <c r="I387" s="3" t="s">
        <v>27</v>
      </c>
      <c r="J387" s="3" t="s">
        <v>28</v>
      </c>
      <c r="K387" s="4" t="s">
        <v>28</v>
      </c>
      <c r="L387" s="4" t="s">
        <v>2249</v>
      </c>
      <c r="M387" s="4" t="s">
        <v>2250</v>
      </c>
      <c r="N387" s="4" t="s">
        <v>2251</v>
      </c>
      <c r="O387" s="4" t="s">
        <v>265</v>
      </c>
      <c r="P387" s="4" t="s">
        <v>541</v>
      </c>
      <c r="Q387" s="4" t="s">
        <v>1789</v>
      </c>
      <c r="R387" s="3" t="str">
        <f t="shared" si="1"/>
        <v>Outstanding</v>
      </c>
      <c r="S387" s="11" t="s">
        <v>28</v>
      </c>
    </row>
    <row r="388" spans="1:19" ht="60" customHeight="1" x14ac:dyDescent="0.35">
      <c r="A388" s="9" t="s">
        <v>2142</v>
      </c>
      <c r="B388" s="2" t="s">
        <v>2252</v>
      </c>
      <c r="C388" s="1" t="s">
        <v>2253</v>
      </c>
      <c r="D388" s="3" t="s">
        <v>532</v>
      </c>
      <c r="E388" s="3" t="s">
        <v>23</v>
      </c>
      <c r="F388" s="3" t="s">
        <v>48</v>
      </c>
      <c r="G388" s="3" t="s">
        <v>25</v>
      </c>
      <c r="H388" s="3" t="s">
        <v>26</v>
      </c>
      <c r="I388" s="3" t="s">
        <v>27</v>
      </c>
      <c r="J388" s="3" t="s">
        <v>28</v>
      </c>
      <c r="K388" s="4" t="s">
        <v>28</v>
      </c>
      <c r="L388" s="4" t="s">
        <v>2254</v>
      </c>
      <c r="M388" s="4" t="s">
        <v>2255</v>
      </c>
      <c r="N388" s="4" t="s">
        <v>2256</v>
      </c>
      <c r="O388" s="4" t="s">
        <v>265</v>
      </c>
      <c r="P388" s="4" t="s">
        <v>541</v>
      </c>
      <c r="Q388" s="4" t="s">
        <v>843</v>
      </c>
      <c r="R388" s="3" t="str">
        <f t="shared" si="1"/>
        <v>Outstanding</v>
      </c>
      <c r="S388" s="11" t="s">
        <v>28</v>
      </c>
    </row>
    <row r="389" spans="1:19" ht="60" customHeight="1" x14ac:dyDescent="0.35">
      <c r="A389" s="9" t="s">
        <v>2142</v>
      </c>
      <c r="B389" s="2" t="s">
        <v>2257</v>
      </c>
      <c r="C389" s="1" t="s">
        <v>2258</v>
      </c>
      <c r="D389" s="3" t="s">
        <v>532</v>
      </c>
      <c r="E389" s="3" t="s">
        <v>23</v>
      </c>
      <c r="F389" s="3" t="s">
        <v>48</v>
      </c>
      <c r="G389" s="3" t="s">
        <v>25</v>
      </c>
      <c r="H389" s="3" t="s">
        <v>26</v>
      </c>
      <c r="I389" s="3" t="s">
        <v>27</v>
      </c>
      <c r="J389" s="3" t="s">
        <v>28</v>
      </c>
      <c r="K389" s="4" t="s">
        <v>28</v>
      </c>
      <c r="L389" s="4" t="s">
        <v>2259</v>
      </c>
      <c r="M389" s="4" t="s">
        <v>2260</v>
      </c>
      <c r="N389" s="4" t="s">
        <v>2261</v>
      </c>
      <c r="O389" s="4" t="s">
        <v>265</v>
      </c>
      <c r="P389" s="4" t="s">
        <v>541</v>
      </c>
      <c r="Q389" s="4" t="s">
        <v>843</v>
      </c>
      <c r="R389" s="3" t="str">
        <f t="shared" si="1"/>
        <v>Outstanding</v>
      </c>
      <c r="S389" s="11" t="s">
        <v>28</v>
      </c>
    </row>
    <row r="390" spans="1:19" ht="60" customHeight="1" x14ac:dyDescent="0.35">
      <c r="A390" s="9" t="s">
        <v>2142</v>
      </c>
      <c r="B390" s="2" t="s">
        <v>2262</v>
      </c>
      <c r="C390" s="1" t="s">
        <v>2263</v>
      </c>
      <c r="D390" s="3" t="s">
        <v>532</v>
      </c>
      <c r="E390" s="3" t="s">
        <v>23</v>
      </c>
      <c r="F390" s="3" t="s">
        <v>48</v>
      </c>
      <c r="G390" s="3" t="s">
        <v>25</v>
      </c>
      <c r="H390" s="3" t="s">
        <v>26</v>
      </c>
      <c r="I390" s="3" t="s">
        <v>27</v>
      </c>
      <c r="J390" s="3" t="s">
        <v>28</v>
      </c>
      <c r="K390" s="4" t="s">
        <v>28</v>
      </c>
      <c r="L390" s="4" t="s">
        <v>2264</v>
      </c>
      <c r="M390" s="4" t="s">
        <v>2265</v>
      </c>
      <c r="N390" s="4" t="s">
        <v>2266</v>
      </c>
      <c r="O390" s="4" t="s">
        <v>265</v>
      </c>
      <c r="P390" s="4" t="s">
        <v>541</v>
      </c>
      <c r="Q390" s="4" t="s">
        <v>843</v>
      </c>
      <c r="R390" s="3" t="str">
        <f t="shared" si="1"/>
        <v>Outstanding</v>
      </c>
      <c r="S390" s="11" t="s">
        <v>28</v>
      </c>
    </row>
    <row r="391" spans="1:19" ht="60" customHeight="1" x14ac:dyDescent="0.35">
      <c r="A391" s="9" t="s">
        <v>2142</v>
      </c>
      <c r="B391" s="2" t="s">
        <v>2267</v>
      </c>
      <c r="C391" s="1" t="s">
        <v>2268</v>
      </c>
      <c r="D391" s="3" t="s">
        <v>532</v>
      </c>
      <c r="E391" s="3" t="s">
        <v>23</v>
      </c>
      <c r="F391" s="3" t="s">
        <v>48</v>
      </c>
      <c r="G391" s="3" t="s">
        <v>25</v>
      </c>
      <c r="H391" s="3" t="s">
        <v>26</v>
      </c>
      <c r="I391" s="3" t="s">
        <v>27</v>
      </c>
      <c r="J391" s="3" t="s">
        <v>28</v>
      </c>
      <c r="K391" s="4" t="s">
        <v>28</v>
      </c>
      <c r="L391" s="4" t="s">
        <v>2269</v>
      </c>
      <c r="M391" s="4" t="s">
        <v>2270</v>
      </c>
      <c r="N391" s="4" t="s">
        <v>2271</v>
      </c>
      <c r="O391" s="4" t="s">
        <v>265</v>
      </c>
      <c r="P391" s="4" t="s">
        <v>541</v>
      </c>
      <c r="Q391" s="4" t="s">
        <v>843</v>
      </c>
      <c r="R391" s="3" t="str">
        <f t="shared" si="1"/>
        <v>Outstanding</v>
      </c>
      <c r="S391" s="11" t="s">
        <v>28</v>
      </c>
    </row>
    <row r="392" spans="1:19" ht="60" customHeight="1" x14ac:dyDescent="0.35">
      <c r="A392" s="9" t="s">
        <v>2272</v>
      </c>
      <c r="B392" s="2" t="s">
        <v>2273</v>
      </c>
      <c r="C392" s="1" t="s">
        <v>2274</v>
      </c>
      <c r="D392" s="3" t="s">
        <v>532</v>
      </c>
      <c r="E392" s="3" t="s">
        <v>23</v>
      </c>
      <c r="F392" s="3" t="s">
        <v>24</v>
      </c>
      <c r="G392" s="3" t="s">
        <v>25</v>
      </c>
      <c r="H392" s="3" t="s">
        <v>26</v>
      </c>
      <c r="I392" s="3" t="s">
        <v>27</v>
      </c>
      <c r="J392" s="3" t="s">
        <v>28</v>
      </c>
      <c r="K392" s="4" t="s">
        <v>28</v>
      </c>
      <c r="L392" s="4" t="s">
        <v>2275</v>
      </c>
      <c r="M392" s="4" t="s">
        <v>2276</v>
      </c>
      <c r="N392" s="4"/>
      <c r="O392" s="4"/>
      <c r="P392" s="4"/>
      <c r="Q392" s="4"/>
      <c r="R392" s="3" t="str">
        <f t="shared" si="1"/>
        <v>Outstanding</v>
      </c>
      <c r="S392" s="11" t="s">
        <v>28</v>
      </c>
    </row>
    <row r="393" spans="1:19" ht="60" customHeight="1" x14ac:dyDescent="0.35">
      <c r="A393" s="9" t="s">
        <v>2277</v>
      </c>
      <c r="B393" s="2" t="s">
        <v>2278</v>
      </c>
      <c r="C393" s="1" t="s">
        <v>2279</v>
      </c>
      <c r="D393" s="3" t="s">
        <v>532</v>
      </c>
      <c r="E393" s="3" t="s">
        <v>23</v>
      </c>
      <c r="F393" s="3" t="s">
        <v>24</v>
      </c>
      <c r="G393" s="3" t="s">
        <v>25</v>
      </c>
      <c r="H393" s="3" t="s">
        <v>26</v>
      </c>
      <c r="I393" s="3" t="s">
        <v>27</v>
      </c>
      <c r="J393" s="3" t="s">
        <v>28</v>
      </c>
      <c r="K393" s="4" t="s">
        <v>28</v>
      </c>
      <c r="L393" s="4" t="s">
        <v>2280</v>
      </c>
      <c r="M393" s="4" t="s">
        <v>2281</v>
      </c>
      <c r="N393" s="4"/>
      <c r="O393" s="4"/>
      <c r="P393" s="4"/>
      <c r="Q393" s="4"/>
      <c r="R393" s="3" t="str">
        <f t="shared" si="1"/>
        <v>Outstanding</v>
      </c>
      <c r="S393" s="11" t="s">
        <v>28</v>
      </c>
    </row>
    <row r="394" spans="1:19" ht="60" customHeight="1" x14ac:dyDescent="0.35">
      <c r="A394" s="9" t="s">
        <v>2282</v>
      </c>
      <c r="B394" s="2" t="s">
        <v>2283</v>
      </c>
      <c r="C394" s="1" t="s">
        <v>2284</v>
      </c>
      <c r="D394" s="3" t="s">
        <v>532</v>
      </c>
      <c r="E394" s="3" t="s">
        <v>23</v>
      </c>
      <c r="F394" s="3" t="s">
        <v>24</v>
      </c>
      <c r="G394" s="3" t="s">
        <v>25</v>
      </c>
      <c r="H394" s="3" t="s">
        <v>26</v>
      </c>
      <c r="I394" s="3" t="s">
        <v>27</v>
      </c>
      <c r="J394" s="3" t="s">
        <v>28</v>
      </c>
      <c r="K394" s="4" t="s">
        <v>28</v>
      </c>
      <c r="L394" s="4" t="s">
        <v>2285</v>
      </c>
      <c r="M394" s="4" t="s">
        <v>2286</v>
      </c>
      <c r="N394" s="4"/>
      <c r="O394" s="4"/>
      <c r="P394" s="4"/>
      <c r="Q394" s="4"/>
      <c r="R394" s="3" t="str">
        <f t="shared" si="1"/>
        <v>Outstanding</v>
      </c>
      <c r="S394" s="11" t="s">
        <v>28</v>
      </c>
    </row>
    <row r="395" spans="1:19" ht="60" customHeight="1" x14ac:dyDescent="0.35">
      <c r="A395" s="9" t="s">
        <v>2287</v>
      </c>
      <c r="B395" s="2" t="s">
        <v>2288</v>
      </c>
      <c r="C395" s="1" t="s">
        <v>2289</v>
      </c>
      <c r="D395" s="3" t="s">
        <v>532</v>
      </c>
      <c r="E395" s="3" t="s">
        <v>23</v>
      </c>
      <c r="F395" s="3" t="s">
        <v>24</v>
      </c>
      <c r="G395" s="3" t="s">
        <v>25</v>
      </c>
      <c r="H395" s="3" t="s">
        <v>26</v>
      </c>
      <c r="I395" s="3" t="s">
        <v>27</v>
      </c>
      <c r="J395" s="3" t="s">
        <v>28</v>
      </c>
      <c r="K395" s="4" t="s">
        <v>28</v>
      </c>
      <c r="L395" s="4" t="s">
        <v>2290</v>
      </c>
      <c r="M395" s="4" t="s">
        <v>2291</v>
      </c>
      <c r="N395" s="4"/>
      <c r="O395" s="4"/>
      <c r="P395" s="4"/>
      <c r="Q395" s="4"/>
      <c r="R395" s="3" t="str">
        <f t="shared" si="1"/>
        <v>Outstanding</v>
      </c>
      <c r="S395" s="11" t="s">
        <v>28</v>
      </c>
    </row>
    <row r="396" spans="1:19" ht="60" customHeight="1" x14ac:dyDescent="0.35">
      <c r="A396" s="9" t="s">
        <v>2287</v>
      </c>
      <c r="B396" s="2" t="s">
        <v>2292</v>
      </c>
      <c r="C396" s="1" t="s">
        <v>2293</v>
      </c>
      <c r="D396" s="3" t="s">
        <v>532</v>
      </c>
      <c r="E396" s="3" t="s">
        <v>23</v>
      </c>
      <c r="F396" s="3" t="s">
        <v>48</v>
      </c>
      <c r="G396" s="3" t="s">
        <v>25</v>
      </c>
      <c r="H396" s="3" t="s">
        <v>26</v>
      </c>
      <c r="I396" s="3" t="s">
        <v>27</v>
      </c>
      <c r="J396" s="3" t="s">
        <v>28</v>
      </c>
      <c r="K396" s="4" t="s">
        <v>28</v>
      </c>
      <c r="L396" s="4" t="s">
        <v>2294</v>
      </c>
      <c r="M396" s="4" t="s">
        <v>2295</v>
      </c>
      <c r="N396" s="4" t="s">
        <v>2296</v>
      </c>
      <c r="O396" s="4" t="s">
        <v>265</v>
      </c>
      <c r="P396" s="4" t="s">
        <v>2297</v>
      </c>
      <c r="Q396" s="4" t="s">
        <v>2298</v>
      </c>
      <c r="R396" s="3" t="str">
        <f t="shared" si="1"/>
        <v>Outstanding</v>
      </c>
      <c r="S396" s="11" t="s">
        <v>28</v>
      </c>
    </row>
    <row r="397" spans="1:19" ht="60" customHeight="1" x14ac:dyDescent="0.35">
      <c r="A397" s="9" t="s">
        <v>2287</v>
      </c>
      <c r="B397" s="2" t="s">
        <v>2299</v>
      </c>
      <c r="C397" s="1" t="s">
        <v>2300</v>
      </c>
      <c r="D397" s="3" t="s">
        <v>532</v>
      </c>
      <c r="E397" s="3" t="s">
        <v>23</v>
      </c>
      <c r="F397" s="3" t="s">
        <v>48</v>
      </c>
      <c r="G397" s="3" t="s">
        <v>25</v>
      </c>
      <c r="H397" s="3" t="s">
        <v>26</v>
      </c>
      <c r="I397" s="3" t="s">
        <v>27</v>
      </c>
      <c r="J397" s="3" t="s">
        <v>28</v>
      </c>
      <c r="K397" s="4" t="s">
        <v>28</v>
      </c>
      <c r="L397" s="4" t="s">
        <v>2301</v>
      </c>
      <c r="M397" s="4" t="s">
        <v>2302</v>
      </c>
      <c r="N397" s="4" t="s">
        <v>2303</v>
      </c>
      <c r="O397" s="4" t="s">
        <v>265</v>
      </c>
      <c r="P397" s="4" t="s">
        <v>2304</v>
      </c>
      <c r="Q397" s="4" t="s">
        <v>2305</v>
      </c>
      <c r="R397" s="3" t="str">
        <f t="shared" si="1"/>
        <v>Outstanding</v>
      </c>
      <c r="S397" s="11" t="s">
        <v>28</v>
      </c>
    </row>
    <row r="398" spans="1:19" ht="60" customHeight="1" x14ac:dyDescent="0.35">
      <c r="A398" s="9" t="s">
        <v>2287</v>
      </c>
      <c r="B398" s="2" t="s">
        <v>2306</v>
      </c>
      <c r="C398" s="1" t="s">
        <v>2307</v>
      </c>
      <c r="D398" s="3" t="s">
        <v>532</v>
      </c>
      <c r="E398" s="3" t="s">
        <v>23</v>
      </c>
      <c r="F398" s="3" t="s">
        <v>48</v>
      </c>
      <c r="G398" s="3" t="s">
        <v>25</v>
      </c>
      <c r="H398" s="3" t="s">
        <v>26</v>
      </c>
      <c r="I398" s="3" t="s">
        <v>27</v>
      </c>
      <c r="J398" s="3" t="s">
        <v>28</v>
      </c>
      <c r="K398" s="4" t="s">
        <v>28</v>
      </c>
      <c r="L398" s="4" t="s">
        <v>2308</v>
      </c>
      <c r="M398" s="4" t="s">
        <v>2309</v>
      </c>
      <c r="N398" s="4" t="s">
        <v>2310</v>
      </c>
      <c r="O398" s="4" t="s">
        <v>2311</v>
      </c>
      <c r="P398" s="4" t="s">
        <v>2312</v>
      </c>
      <c r="Q398" s="4" t="s">
        <v>2313</v>
      </c>
      <c r="R398" s="3" t="str">
        <f t="shared" si="1"/>
        <v>Outstanding</v>
      </c>
      <c r="S398" s="11" t="s">
        <v>28</v>
      </c>
    </row>
    <row r="399" spans="1:19" ht="60" customHeight="1" x14ac:dyDescent="0.35">
      <c r="A399" s="9" t="s">
        <v>2287</v>
      </c>
      <c r="B399" s="2" t="s">
        <v>2314</v>
      </c>
      <c r="C399" s="1" t="s">
        <v>2315</v>
      </c>
      <c r="D399" s="3" t="s">
        <v>532</v>
      </c>
      <c r="E399" s="3" t="s">
        <v>23</v>
      </c>
      <c r="F399" s="3" t="s">
        <v>48</v>
      </c>
      <c r="G399" s="3" t="s">
        <v>25</v>
      </c>
      <c r="H399" s="3" t="s">
        <v>26</v>
      </c>
      <c r="I399" s="3" t="s">
        <v>27</v>
      </c>
      <c r="J399" s="3" t="s">
        <v>28</v>
      </c>
      <c r="K399" s="4" t="s">
        <v>28</v>
      </c>
      <c r="L399" s="4" t="s">
        <v>2294</v>
      </c>
      <c r="M399" s="4" t="s">
        <v>2295</v>
      </c>
      <c r="N399" s="4" t="s">
        <v>2296</v>
      </c>
      <c r="O399" s="4" t="s">
        <v>265</v>
      </c>
      <c r="P399" s="4" t="s">
        <v>2297</v>
      </c>
      <c r="Q399" s="4" t="s">
        <v>2298</v>
      </c>
      <c r="R399" s="3" t="str">
        <f t="shared" si="1"/>
        <v>Outstanding</v>
      </c>
      <c r="S399" s="11" t="s">
        <v>28</v>
      </c>
    </row>
    <row r="400" spans="1:19" ht="60" customHeight="1" x14ac:dyDescent="0.35">
      <c r="A400" s="9" t="s">
        <v>2287</v>
      </c>
      <c r="B400" s="2" t="s">
        <v>2316</v>
      </c>
      <c r="C400" s="1" t="s">
        <v>2317</v>
      </c>
      <c r="D400" s="3" t="s">
        <v>532</v>
      </c>
      <c r="E400" s="3" t="s">
        <v>23</v>
      </c>
      <c r="F400" s="3" t="s">
        <v>48</v>
      </c>
      <c r="G400" s="3" t="s">
        <v>25</v>
      </c>
      <c r="H400" s="3" t="s">
        <v>26</v>
      </c>
      <c r="I400" s="3" t="s">
        <v>27</v>
      </c>
      <c r="J400" s="3" t="s">
        <v>28</v>
      </c>
      <c r="K400" s="4" t="s">
        <v>28</v>
      </c>
      <c r="L400" s="4" t="s">
        <v>2301</v>
      </c>
      <c r="M400" s="4" t="s">
        <v>2302</v>
      </c>
      <c r="N400" s="4" t="s">
        <v>2303</v>
      </c>
      <c r="O400" s="4" t="s">
        <v>265</v>
      </c>
      <c r="P400" s="4" t="s">
        <v>2304</v>
      </c>
      <c r="Q400" s="4" t="s">
        <v>2305</v>
      </c>
      <c r="R400" s="3" t="str">
        <f t="shared" si="1"/>
        <v>Outstanding</v>
      </c>
      <c r="S400" s="11" t="s">
        <v>28</v>
      </c>
    </row>
    <row r="401" spans="1:19" ht="60" customHeight="1" x14ac:dyDescent="0.35">
      <c r="A401" s="9" t="s">
        <v>2287</v>
      </c>
      <c r="B401" s="2" t="s">
        <v>2318</v>
      </c>
      <c r="C401" s="1" t="s">
        <v>2319</v>
      </c>
      <c r="D401" s="3" t="s">
        <v>532</v>
      </c>
      <c r="E401" s="3" t="s">
        <v>23</v>
      </c>
      <c r="F401" s="3" t="s">
        <v>48</v>
      </c>
      <c r="G401" s="3" t="s">
        <v>25</v>
      </c>
      <c r="H401" s="3" t="s">
        <v>26</v>
      </c>
      <c r="I401" s="3" t="s">
        <v>27</v>
      </c>
      <c r="J401" s="3" t="s">
        <v>28</v>
      </c>
      <c r="K401" s="4" t="s">
        <v>28</v>
      </c>
      <c r="L401" s="4" t="s">
        <v>2320</v>
      </c>
      <c r="M401" s="4" t="s">
        <v>2321</v>
      </c>
      <c r="N401" s="4" t="s">
        <v>2322</v>
      </c>
      <c r="O401" s="4" t="s">
        <v>2323</v>
      </c>
      <c r="P401" s="4" t="s">
        <v>2324</v>
      </c>
      <c r="Q401" s="4" t="s">
        <v>2325</v>
      </c>
      <c r="R401" s="3" t="str">
        <f t="shared" si="1"/>
        <v>Outstanding</v>
      </c>
      <c r="S401" s="11" t="s">
        <v>28</v>
      </c>
    </row>
    <row r="402" spans="1:19" ht="60" customHeight="1" x14ac:dyDescent="0.35">
      <c r="A402" s="9" t="s">
        <v>2326</v>
      </c>
      <c r="B402" s="2" t="s">
        <v>2327</v>
      </c>
      <c r="C402" s="1" t="s">
        <v>2328</v>
      </c>
      <c r="D402" s="3" t="s">
        <v>532</v>
      </c>
      <c r="E402" s="3" t="s">
        <v>23</v>
      </c>
      <c r="F402" s="3" t="s">
        <v>24</v>
      </c>
      <c r="G402" s="3" t="s">
        <v>25</v>
      </c>
      <c r="H402" s="3" t="s">
        <v>26</v>
      </c>
      <c r="I402" s="3" t="s">
        <v>27</v>
      </c>
      <c r="J402" s="3" t="s">
        <v>28</v>
      </c>
      <c r="K402" s="4" t="s">
        <v>28</v>
      </c>
      <c r="L402" s="4" t="s">
        <v>2329</v>
      </c>
      <c r="M402" s="4" t="s">
        <v>2330</v>
      </c>
      <c r="N402" s="4"/>
      <c r="O402" s="4"/>
      <c r="P402" s="4"/>
      <c r="Q402" s="4"/>
      <c r="R402" s="3" t="str">
        <f t="shared" si="1"/>
        <v>Outstanding</v>
      </c>
      <c r="S402" s="11" t="s">
        <v>28</v>
      </c>
    </row>
    <row r="403" spans="1:19" ht="60" customHeight="1" x14ac:dyDescent="0.35">
      <c r="A403" s="9" t="s">
        <v>2326</v>
      </c>
      <c r="B403" s="2" t="s">
        <v>2331</v>
      </c>
      <c r="C403" s="1" t="s">
        <v>2332</v>
      </c>
      <c r="D403" s="3" t="s">
        <v>532</v>
      </c>
      <c r="E403" s="3" t="s">
        <v>23</v>
      </c>
      <c r="F403" s="3" t="s">
        <v>48</v>
      </c>
      <c r="G403" s="3" t="s">
        <v>25</v>
      </c>
      <c r="H403" s="3" t="s">
        <v>26</v>
      </c>
      <c r="I403" s="3" t="s">
        <v>27</v>
      </c>
      <c r="J403" s="3" t="s">
        <v>28</v>
      </c>
      <c r="K403" s="4" t="s">
        <v>28</v>
      </c>
      <c r="L403" s="4" t="s">
        <v>2333</v>
      </c>
      <c r="M403" s="4" t="s">
        <v>2334</v>
      </c>
      <c r="N403" s="4" t="s">
        <v>2335</v>
      </c>
      <c r="O403" s="4" t="s">
        <v>2336</v>
      </c>
      <c r="P403" s="4" t="s">
        <v>2337</v>
      </c>
      <c r="Q403" s="4" t="s">
        <v>2338</v>
      </c>
      <c r="R403" s="3" t="str">
        <f t="shared" si="1"/>
        <v>Outstanding</v>
      </c>
      <c r="S403" s="11" t="s">
        <v>28</v>
      </c>
    </row>
    <row r="404" spans="1:19" ht="60" customHeight="1" x14ac:dyDescent="0.35">
      <c r="A404" s="9" t="s">
        <v>2339</v>
      </c>
      <c r="B404" s="2" t="s">
        <v>2340</v>
      </c>
      <c r="C404" s="1" t="s">
        <v>2341</v>
      </c>
      <c r="D404" s="3" t="s">
        <v>532</v>
      </c>
      <c r="E404" s="3" t="s">
        <v>23</v>
      </c>
      <c r="F404" s="3" t="s">
        <v>24</v>
      </c>
      <c r="G404" s="3" t="s">
        <v>25</v>
      </c>
      <c r="H404" s="3" t="s">
        <v>26</v>
      </c>
      <c r="I404" s="3" t="s">
        <v>27</v>
      </c>
      <c r="J404" s="3" t="s">
        <v>28</v>
      </c>
      <c r="K404" s="4" t="s">
        <v>28</v>
      </c>
      <c r="L404" s="4" t="s">
        <v>2342</v>
      </c>
      <c r="M404" s="4" t="s">
        <v>2343</v>
      </c>
      <c r="N404" s="4"/>
      <c r="O404" s="4"/>
      <c r="P404" s="4"/>
      <c r="Q404" s="4"/>
      <c r="R404" s="3" t="str">
        <f t="shared" si="1"/>
        <v>Outstanding</v>
      </c>
      <c r="S404" s="11" t="s">
        <v>28</v>
      </c>
    </row>
    <row r="405" spans="1:19" ht="60" customHeight="1" x14ac:dyDescent="0.35">
      <c r="A405" s="9" t="s">
        <v>2339</v>
      </c>
      <c r="B405" s="2" t="s">
        <v>2344</v>
      </c>
      <c r="C405" s="1" t="s">
        <v>2345</v>
      </c>
      <c r="D405" s="3" t="s">
        <v>532</v>
      </c>
      <c r="E405" s="3" t="s">
        <v>23</v>
      </c>
      <c r="F405" s="3" t="s">
        <v>48</v>
      </c>
      <c r="G405" s="3" t="s">
        <v>25</v>
      </c>
      <c r="H405" s="3" t="s">
        <v>26</v>
      </c>
      <c r="I405" s="3" t="s">
        <v>27</v>
      </c>
      <c r="J405" s="3" t="s">
        <v>28</v>
      </c>
      <c r="K405" s="4" t="s">
        <v>28</v>
      </c>
      <c r="L405" s="4" t="s">
        <v>2346</v>
      </c>
      <c r="M405" s="4"/>
      <c r="N405" s="4"/>
      <c r="O405" s="4"/>
      <c r="P405" s="4"/>
      <c r="Q405" s="4"/>
      <c r="R405" s="3" t="str">
        <f t="shared" si="1"/>
        <v>Outstanding</v>
      </c>
      <c r="S405" s="11" t="s">
        <v>28</v>
      </c>
    </row>
    <row r="406" spans="1:19" ht="60" customHeight="1" x14ac:dyDescent="0.35">
      <c r="A406" s="9" t="s">
        <v>2347</v>
      </c>
      <c r="B406" s="2" t="s">
        <v>2348</v>
      </c>
      <c r="C406" s="1" t="s">
        <v>2349</v>
      </c>
      <c r="D406" s="3" t="s">
        <v>2350</v>
      </c>
      <c r="E406" s="3" t="s">
        <v>23</v>
      </c>
      <c r="F406" s="3" t="s">
        <v>24</v>
      </c>
      <c r="G406" s="3" t="s">
        <v>25</v>
      </c>
      <c r="H406" s="3" t="s">
        <v>26</v>
      </c>
      <c r="I406" s="3" t="s">
        <v>27</v>
      </c>
      <c r="J406" s="3" t="s">
        <v>28</v>
      </c>
      <c r="K406" s="4" t="s">
        <v>28</v>
      </c>
      <c r="L406" s="4" t="s">
        <v>2351</v>
      </c>
      <c r="M406" s="4" t="s">
        <v>2352</v>
      </c>
      <c r="N406" s="4"/>
      <c r="O406" s="4"/>
      <c r="P406" s="4"/>
      <c r="Q406" s="4"/>
      <c r="R406" s="3" t="str">
        <f t="shared" si="1"/>
        <v>Outstanding</v>
      </c>
      <c r="S406" s="11" t="s">
        <v>28</v>
      </c>
    </row>
    <row r="407" spans="1:19" ht="60" customHeight="1" x14ac:dyDescent="0.35">
      <c r="A407" s="9" t="s">
        <v>2347</v>
      </c>
      <c r="B407" s="2" t="s">
        <v>2353</v>
      </c>
      <c r="C407" s="1" t="s">
        <v>2354</v>
      </c>
      <c r="D407" s="3" t="s">
        <v>2350</v>
      </c>
      <c r="E407" s="3" t="s">
        <v>806</v>
      </c>
      <c r="F407" s="3" t="s">
        <v>48</v>
      </c>
      <c r="G407" s="3" t="s">
        <v>25</v>
      </c>
      <c r="H407" s="3" t="s">
        <v>26</v>
      </c>
      <c r="I407" s="3" t="s">
        <v>27</v>
      </c>
      <c r="J407" s="3" t="s">
        <v>28</v>
      </c>
      <c r="K407" s="4" t="s">
        <v>28</v>
      </c>
      <c r="L407" s="4" t="s">
        <v>2355</v>
      </c>
      <c r="M407" s="4"/>
      <c r="N407" s="4"/>
      <c r="O407" s="4"/>
      <c r="P407" s="4"/>
      <c r="Q407" s="4"/>
      <c r="R407" s="3" t="str">
        <f t="shared" si="1"/>
        <v>Outstanding</v>
      </c>
      <c r="S407" s="11" t="s">
        <v>28</v>
      </c>
    </row>
    <row r="408" spans="1:19" ht="60" customHeight="1" x14ac:dyDescent="0.35">
      <c r="A408" s="9" t="s">
        <v>2356</v>
      </c>
      <c r="B408" s="2" t="s">
        <v>2357</v>
      </c>
      <c r="C408" s="1" t="s">
        <v>2358</v>
      </c>
      <c r="D408" s="3" t="s">
        <v>2350</v>
      </c>
      <c r="E408" s="3" t="s">
        <v>23</v>
      </c>
      <c r="F408" s="3" t="s">
        <v>24</v>
      </c>
      <c r="G408" s="3" t="s">
        <v>25</v>
      </c>
      <c r="H408" s="3" t="s">
        <v>26</v>
      </c>
      <c r="I408" s="3" t="s">
        <v>27</v>
      </c>
      <c r="J408" s="3" t="s">
        <v>28</v>
      </c>
      <c r="K408" s="4" t="s">
        <v>28</v>
      </c>
      <c r="L408" s="4" t="s">
        <v>2359</v>
      </c>
      <c r="M408" s="4" t="s">
        <v>2360</v>
      </c>
      <c r="N408" s="4"/>
      <c r="O408" s="4"/>
      <c r="P408" s="4"/>
      <c r="Q408" s="4"/>
      <c r="R408" s="3" t="str">
        <f t="shared" si="1"/>
        <v>Outstanding</v>
      </c>
      <c r="S408" s="11" t="s">
        <v>28</v>
      </c>
    </row>
    <row r="409" spans="1:19" ht="60" customHeight="1" x14ac:dyDescent="0.35">
      <c r="A409" s="9" t="s">
        <v>2356</v>
      </c>
      <c r="B409" s="2" t="s">
        <v>2361</v>
      </c>
      <c r="C409" s="1" t="s">
        <v>2362</v>
      </c>
      <c r="D409" s="3" t="s">
        <v>2350</v>
      </c>
      <c r="E409" s="3" t="s">
        <v>806</v>
      </c>
      <c r="F409" s="3" t="s">
        <v>48</v>
      </c>
      <c r="G409" s="3" t="s">
        <v>25</v>
      </c>
      <c r="H409" s="3" t="s">
        <v>26</v>
      </c>
      <c r="I409" s="3" t="s">
        <v>27</v>
      </c>
      <c r="J409" s="3" t="s">
        <v>28</v>
      </c>
      <c r="K409" s="4" t="s">
        <v>28</v>
      </c>
      <c r="L409" s="4" t="s">
        <v>2363</v>
      </c>
      <c r="M409" s="4"/>
      <c r="N409" s="4"/>
      <c r="O409" s="4"/>
      <c r="P409" s="4"/>
      <c r="Q409" s="4"/>
      <c r="R409" s="3" t="str">
        <f t="shared" si="1"/>
        <v>Outstanding</v>
      </c>
      <c r="S409" s="11" t="s">
        <v>28</v>
      </c>
    </row>
    <row r="410" spans="1:19" ht="60" customHeight="1" x14ac:dyDescent="0.35">
      <c r="A410" s="9" t="s">
        <v>2364</v>
      </c>
      <c r="B410" s="2" t="s">
        <v>2365</v>
      </c>
      <c r="C410" s="1" t="s">
        <v>2366</v>
      </c>
      <c r="D410" s="3" t="s">
        <v>2350</v>
      </c>
      <c r="E410" s="3" t="s">
        <v>23</v>
      </c>
      <c r="F410" s="3" t="s">
        <v>24</v>
      </c>
      <c r="G410" s="3" t="s">
        <v>25</v>
      </c>
      <c r="H410" s="3" t="s">
        <v>26</v>
      </c>
      <c r="I410" s="3" t="s">
        <v>27</v>
      </c>
      <c r="J410" s="3" t="s">
        <v>28</v>
      </c>
      <c r="K410" s="4" t="s">
        <v>28</v>
      </c>
      <c r="L410" s="4" t="s">
        <v>2367</v>
      </c>
      <c r="M410" s="4" t="s">
        <v>2368</v>
      </c>
      <c r="N410" s="4"/>
      <c r="O410" s="4"/>
      <c r="P410" s="4"/>
      <c r="Q410" s="4"/>
      <c r="R410" s="3" t="str">
        <f t="shared" si="1"/>
        <v>Outstanding</v>
      </c>
      <c r="S410" s="11" t="s">
        <v>28</v>
      </c>
    </row>
    <row r="411" spans="1:19" ht="60" customHeight="1" x14ac:dyDescent="0.35">
      <c r="A411" s="9" t="s">
        <v>2364</v>
      </c>
      <c r="B411" s="2" t="s">
        <v>2369</v>
      </c>
      <c r="C411" s="1" t="s">
        <v>2370</v>
      </c>
      <c r="D411" s="3" t="s">
        <v>2350</v>
      </c>
      <c r="E411" s="3" t="s">
        <v>23</v>
      </c>
      <c r="F411" s="3" t="s">
        <v>48</v>
      </c>
      <c r="G411" s="3" t="s">
        <v>25</v>
      </c>
      <c r="H411" s="3" t="s">
        <v>26</v>
      </c>
      <c r="I411" s="3" t="s">
        <v>27</v>
      </c>
      <c r="J411" s="3" t="s">
        <v>28</v>
      </c>
      <c r="K411" s="4" t="s">
        <v>28</v>
      </c>
      <c r="L411" s="4" t="s">
        <v>2371</v>
      </c>
      <c r="M411" s="4" t="s">
        <v>2372</v>
      </c>
      <c r="N411" s="4" t="s">
        <v>2373</v>
      </c>
      <c r="O411" s="4" t="s">
        <v>2374</v>
      </c>
      <c r="P411" s="4" t="s">
        <v>2375</v>
      </c>
      <c r="Q411" s="4" t="s">
        <v>2376</v>
      </c>
      <c r="R411" s="3" t="str">
        <f t="shared" si="1"/>
        <v>Outstanding</v>
      </c>
      <c r="S411" s="11" t="s">
        <v>28</v>
      </c>
    </row>
    <row r="412" spans="1:19" ht="60" customHeight="1" x14ac:dyDescent="0.35">
      <c r="A412" s="9" t="s">
        <v>2364</v>
      </c>
      <c r="B412" s="2" t="s">
        <v>2377</v>
      </c>
      <c r="C412" s="1" t="s">
        <v>2378</v>
      </c>
      <c r="D412" s="3" t="s">
        <v>2350</v>
      </c>
      <c r="E412" s="3" t="s">
        <v>23</v>
      </c>
      <c r="F412" s="3" t="s">
        <v>48</v>
      </c>
      <c r="G412" s="3" t="s">
        <v>25</v>
      </c>
      <c r="H412" s="3" t="s">
        <v>26</v>
      </c>
      <c r="I412" s="3" t="s">
        <v>27</v>
      </c>
      <c r="J412" s="3" t="s">
        <v>28</v>
      </c>
      <c r="K412" s="4" t="s">
        <v>28</v>
      </c>
      <c r="L412" s="4" t="s">
        <v>2379</v>
      </c>
      <c r="M412" s="4"/>
      <c r="N412" s="4"/>
      <c r="O412" s="4"/>
      <c r="P412" s="4"/>
      <c r="Q412" s="4"/>
      <c r="R412" s="3" t="str">
        <f t="shared" si="1"/>
        <v>Outstanding</v>
      </c>
      <c r="S412" s="11" t="s">
        <v>28</v>
      </c>
    </row>
    <row r="413" spans="1:19" ht="60" customHeight="1" x14ac:dyDescent="0.35">
      <c r="A413" s="9" t="s">
        <v>2364</v>
      </c>
      <c r="B413" s="2" t="s">
        <v>2380</v>
      </c>
      <c r="C413" s="1" t="s">
        <v>2381</v>
      </c>
      <c r="D413" s="3" t="s">
        <v>2350</v>
      </c>
      <c r="E413" s="3" t="s">
        <v>23</v>
      </c>
      <c r="F413" s="3" t="s">
        <v>48</v>
      </c>
      <c r="G413" s="3" t="s">
        <v>25</v>
      </c>
      <c r="H413" s="3" t="s">
        <v>26</v>
      </c>
      <c r="I413" s="3" t="s">
        <v>27</v>
      </c>
      <c r="J413" s="3" t="s">
        <v>28</v>
      </c>
      <c r="K413" s="4" t="s">
        <v>28</v>
      </c>
      <c r="L413" s="4" t="s">
        <v>2382</v>
      </c>
      <c r="M413" s="4"/>
      <c r="N413" s="4"/>
      <c r="O413" s="4"/>
      <c r="P413" s="4"/>
      <c r="Q413" s="4"/>
      <c r="R413" s="3" t="str">
        <f t="shared" si="1"/>
        <v>Outstanding</v>
      </c>
      <c r="S413" s="11" t="s">
        <v>28</v>
      </c>
    </row>
    <row r="414" spans="1:19" ht="60" customHeight="1" x14ac:dyDescent="0.35">
      <c r="A414" s="9" t="s">
        <v>2383</v>
      </c>
      <c r="B414" s="2" t="s">
        <v>2384</v>
      </c>
      <c r="C414" s="1" t="s">
        <v>2385</v>
      </c>
      <c r="D414" s="3" t="s">
        <v>2350</v>
      </c>
      <c r="E414" s="3" t="s">
        <v>23</v>
      </c>
      <c r="F414" s="3" t="s">
        <v>24</v>
      </c>
      <c r="G414" s="3" t="s">
        <v>25</v>
      </c>
      <c r="H414" s="3" t="s">
        <v>26</v>
      </c>
      <c r="I414" s="3" t="s">
        <v>27</v>
      </c>
      <c r="J414" s="3" t="s">
        <v>28</v>
      </c>
      <c r="K414" s="4" t="s">
        <v>28</v>
      </c>
      <c r="L414" s="4" t="s">
        <v>2386</v>
      </c>
      <c r="M414" s="4" t="s">
        <v>2387</v>
      </c>
      <c r="N414" s="4"/>
      <c r="O414" s="4"/>
      <c r="P414" s="4"/>
      <c r="Q414" s="4"/>
      <c r="R414" s="3" t="str">
        <f t="shared" si="1"/>
        <v>Outstanding</v>
      </c>
      <c r="S414" s="11" t="s">
        <v>28</v>
      </c>
    </row>
    <row r="415" spans="1:19" ht="60" customHeight="1" x14ac:dyDescent="0.35">
      <c r="A415" s="9" t="s">
        <v>2383</v>
      </c>
      <c r="B415" s="2" t="s">
        <v>2388</v>
      </c>
      <c r="C415" s="1" t="s">
        <v>2389</v>
      </c>
      <c r="D415" s="3" t="s">
        <v>2350</v>
      </c>
      <c r="E415" s="3" t="s">
        <v>23</v>
      </c>
      <c r="F415" s="3" t="s">
        <v>48</v>
      </c>
      <c r="G415" s="3" t="s">
        <v>25</v>
      </c>
      <c r="H415" s="3" t="s">
        <v>26</v>
      </c>
      <c r="I415" s="3" t="s">
        <v>27</v>
      </c>
      <c r="J415" s="3" t="s">
        <v>28</v>
      </c>
      <c r="K415" s="4" t="s">
        <v>28</v>
      </c>
      <c r="L415" s="4" t="s">
        <v>2390</v>
      </c>
      <c r="M415" s="4" t="s">
        <v>2391</v>
      </c>
      <c r="N415" s="4" t="s">
        <v>2392</v>
      </c>
      <c r="O415" s="4" t="s">
        <v>2393</v>
      </c>
      <c r="P415" s="4" t="s">
        <v>2394</v>
      </c>
      <c r="Q415" s="4" t="s">
        <v>2395</v>
      </c>
      <c r="R415" s="3" t="str">
        <f t="shared" si="1"/>
        <v>Outstanding</v>
      </c>
      <c r="S415" s="11" t="s">
        <v>28</v>
      </c>
    </row>
    <row r="416" spans="1:19" ht="60" customHeight="1" x14ac:dyDescent="0.35">
      <c r="A416" s="9" t="s">
        <v>2383</v>
      </c>
      <c r="B416" s="2" t="s">
        <v>2396</v>
      </c>
      <c r="C416" s="1" t="s">
        <v>2397</v>
      </c>
      <c r="D416" s="3" t="s">
        <v>2350</v>
      </c>
      <c r="E416" s="3" t="s">
        <v>23</v>
      </c>
      <c r="F416" s="3" t="s">
        <v>48</v>
      </c>
      <c r="G416" s="3" t="s">
        <v>25</v>
      </c>
      <c r="H416" s="3" t="s">
        <v>26</v>
      </c>
      <c r="I416" s="3" t="s">
        <v>27</v>
      </c>
      <c r="J416" s="3" t="s">
        <v>28</v>
      </c>
      <c r="K416" s="4" t="s">
        <v>28</v>
      </c>
      <c r="L416" s="4" t="s">
        <v>2398</v>
      </c>
      <c r="M416" s="4" t="s">
        <v>2399</v>
      </c>
      <c r="N416" s="4" t="s">
        <v>2400</v>
      </c>
      <c r="O416" s="4" t="s">
        <v>2401</v>
      </c>
      <c r="P416" s="4" t="s">
        <v>2402</v>
      </c>
      <c r="Q416" s="4" t="s">
        <v>2403</v>
      </c>
      <c r="R416" s="3" t="str">
        <f t="shared" si="1"/>
        <v>Outstanding</v>
      </c>
      <c r="S416" s="11" t="s">
        <v>28</v>
      </c>
    </row>
    <row r="417" spans="1:19" ht="60" customHeight="1" x14ac:dyDescent="0.35">
      <c r="A417" s="9" t="s">
        <v>2383</v>
      </c>
      <c r="B417" s="2" t="s">
        <v>2404</v>
      </c>
      <c r="C417" s="1" t="s">
        <v>2405</v>
      </c>
      <c r="D417" s="3" t="s">
        <v>2350</v>
      </c>
      <c r="E417" s="3" t="s">
        <v>23</v>
      </c>
      <c r="F417" s="3" t="s">
        <v>48</v>
      </c>
      <c r="G417" s="3" t="s">
        <v>25</v>
      </c>
      <c r="H417" s="3" t="s">
        <v>26</v>
      </c>
      <c r="I417" s="3" t="s">
        <v>27</v>
      </c>
      <c r="J417" s="3" t="s">
        <v>28</v>
      </c>
      <c r="K417" s="4" t="s">
        <v>28</v>
      </c>
      <c r="L417" s="4" t="s">
        <v>2406</v>
      </c>
      <c r="M417" s="4"/>
      <c r="N417" s="4"/>
      <c r="O417" s="4"/>
      <c r="P417" s="4"/>
      <c r="Q417" s="4"/>
      <c r="R417" s="3" t="str">
        <f t="shared" si="1"/>
        <v>Outstanding</v>
      </c>
      <c r="S417" s="11" t="s">
        <v>28</v>
      </c>
    </row>
    <row r="418" spans="1:19" ht="60" customHeight="1" x14ac:dyDescent="0.35">
      <c r="A418" s="9" t="s">
        <v>2407</v>
      </c>
      <c r="B418" s="2" t="s">
        <v>2408</v>
      </c>
      <c r="C418" s="1" t="s">
        <v>2409</v>
      </c>
      <c r="D418" s="3" t="s">
        <v>2350</v>
      </c>
      <c r="E418" s="3" t="s">
        <v>23</v>
      </c>
      <c r="F418" s="3" t="s">
        <v>24</v>
      </c>
      <c r="G418" s="3" t="s">
        <v>25</v>
      </c>
      <c r="H418" s="3" t="s">
        <v>26</v>
      </c>
      <c r="I418" s="3" t="s">
        <v>27</v>
      </c>
      <c r="J418" s="3" t="s">
        <v>28</v>
      </c>
      <c r="K418" s="4" t="s">
        <v>28</v>
      </c>
      <c r="L418" s="4" t="s">
        <v>2410</v>
      </c>
      <c r="M418" s="4" t="s">
        <v>2411</v>
      </c>
      <c r="N418" s="4"/>
      <c r="O418" s="4"/>
      <c r="P418" s="4"/>
      <c r="Q418" s="4"/>
      <c r="R418" s="3" t="str">
        <f t="shared" si="1"/>
        <v>Outstanding</v>
      </c>
      <c r="S418" s="11" t="s">
        <v>28</v>
      </c>
    </row>
    <row r="419" spans="1:19" ht="60" customHeight="1" x14ac:dyDescent="0.35">
      <c r="A419" s="10" t="s">
        <v>2407</v>
      </c>
      <c r="B419" s="5" t="s">
        <v>2412</v>
      </c>
      <c r="C419" s="6" t="s">
        <v>2413</v>
      </c>
      <c r="D419" s="7" t="s">
        <v>2350</v>
      </c>
      <c r="E419" s="7" t="s">
        <v>806</v>
      </c>
      <c r="F419" s="7" t="s">
        <v>48</v>
      </c>
      <c r="G419" s="7" t="s">
        <v>25</v>
      </c>
      <c r="H419" s="7" t="s">
        <v>26</v>
      </c>
      <c r="I419" s="7" t="s">
        <v>27</v>
      </c>
      <c r="J419" s="7" t="s">
        <v>28</v>
      </c>
      <c r="K419" s="8" t="s">
        <v>28</v>
      </c>
      <c r="L419" s="8" t="s">
        <v>2414</v>
      </c>
      <c r="M419" s="8"/>
      <c r="N419" s="8"/>
      <c r="O419" s="8"/>
      <c r="P419" s="8"/>
      <c r="Q419" s="8"/>
      <c r="R419" s="7" t="str">
        <f t="shared" si="1"/>
        <v>Outstanding</v>
      </c>
      <c r="S419" s="12" t="s">
        <v>28</v>
      </c>
    </row>
    <row r="423" spans="1:19" ht="32" customHeight="1" x14ac:dyDescent="0.35">
      <c r="A423" s="262" t="s">
        <v>2415</v>
      </c>
      <c r="B423" s="262"/>
      <c r="C423" s="262"/>
      <c r="D423" s="262"/>
    </row>
  </sheetData>
  <mergeCells count="1">
    <mergeCell ref="A423:D423"/>
  </mergeCells>
  <conditionalFormatting sqref="G2:G419">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H2:H419">
    <cfRule type="cellIs" dxfId="60" priority="5" operator="equal">
      <formula>"Low"</formula>
    </cfRule>
    <cfRule type="cellIs" dxfId="59" priority="6" operator="equal">
      <formula>"Medium"</formula>
    </cfRule>
    <cfRule type="cellIs" dxfId="58" priority="7" operator="equal">
      <formula>"High"</formula>
    </cfRule>
  </conditionalFormatting>
  <conditionalFormatting sqref="J2:J419">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G2:G419" xr:uid="{00000000-0002-0000-0200-000000000000}">
      <formula1>"Must,Should,Could,Won't,Unassigned"</formula1>
    </dataValidation>
    <dataValidation type="list" showErrorMessage="1" errorTitle="Invalid Value" error="Please select a value from the list: Low, Medium, High, Unassessed." sqref="H2:H419" xr:uid="{00000000-0002-0000-0200-000001000000}">
      <formula1>"Low,Medium,High,Unassessed"</formula1>
    </dataValidation>
    <dataValidation type="list" showErrorMessage="1" errorTitle="Invalid Value" error="Please select a value from the list: Phase1, Phase2, Phase3, Phase4, Phase5, Pending." sqref="I2:I4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J2:J419" xr:uid="{00000000-0002-0000-0200-000003000000}">
      <formula1>"Implemented,Testing,Failed,Compensated,Risk Accepted,N/A"</formula1>
    </dataValidation>
  </dataValidations>
  <hyperlinks>
    <hyperlink ref="A4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2555</v>
      </c>
      <c r="C2" s="279" t="s">
        <v>2555</v>
      </c>
      <c r="D2" s="279" t="s">
        <v>2555</v>
      </c>
      <c r="E2" s="279" t="s">
        <v>2555</v>
      </c>
      <c r="F2" s="279" t="s">
        <v>2555</v>
      </c>
      <c r="G2" s="279" t="s">
        <v>2555</v>
      </c>
      <c r="H2" s="283" t="s">
        <v>2556</v>
      </c>
      <c r="I2" s="283" t="s">
        <v>2556</v>
      </c>
      <c r="J2" s="283" t="s">
        <v>2556</v>
      </c>
      <c r="K2" s="283" t="s">
        <v>2556</v>
      </c>
      <c r="L2" s="283" t="s">
        <v>2556</v>
      </c>
      <c r="M2" s="282" t="s">
        <v>2557</v>
      </c>
      <c r="N2" s="282" t="s">
        <v>2557</v>
      </c>
      <c r="O2" s="284" t="s">
        <v>2558</v>
      </c>
      <c r="P2" s="284" t="s">
        <v>2558</v>
      </c>
      <c r="Q2" s="280" t="s">
        <v>17</v>
      </c>
      <c r="R2" s="280" t="s">
        <v>17</v>
      </c>
      <c r="S2" s="280" t="s">
        <v>17</v>
      </c>
      <c r="T2" s="281" t="s">
        <v>2559</v>
      </c>
    </row>
    <row r="3" spans="2:20" ht="35" customHeight="1" x14ac:dyDescent="0.35">
      <c r="B3" s="67" t="s">
        <v>2560</v>
      </c>
      <c r="C3" s="67" t="s">
        <v>2561</v>
      </c>
      <c r="D3" s="67" t="s">
        <v>2562</v>
      </c>
      <c r="E3" s="67" t="s">
        <v>2563</v>
      </c>
      <c r="F3" s="67" t="s">
        <v>2564</v>
      </c>
      <c r="G3" s="67" t="s">
        <v>12</v>
      </c>
      <c r="H3" s="68" t="s">
        <v>2565</v>
      </c>
      <c r="I3" s="68" t="s">
        <v>2566</v>
      </c>
      <c r="J3" s="68" t="s">
        <v>2567</v>
      </c>
      <c r="K3" s="68" t="s">
        <v>2568</v>
      </c>
      <c r="L3" s="68" t="s">
        <v>2501</v>
      </c>
      <c r="M3" s="69" t="s">
        <v>2569</v>
      </c>
      <c r="N3" s="69" t="s">
        <v>2570</v>
      </c>
      <c r="O3" s="70" t="s">
        <v>2571</v>
      </c>
      <c r="P3" s="70" t="s">
        <v>2572</v>
      </c>
      <c r="Q3" s="71" t="s">
        <v>17</v>
      </c>
      <c r="R3" s="71" t="s">
        <v>2573</v>
      </c>
      <c r="S3" s="71" t="s">
        <v>2574</v>
      </c>
      <c r="T3" s="72" t="s">
        <v>2575</v>
      </c>
    </row>
    <row r="4" spans="2:20" ht="60" customHeight="1" x14ac:dyDescent="0.35">
      <c r="B4" s="73" t="s">
        <v>2576</v>
      </c>
      <c r="C4" s="73" t="s">
        <v>2577</v>
      </c>
      <c r="D4" s="73" t="s">
        <v>2578</v>
      </c>
      <c r="E4" s="73" t="s">
        <v>2579</v>
      </c>
      <c r="F4" s="73" t="s">
        <v>2580</v>
      </c>
      <c r="G4" s="73" t="s">
        <v>2581</v>
      </c>
      <c r="H4" s="73" t="s">
        <v>2582</v>
      </c>
      <c r="I4" s="73" t="s">
        <v>2583</v>
      </c>
      <c r="J4" s="73" t="s">
        <v>2584</v>
      </c>
      <c r="K4" s="73" t="s">
        <v>2585</v>
      </c>
      <c r="L4" s="73" t="s">
        <v>2586</v>
      </c>
      <c r="M4" s="73" t="s">
        <v>2587</v>
      </c>
      <c r="N4" s="73" t="s">
        <v>2588</v>
      </c>
      <c r="O4" s="73" t="s">
        <v>2589</v>
      </c>
      <c r="P4" s="73" t="s">
        <v>2590</v>
      </c>
      <c r="Q4" s="73" t="s">
        <v>2591</v>
      </c>
      <c r="R4" s="73" t="s">
        <v>2592</v>
      </c>
      <c r="S4" s="73" t="s">
        <v>2593</v>
      </c>
      <c r="T4" s="73" t="s">
        <v>2594</v>
      </c>
    </row>
    <row r="5" spans="2:20" ht="60" customHeight="1" x14ac:dyDescent="0.35">
      <c r="B5" s="35" t="s">
        <v>2595</v>
      </c>
      <c r="C5" s="74"/>
      <c r="D5" s="75"/>
      <c r="E5" s="75" t="s">
        <v>28</v>
      </c>
      <c r="F5" s="75" t="str">
        <f>IF(E5&lt;&gt;"", IFERROR(VLOOKUP(E5, Dashboard!$B76:$F81, 5, FALSE), ""), "")</f>
        <v/>
      </c>
      <c r="G5" s="76"/>
      <c r="H5" s="63"/>
      <c r="I5" s="63"/>
      <c r="J5" s="76"/>
      <c r="K5" s="76"/>
      <c r="L5" s="37"/>
      <c r="M5" s="37"/>
      <c r="N5" s="76"/>
      <c r="O5" s="76"/>
      <c r="P5" s="37"/>
      <c r="Q5" s="37" t="s">
        <v>28</v>
      </c>
      <c r="R5" s="76"/>
      <c r="S5" s="63"/>
      <c r="T5" s="76"/>
    </row>
    <row r="6" spans="2:20" ht="60" customHeight="1" x14ac:dyDescent="0.35">
      <c r="B6" s="35" t="s">
        <v>2596</v>
      </c>
      <c r="C6" s="74"/>
      <c r="D6" s="75"/>
      <c r="E6" s="75" t="s">
        <v>28</v>
      </c>
      <c r="F6" s="75" t="str">
        <f>IF(E6&lt;&gt;"", IFERROR(VLOOKUP(E6, Dashboard!$B76:$F81, 5, FALSE), ""), "")</f>
        <v/>
      </c>
      <c r="G6" s="76"/>
      <c r="H6" s="63"/>
      <c r="I6" s="63"/>
      <c r="J6" s="76"/>
      <c r="K6" s="76"/>
      <c r="L6" s="37"/>
      <c r="M6" s="37"/>
      <c r="N6" s="76"/>
      <c r="O6" s="76"/>
      <c r="P6" s="37"/>
      <c r="Q6" s="37" t="s">
        <v>28</v>
      </c>
      <c r="R6" s="76"/>
      <c r="S6" s="63"/>
      <c r="T6" s="76"/>
    </row>
    <row r="7" spans="2:20" ht="60" customHeight="1" x14ac:dyDescent="0.35">
      <c r="B7" s="35" t="s">
        <v>2597</v>
      </c>
      <c r="C7" s="74"/>
      <c r="D7" s="75"/>
      <c r="E7" s="75" t="s">
        <v>28</v>
      </c>
      <c r="F7" s="75" t="str">
        <f>IF(E7&lt;&gt;"", IFERROR(VLOOKUP(E7, Dashboard!$B76:$F81, 5, FALSE), ""), "")</f>
        <v/>
      </c>
      <c r="G7" s="76"/>
      <c r="H7" s="63"/>
      <c r="I7" s="63"/>
      <c r="J7" s="76"/>
      <c r="K7" s="76"/>
      <c r="L7" s="37"/>
      <c r="M7" s="37"/>
      <c r="N7" s="76"/>
      <c r="O7" s="76"/>
      <c r="P7" s="37"/>
      <c r="Q7" s="37" t="s">
        <v>28</v>
      </c>
      <c r="R7" s="76"/>
      <c r="S7" s="63"/>
      <c r="T7" s="76"/>
    </row>
    <row r="8" spans="2:20" ht="60" customHeight="1" x14ac:dyDescent="0.35">
      <c r="B8" s="35" t="s">
        <v>2598</v>
      </c>
      <c r="C8" s="74"/>
      <c r="D8" s="75"/>
      <c r="E8" s="75" t="s">
        <v>28</v>
      </c>
      <c r="F8" s="75" t="str">
        <f>IF(E8&lt;&gt;"", IFERROR(VLOOKUP(E8, Dashboard!$B76:$F81, 5, FALSE), ""), "")</f>
        <v/>
      </c>
      <c r="G8" s="76"/>
      <c r="H8" s="63"/>
      <c r="I8" s="63"/>
      <c r="J8" s="76"/>
      <c r="K8" s="76"/>
      <c r="L8" s="37"/>
      <c r="M8" s="37"/>
      <c r="N8" s="76"/>
      <c r="O8" s="76"/>
      <c r="P8" s="37"/>
      <c r="Q8" s="37" t="s">
        <v>28</v>
      </c>
      <c r="R8" s="76"/>
      <c r="S8" s="63"/>
      <c r="T8" s="76"/>
    </row>
    <row r="9" spans="2:20" ht="60" customHeight="1" x14ac:dyDescent="0.35">
      <c r="B9" s="35" t="s">
        <v>2599</v>
      </c>
      <c r="C9" s="74"/>
      <c r="D9" s="75"/>
      <c r="E9" s="75" t="s">
        <v>28</v>
      </c>
      <c r="F9" s="75" t="str">
        <f>IF(E9&lt;&gt;"", IFERROR(VLOOKUP(E9, Dashboard!$B76:$F81, 5, FALSE), ""), "")</f>
        <v/>
      </c>
      <c r="G9" s="76"/>
      <c r="H9" s="63"/>
      <c r="I9" s="63"/>
      <c r="J9" s="76"/>
      <c r="K9" s="76"/>
      <c r="L9" s="37"/>
      <c r="M9" s="37"/>
      <c r="N9" s="76"/>
      <c r="O9" s="76"/>
      <c r="P9" s="37"/>
      <c r="Q9" s="37" t="s">
        <v>28</v>
      </c>
      <c r="R9" s="76"/>
      <c r="S9" s="63"/>
      <c r="T9" s="76"/>
    </row>
    <row r="10" spans="2:20" ht="60" customHeight="1" x14ac:dyDescent="0.35">
      <c r="B10" s="35" t="s">
        <v>2600</v>
      </c>
      <c r="C10" s="74"/>
      <c r="D10" s="75"/>
      <c r="E10" s="75" t="s">
        <v>28</v>
      </c>
      <c r="F10" s="75" t="str">
        <f>IF(E10&lt;&gt;"", IFERROR(VLOOKUP(E10, Dashboard!$B76:$F81, 5, FALSE), ""), "")</f>
        <v/>
      </c>
      <c r="G10" s="76"/>
      <c r="H10" s="63"/>
      <c r="I10" s="63"/>
      <c r="J10" s="76"/>
      <c r="K10" s="76"/>
      <c r="L10" s="37"/>
      <c r="M10" s="37"/>
      <c r="N10" s="76"/>
      <c r="O10" s="76"/>
      <c r="P10" s="37"/>
      <c r="Q10" s="37" t="s">
        <v>28</v>
      </c>
      <c r="R10" s="76"/>
      <c r="S10" s="63"/>
      <c r="T10" s="76"/>
    </row>
    <row r="11" spans="2:20" ht="60" customHeight="1" x14ac:dyDescent="0.35">
      <c r="B11" s="35" t="s">
        <v>2601</v>
      </c>
      <c r="C11" s="74"/>
      <c r="D11" s="75"/>
      <c r="E11" s="75" t="s">
        <v>28</v>
      </c>
      <c r="F11" s="75" t="str">
        <f>IF(E11&lt;&gt;"", IFERROR(VLOOKUP(E11, Dashboard!$B76:$F81, 5, FALSE), ""), "")</f>
        <v/>
      </c>
      <c r="G11" s="76"/>
      <c r="H11" s="63"/>
      <c r="I11" s="63"/>
      <c r="J11" s="76"/>
      <c r="K11" s="76"/>
      <c r="L11" s="37"/>
      <c r="M11" s="37"/>
      <c r="N11" s="76"/>
      <c r="O11" s="76"/>
      <c r="P11" s="37"/>
      <c r="Q11" s="37" t="s">
        <v>28</v>
      </c>
      <c r="R11" s="76"/>
      <c r="S11" s="63"/>
      <c r="T11" s="76"/>
    </row>
    <row r="12" spans="2:20" ht="60" customHeight="1" x14ac:dyDescent="0.35">
      <c r="B12" s="35" t="s">
        <v>2602</v>
      </c>
      <c r="C12" s="74"/>
      <c r="D12" s="75"/>
      <c r="E12" s="75" t="s">
        <v>28</v>
      </c>
      <c r="F12" s="75" t="str">
        <f>IF(E12&lt;&gt;"", IFERROR(VLOOKUP(E12, Dashboard!$B76:$F81, 5, FALSE), ""), "")</f>
        <v/>
      </c>
      <c r="G12" s="76"/>
      <c r="H12" s="63"/>
      <c r="I12" s="63"/>
      <c r="J12" s="76"/>
      <c r="K12" s="76"/>
      <c r="L12" s="37"/>
      <c r="M12" s="37"/>
      <c r="N12" s="76"/>
      <c r="O12" s="76"/>
      <c r="P12" s="37"/>
      <c r="Q12" s="37" t="s">
        <v>28</v>
      </c>
      <c r="R12" s="76"/>
      <c r="S12" s="63"/>
      <c r="T12" s="76"/>
    </row>
    <row r="13" spans="2:20" ht="60" customHeight="1" x14ac:dyDescent="0.35">
      <c r="B13" s="35" t="s">
        <v>2603</v>
      </c>
      <c r="C13" s="74"/>
      <c r="D13" s="75"/>
      <c r="E13" s="75" t="s">
        <v>28</v>
      </c>
      <c r="F13" s="75" t="str">
        <f>IF(E13&lt;&gt;"", IFERROR(VLOOKUP(E13, Dashboard!$B76:$F81, 5, FALSE), ""), "")</f>
        <v/>
      </c>
      <c r="G13" s="76"/>
      <c r="H13" s="63"/>
      <c r="I13" s="63"/>
      <c r="J13" s="76"/>
      <c r="K13" s="76"/>
      <c r="L13" s="37"/>
      <c r="M13" s="37"/>
      <c r="N13" s="76"/>
      <c r="O13" s="76"/>
      <c r="P13" s="37"/>
      <c r="Q13" s="37" t="s">
        <v>28</v>
      </c>
      <c r="R13" s="76"/>
      <c r="S13" s="63"/>
      <c r="T13" s="76"/>
    </row>
    <row r="14" spans="2:20" ht="60" customHeight="1" x14ac:dyDescent="0.35">
      <c r="B14" s="35" t="s">
        <v>2604</v>
      </c>
      <c r="C14" s="74"/>
      <c r="D14" s="75"/>
      <c r="E14" s="75" t="s">
        <v>28</v>
      </c>
      <c r="F14" s="75" t="str">
        <f>IF(E14&lt;&gt;"", IFERROR(VLOOKUP(E14, Dashboard!$B76:$F81, 5, FALSE), ""), "")</f>
        <v/>
      </c>
      <c r="G14" s="76"/>
      <c r="H14" s="63"/>
      <c r="I14" s="63"/>
      <c r="J14" s="76"/>
      <c r="K14" s="76"/>
      <c r="L14" s="37"/>
      <c r="M14" s="37"/>
      <c r="N14" s="76"/>
      <c r="O14" s="76"/>
      <c r="P14" s="37"/>
      <c r="Q14" s="37" t="s">
        <v>28</v>
      </c>
      <c r="R14" s="76"/>
      <c r="S14" s="63"/>
      <c r="T14" s="76"/>
    </row>
    <row r="15" spans="2:20" ht="60" customHeight="1" x14ac:dyDescent="0.35">
      <c r="B15" s="35" t="s">
        <v>2605</v>
      </c>
      <c r="C15" s="74"/>
      <c r="D15" s="75"/>
      <c r="E15" s="75" t="s">
        <v>28</v>
      </c>
      <c r="F15" s="75" t="str">
        <f>IF(E15&lt;&gt;"", IFERROR(VLOOKUP(E15, Dashboard!$B76:$F81, 5, FALSE), ""), "")</f>
        <v/>
      </c>
      <c r="G15" s="76"/>
      <c r="H15" s="63"/>
      <c r="I15" s="63"/>
      <c r="J15" s="76"/>
      <c r="K15" s="76"/>
      <c r="L15" s="37"/>
      <c r="M15" s="37"/>
      <c r="N15" s="76"/>
      <c r="O15" s="76"/>
      <c r="P15" s="37"/>
      <c r="Q15" s="37" t="s">
        <v>28</v>
      </c>
      <c r="R15" s="76"/>
      <c r="S15" s="63"/>
      <c r="T15" s="76"/>
    </row>
    <row r="16" spans="2:20" ht="60" customHeight="1" x14ac:dyDescent="0.35">
      <c r="B16" s="35" t="s">
        <v>2606</v>
      </c>
      <c r="C16" s="74"/>
      <c r="D16" s="75"/>
      <c r="E16" s="75" t="s">
        <v>28</v>
      </c>
      <c r="F16" s="75" t="str">
        <f>IF(E16&lt;&gt;"", IFERROR(VLOOKUP(E16, Dashboard!$B76:$F81, 5, FALSE), ""), "")</f>
        <v/>
      </c>
      <c r="G16" s="76"/>
      <c r="H16" s="63"/>
      <c r="I16" s="63"/>
      <c r="J16" s="76"/>
      <c r="K16" s="76"/>
      <c r="L16" s="37"/>
      <c r="M16" s="37"/>
      <c r="N16" s="76"/>
      <c r="O16" s="76"/>
      <c r="P16" s="37"/>
      <c r="Q16" s="37" t="s">
        <v>28</v>
      </c>
      <c r="R16" s="76"/>
      <c r="S16" s="63"/>
      <c r="T16" s="76"/>
    </row>
    <row r="17" spans="2:20" ht="60" customHeight="1" x14ac:dyDescent="0.35">
      <c r="B17" s="35" t="s">
        <v>2607</v>
      </c>
      <c r="C17" s="74"/>
      <c r="D17" s="75"/>
      <c r="E17" s="75" t="s">
        <v>28</v>
      </c>
      <c r="F17" s="75" t="str">
        <f>IF(E17&lt;&gt;"", IFERROR(VLOOKUP(E17, Dashboard!$B76:$F81, 5, FALSE), ""), "")</f>
        <v/>
      </c>
      <c r="G17" s="76"/>
      <c r="H17" s="63"/>
      <c r="I17" s="63"/>
      <c r="J17" s="76"/>
      <c r="K17" s="76"/>
      <c r="L17" s="37"/>
      <c r="M17" s="37"/>
      <c r="N17" s="76"/>
      <c r="O17" s="76"/>
      <c r="P17" s="37"/>
      <c r="Q17" s="37" t="s">
        <v>28</v>
      </c>
      <c r="R17" s="76"/>
      <c r="S17" s="63"/>
      <c r="T17" s="76"/>
    </row>
    <row r="18" spans="2:20" ht="60" customHeight="1" x14ac:dyDescent="0.35">
      <c r="B18" s="35" t="s">
        <v>2608</v>
      </c>
      <c r="C18" s="74"/>
      <c r="D18" s="75"/>
      <c r="E18" s="75" t="s">
        <v>28</v>
      </c>
      <c r="F18" s="75" t="str">
        <f>IF(E18&lt;&gt;"", IFERROR(VLOOKUP(E18, Dashboard!$B76:$F81, 5, FALSE), ""), "")</f>
        <v/>
      </c>
      <c r="G18" s="76"/>
      <c r="H18" s="63"/>
      <c r="I18" s="63"/>
      <c r="J18" s="76"/>
      <c r="K18" s="76"/>
      <c r="L18" s="37"/>
      <c r="M18" s="37"/>
      <c r="N18" s="76"/>
      <c r="O18" s="76"/>
      <c r="P18" s="37"/>
      <c r="Q18" s="37" t="s">
        <v>28</v>
      </c>
      <c r="R18" s="76"/>
      <c r="S18" s="63"/>
      <c r="T18" s="76"/>
    </row>
    <row r="19" spans="2:20" ht="60" customHeight="1" x14ac:dyDescent="0.35">
      <c r="B19" s="35" t="s">
        <v>2609</v>
      </c>
      <c r="C19" s="74"/>
      <c r="D19" s="75"/>
      <c r="E19" s="75" t="s">
        <v>28</v>
      </c>
      <c r="F19" s="75" t="str">
        <f>IF(E19&lt;&gt;"", IFERROR(VLOOKUP(E19, Dashboard!$B76:$F81, 5, FALSE), ""), "")</f>
        <v/>
      </c>
      <c r="G19" s="76"/>
      <c r="H19" s="63"/>
      <c r="I19" s="63"/>
      <c r="J19" s="76"/>
      <c r="K19" s="76"/>
      <c r="L19" s="37"/>
      <c r="M19" s="37"/>
      <c r="N19" s="76"/>
      <c r="O19" s="76"/>
      <c r="P19" s="37"/>
      <c r="Q19" s="37" t="s">
        <v>28</v>
      </c>
      <c r="R19" s="76"/>
      <c r="S19" s="63"/>
      <c r="T19" s="76"/>
    </row>
    <row r="20" spans="2:20" ht="60" customHeight="1" x14ac:dyDescent="0.35">
      <c r="B20" s="35" t="s">
        <v>2610</v>
      </c>
      <c r="C20" s="74"/>
      <c r="D20" s="75"/>
      <c r="E20" s="75" t="s">
        <v>28</v>
      </c>
      <c r="F20" s="75" t="str">
        <f>IF(E20&lt;&gt;"", IFERROR(VLOOKUP(E20, Dashboard!$B76:$F81, 5, FALSE), ""), "")</f>
        <v/>
      </c>
      <c r="G20" s="76"/>
      <c r="H20" s="63"/>
      <c r="I20" s="63"/>
      <c r="J20" s="76"/>
      <c r="K20" s="76"/>
      <c r="L20" s="37"/>
      <c r="M20" s="37"/>
      <c r="N20" s="76"/>
      <c r="O20" s="76"/>
      <c r="P20" s="37"/>
      <c r="Q20" s="37" t="s">
        <v>28</v>
      </c>
      <c r="R20" s="76"/>
      <c r="S20" s="63"/>
      <c r="T20" s="76"/>
    </row>
    <row r="21" spans="2:20" ht="60" customHeight="1" x14ac:dyDescent="0.35">
      <c r="B21" s="35" t="s">
        <v>2611</v>
      </c>
      <c r="C21" s="74"/>
      <c r="D21" s="75"/>
      <c r="E21" s="75" t="s">
        <v>28</v>
      </c>
      <c r="F21" s="75" t="str">
        <f>IF(E21&lt;&gt;"", IFERROR(VLOOKUP(E21, Dashboard!$B76:$F81, 5, FALSE), ""), "")</f>
        <v/>
      </c>
      <c r="G21" s="76"/>
      <c r="H21" s="63"/>
      <c r="I21" s="63"/>
      <c r="J21" s="76"/>
      <c r="K21" s="76"/>
      <c r="L21" s="37"/>
      <c r="M21" s="37"/>
      <c r="N21" s="76"/>
      <c r="O21" s="76"/>
      <c r="P21" s="37"/>
      <c r="Q21" s="37" t="s">
        <v>28</v>
      </c>
      <c r="R21" s="76"/>
      <c r="S21" s="63"/>
      <c r="T21" s="76"/>
    </row>
    <row r="22" spans="2:20" ht="60" customHeight="1" x14ac:dyDescent="0.35">
      <c r="B22" s="35" t="s">
        <v>2612</v>
      </c>
      <c r="C22" s="74"/>
      <c r="D22" s="75"/>
      <c r="E22" s="75" t="s">
        <v>28</v>
      </c>
      <c r="F22" s="75" t="str">
        <f>IF(E22&lt;&gt;"", IFERROR(VLOOKUP(E22, Dashboard!$B76:$F81, 5, FALSE), ""), "")</f>
        <v/>
      </c>
      <c r="G22" s="76"/>
      <c r="H22" s="63"/>
      <c r="I22" s="63"/>
      <c r="J22" s="76"/>
      <c r="K22" s="76"/>
      <c r="L22" s="37"/>
      <c r="M22" s="37"/>
      <c r="N22" s="76"/>
      <c r="O22" s="76"/>
      <c r="P22" s="37"/>
      <c r="Q22" s="37" t="s">
        <v>28</v>
      </c>
      <c r="R22" s="76"/>
      <c r="S22" s="63"/>
      <c r="T22" s="76"/>
    </row>
    <row r="23" spans="2:20" ht="60" customHeight="1" x14ac:dyDescent="0.35">
      <c r="B23" s="35" t="s">
        <v>2613</v>
      </c>
      <c r="C23" s="74"/>
      <c r="D23" s="75"/>
      <c r="E23" s="75" t="s">
        <v>28</v>
      </c>
      <c r="F23" s="75" t="str">
        <f>IF(E23&lt;&gt;"", IFERROR(VLOOKUP(E23, Dashboard!$B76:$F81, 5, FALSE), ""), "")</f>
        <v/>
      </c>
      <c r="G23" s="76"/>
      <c r="H23" s="63"/>
      <c r="I23" s="63"/>
      <c r="J23" s="76"/>
      <c r="K23" s="76"/>
      <c r="L23" s="37"/>
      <c r="M23" s="37"/>
      <c r="N23" s="76"/>
      <c r="O23" s="76"/>
      <c r="P23" s="37"/>
      <c r="Q23" s="37" t="s">
        <v>28</v>
      </c>
      <c r="R23" s="76"/>
      <c r="S23" s="63"/>
      <c r="T23" s="76"/>
    </row>
    <row r="24" spans="2:20" ht="60" customHeight="1" x14ac:dyDescent="0.35">
      <c r="B24" s="35" t="s">
        <v>2614</v>
      </c>
      <c r="C24" s="74"/>
      <c r="D24" s="75"/>
      <c r="E24" s="75" t="s">
        <v>28</v>
      </c>
      <c r="F24" s="75" t="str">
        <f>IF(E24&lt;&gt;"", IFERROR(VLOOKUP(E24, Dashboard!$B76:$F81, 5, FALSE), ""), "")</f>
        <v/>
      </c>
      <c r="G24" s="76"/>
      <c r="H24" s="63"/>
      <c r="I24" s="63"/>
      <c r="J24" s="76"/>
      <c r="K24" s="76"/>
      <c r="L24" s="37"/>
      <c r="M24" s="37"/>
      <c r="N24" s="76"/>
      <c r="O24" s="76"/>
      <c r="P24" s="37"/>
      <c r="Q24" s="37" t="s">
        <v>28</v>
      </c>
      <c r="R24" s="76"/>
      <c r="S24" s="63"/>
      <c r="T24" s="76"/>
    </row>
    <row r="25" spans="2:20" ht="60" customHeight="1" x14ac:dyDescent="0.35">
      <c r="B25" s="35" t="s">
        <v>2615</v>
      </c>
      <c r="C25" s="74"/>
      <c r="D25" s="75"/>
      <c r="E25" s="75" t="s">
        <v>28</v>
      </c>
      <c r="F25" s="75" t="str">
        <f>IF(E25&lt;&gt;"", IFERROR(VLOOKUP(E25, Dashboard!$B76:$F81, 5, FALSE), ""), "")</f>
        <v/>
      </c>
      <c r="G25" s="76"/>
      <c r="H25" s="63"/>
      <c r="I25" s="63"/>
      <c r="J25" s="76"/>
      <c r="K25" s="76"/>
      <c r="L25" s="37"/>
      <c r="M25" s="37"/>
      <c r="N25" s="76"/>
      <c r="O25" s="76"/>
      <c r="P25" s="37"/>
      <c r="Q25" s="37" t="s">
        <v>28</v>
      </c>
      <c r="R25" s="76"/>
      <c r="S25" s="63"/>
      <c r="T25" s="76"/>
    </row>
    <row r="26" spans="2:20" ht="60" customHeight="1" x14ac:dyDescent="0.35">
      <c r="B26" s="35" t="s">
        <v>2616</v>
      </c>
      <c r="C26" s="74"/>
      <c r="D26" s="75"/>
      <c r="E26" s="75" t="s">
        <v>28</v>
      </c>
      <c r="F26" s="75" t="str">
        <f>IF(E26&lt;&gt;"", IFERROR(VLOOKUP(E26, Dashboard!$B76:$F81, 5, FALSE), ""), "")</f>
        <v/>
      </c>
      <c r="G26" s="76"/>
      <c r="H26" s="63"/>
      <c r="I26" s="63"/>
      <c r="J26" s="76"/>
      <c r="K26" s="76"/>
      <c r="L26" s="37"/>
      <c r="M26" s="37"/>
      <c r="N26" s="76"/>
      <c r="O26" s="76"/>
      <c r="P26" s="37"/>
      <c r="Q26" s="37" t="s">
        <v>28</v>
      </c>
      <c r="R26" s="76"/>
      <c r="S26" s="63"/>
      <c r="T26" s="76"/>
    </row>
    <row r="27" spans="2:20" ht="60" customHeight="1" x14ac:dyDescent="0.35">
      <c r="B27" s="35" t="s">
        <v>2617</v>
      </c>
      <c r="C27" s="74"/>
      <c r="D27" s="75"/>
      <c r="E27" s="75" t="s">
        <v>28</v>
      </c>
      <c r="F27" s="75" t="str">
        <f>IF(E27&lt;&gt;"", IFERROR(VLOOKUP(E27, Dashboard!$B76:$F81, 5, FALSE), ""), "")</f>
        <v/>
      </c>
      <c r="G27" s="76"/>
      <c r="H27" s="63"/>
      <c r="I27" s="63"/>
      <c r="J27" s="76"/>
      <c r="K27" s="76"/>
      <c r="L27" s="37"/>
      <c r="M27" s="37"/>
      <c r="N27" s="76"/>
      <c r="O27" s="76"/>
      <c r="P27" s="37"/>
      <c r="Q27" s="37" t="s">
        <v>28</v>
      </c>
      <c r="R27" s="76"/>
      <c r="S27" s="63"/>
      <c r="T27" s="76"/>
    </row>
    <row r="28" spans="2:20" ht="60" customHeight="1" x14ac:dyDescent="0.35">
      <c r="B28" s="35" t="s">
        <v>2618</v>
      </c>
      <c r="C28" s="74"/>
      <c r="D28" s="75"/>
      <c r="E28" s="75" t="s">
        <v>28</v>
      </c>
      <c r="F28" s="75" t="str">
        <f>IF(E28&lt;&gt;"", IFERROR(VLOOKUP(E28, Dashboard!$B76:$F81, 5, FALSE), ""), "")</f>
        <v/>
      </c>
      <c r="G28" s="76"/>
      <c r="H28" s="63"/>
      <c r="I28" s="63"/>
      <c r="J28" s="76"/>
      <c r="K28" s="76"/>
      <c r="L28" s="37"/>
      <c r="M28" s="37"/>
      <c r="N28" s="76"/>
      <c r="O28" s="76"/>
      <c r="P28" s="37"/>
      <c r="Q28" s="37" t="s">
        <v>28</v>
      </c>
      <c r="R28" s="76"/>
      <c r="S28" s="63"/>
      <c r="T28" s="76"/>
    </row>
    <row r="29" spans="2:20" ht="60" customHeight="1" x14ac:dyDescent="0.35">
      <c r="B29" s="35" t="s">
        <v>2619</v>
      </c>
      <c r="C29" s="74"/>
      <c r="D29" s="75"/>
      <c r="E29" s="75" t="s">
        <v>28</v>
      </c>
      <c r="F29" s="75" t="str">
        <f>IF(E29&lt;&gt;"", IFERROR(VLOOKUP(E29, Dashboard!$B76:$F81, 5, FALSE), ""), "")</f>
        <v/>
      </c>
      <c r="G29" s="76"/>
      <c r="H29" s="63"/>
      <c r="I29" s="63"/>
      <c r="J29" s="76"/>
      <c r="K29" s="76"/>
      <c r="L29" s="37"/>
      <c r="M29" s="37"/>
      <c r="N29" s="76"/>
      <c r="O29" s="76"/>
      <c r="P29" s="37"/>
      <c r="Q29" s="37" t="s">
        <v>28</v>
      </c>
      <c r="R29" s="76"/>
      <c r="S29" s="63"/>
      <c r="T29" s="76"/>
    </row>
    <row r="30" spans="2:20" ht="60" customHeight="1" x14ac:dyDescent="0.35">
      <c r="B30" s="35" t="s">
        <v>2620</v>
      </c>
      <c r="C30" s="74"/>
      <c r="D30" s="75"/>
      <c r="E30" s="75" t="s">
        <v>28</v>
      </c>
      <c r="F30" s="75" t="str">
        <f>IF(E30&lt;&gt;"", IFERROR(VLOOKUP(E30, Dashboard!$B76:$F81, 5, FALSE), ""), "")</f>
        <v/>
      </c>
      <c r="G30" s="76"/>
      <c r="H30" s="63"/>
      <c r="I30" s="63"/>
      <c r="J30" s="76"/>
      <c r="K30" s="76"/>
      <c r="L30" s="37"/>
      <c r="M30" s="37"/>
      <c r="N30" s="76"/>
      <c r="O30" s="76"/>
      <c r="P30" s="37"/>
      <c r="Q30" s="37" t="s">
        <v>28</v>
      </c>
      <c r="R30" s="76"/>
      <c r="S30" s="63"/>
      <c r="T30" s="76"/>
    </row>
    <row r="31" spans="2:20" ht="60" customHeight="1" x14ac:dyDescent="0.35">
      <c r="B31" s="35" t="s">
        <v>2621</v>
      </c>
      <c r="C31" s="74"/>
      <c r="D31" s="75"/>
      <c r="E31" s="75" t="s">
        <v>28</v>
      </c>
      <c r="F31" s="75" t="str">
        <f>IF(E31&lt;&gt;"", IFERROR(VLOOKUP(E31, Dashboard!$B76:$F81, 5, FALSE), ""), "")</f>
        <v/>
      </c>
      <c r="G31" s="76"/>
      <c r="H31" s="63"/>
      <c r="I31" s="63"/>
      <c r="J31" s="76"/>
      <c r="K31" s="76"/>
      <c r="L31" s="37"/>
      <c r="M31" s="37"/>
      <c r="N31" s="76"/>
      <c r="O31" s="76"/>
      <c r="P31" s="37"/>
      <c r="Q31" s="37" t="s">
        <v>28</v>
      </c>
      <c r="R31" s="76"/>
      <c r="S31" s="63"/>
      <c r="T31" s="76"/>
    </row>
    <row r="32" spans="2:20" ht="60" customHeight="1" x14ac:dyDescent="0.35">
      <c r="B32" s="35" t="s">
        <v>2622</v>
      </c>
      <c r="C32" s="74"/>
      <c r="D32" s="75"/>
      <c r="E32" s="75" t="s">
        <v>28</v>
      </c>
      <c r="F32" s="75" t="str">
        <f>IF(E32&lt;&gt;"", IFERROR(VLOOKUP(E32, Dashboard!$B76:$F81, 5, FALSE), ""), "")</f>
        <v/>
      </c>
      <c r="G32" s="76"/>
      <c r="H32" s="63"/>
      <c r="I32" s="63"/>
      <c r="J32" s="76"/>
      <c r="K32" s="76"/>
      <c r="L32" s="37"/>
      <c r="M32" s="37"/>
      <c r="N32" s="76"/>
      <c r="O32" s="76"/>
      <c r="P32" s="37"/>
      <c r="Q32" s="37" t="s">
        <v>28</v>
      </c>
      <c r="R32" s="76"/>
      <c r="S32" s="63"/>
      <c r="T32" s="76"/>
    </row>
    <row r="33" spans="2:20" ht="60" customHeight="1" x14ac:dyDescent="0.35">
      <c r="B33" s="35" t="s">
        <v>2623</v>
      </c>
      <c r="C33" s="74"/>
      <c r="D33" s="75"/>
      <c r="E33" s="75" t="s">
        <v>28</v>
      </c>
      <c r="F33" s="75" t="str">
        <f>IF(E33&lt;&gt;"", IFERROR(VLOOKUP(E33, Dashboard!$B76:$F81, 5, FALSE), ""), "")</f>
        <v/>
      </c>
      <c r="G33" s="76"/>
      <c r="H33" s="63"/>
      <c r="I33" s="63"/>
      <c r="J33" s="76"/>
      <c r="K33" s="76"/>
      <c r="L33" s="37"/>
      <c r="M33" s="37"/>
      <c r="N33" s="76"/>
      <c r="O33" s="76"/>
      <c r="P33" s="37"/>
      <c r="Q33" s="37" t="s">
        <v>28</v>
      </c>
      <c r="R33" s="76"/>
      <c r="S33" s="63"/>
      <c r="T33" s="76"/>
    </row>
    <row r="34" spans="2:20" ht="60" customHeight="1" x14ac:dyDescent="0.35">
      <c r="B34" s="35" t="s">
        <v>2624</v>
      </c>
      <c r="C34" s="74"/>
      <c r="D34" s="75"/>
      <c r="E34" s="75" t="s">
        <v>28</v>
      </c>
      <c r="F34" s="75" t="str">
        <f>IF(E34&lt;&gt;"", IFERROR(VLOOKUP(E34, Dashboard!$B76:$F81, 5, FALSE), ""), "")</f>
        <v/>
      </c>
      <c r="G34" s="76"/>
      <c r="H34" s="63"/>
      <c r="I34" s="63"/>
      <c r="J34" s="76"/>
      <c r="K34" s="76"/>
      <c r="L34" s="37"/>
      <c r="M34" s="37"/>
      <c r="N34" s="76"/>
      <c r="O34" s="76"/>
      <c r="P34" s="37"/>
      <c r="Q34" s="37" t="s">
        <v>28</v>
      </c>
      <c r="R34" s="76"/>
      <c r="S34" s="63"/>
      <c r="T34" s="76"/>
    </row>
    <row r="35" spans="2:20" ht="60" customHeight="1" x14ac:dyDescent="0.35">
      <c r="B35" s="35" t="s">
        <v>2625</v>
      </c>
      <c r="C35" s="74"/>
      <c r="D35" s="75"/>
      <c r="E35" s="75" t="s">
        <v>28</v>
      </c>
      <c r="F35" s="75" t="str">
        <f>IF(E35&lt;&gt;"", IFERROR(VLOOKUP(E35, Dashboard!$B76:$F81, 5, FALSE), ""), "")</f>
        <v/>
      </c>
      <c r="G35" s="76"/>
      <c r="H35" s="63"/>
      <c r="I35" s="63"/>
      <c r="J35" s="76"/>
      <c r="K35" s="76"/>
      <c r="L35" s="37"/>
      <c r="M35" s="37"/>
      <c r="N35" s="76"/>
      <c r="O35" s="76"/>
      <c r="P35" s="37"/>
      <c r="Q35" s="37" t="s">
        <v>28</v>
      </c>
      <c r="R35" s="76"/>
      <c r="S35" s="63"/>
      <c r="T35" s="76"/>
    </row>
    <row r="36" spans="2:20" ht="60" customHeight="1" x14ac:dyDescent="0.35">
      <c r="B36" s="35" t="s">
        <v>2626</v>
      </c>
      <c r="C36" s="74"/>
      <c r="D36" s="75"/>
      <c r="E36" s="75" t="s">
        <v>28</v>
      </c>
      <c r="F36" s="75" t="str">
        <f>IF(E36&lt;&gt;"", IFERROR(VLOOKUP(E36, Dashboard!$B76:$F81, 5, FALSE), ""), "")</f>
        <v/>
      </c>
      <c r="G36" s="76"/>
      <c r="H36" s="63"/>
      <c r="I36" s="63"/>
      <c r="J36" s="76"/>
      <c r="K36" s="76"/>
      <c r="L36" s="37"/>
      <c r="M36" s="37"/>
      <c r="N36" s="76"/>
      <c r="O36" s="76"/>
      <c r="P36" s="37"/>
      <c r="Q36" s="37" t="s">
        <v>28</v>
      </c>
      <c r="R36" s="76"/>
      <c r="S36" s="63"/>
      <c r="T36" s="76"/>
    </row>
    <row r="37" spans="2:20" ht="60" customHeight="1" x14ac:dyDescent="0.35">
      <c r="B37" s="35" t="s">
        <v>2627</v>
      </c>
      <c r="C37" s="74"/>
      <c r="D37" s="75"/>
      <c r="E37" s="75" t="s">
        <v>28</v>
      </c>
      <c r="F37" s="75" t="str">
        <f>IF(E37&lt;&gt;"", IFERROR(VLOOKUP(E37, Dashboard!$B76:$F81, 5, FALSE), ""), "")</f>
        <v/>
      </c>
      <c r="G37" s="76"/>
      <c r="H37" s="63"/>
      <c r="I37" s="63"/>
      <c r="J37" s="76"/>
      <c r="K37" s="76"/>
      <c r="L37" s="37"/>
      <c r="M37" s="37"/>
      <c r="N37" s="76"/>
      <c r="O37" s="76"/>
      <c r="P37" s="37"/>
      <c r="Q37" s="37" t="s">
        <v>28</v>
      </c>
      <c r="R37" s="76"/>
      <c r="S37" s="63"/>
      <c r="T37" s="76"/>
    </row>
    <row r="38" spans="2:20" ht="60" customHeight="1" x14ac:dyDescent="0.35">
      <c r="B38" s="35" t="s">
        <v>2628</v>
      </c>
      <c r="C38" s="74"/>
      <c r="D38" s="75"/>
      <c r="E38" s="75" t="s">
        <v>28</v>
      </c>
      <c r="F38" s="75" t="str">
        <f>IF(E38&lt;&gt;"", IFERROR(VLOOKUP(E38, Dashboard!$B76:$F81, 5, FALSE), ""), "")</f>
        <v/>
      </c>
      <c r="G38" s="76"/>
      <c r="H38" s="63"/>
      <c r="I38" s="63"/>
      <c r="J38" s="76"/>
      <c r="K38" s="76"/>
      <c r="L38" s="37"/>
      <c r="M38" s="37"/>
      <c r="N38" s="76"/>
      <c r="O38" s="76"/>
      <c r="P38" s="37"/>
      <c r="Q38" s="37" t="s">
        <v>28</v>
      </c>
      <c r="R38" s="76"/>
      <c r="S38" s="63"/>
      <c r="T38" s="76"/>
    </row>
    <row r="39" spans="2:20" ht="60" customHeight="1" x14ac:dyDescent="0.35">
      <c r="B39" s="35" t="s">
        <v>2629</v>
      </c>
      <c r="C39" s="74"/>
      <c r="D39" s="75"/>
      <c r="E39" s="75" t="s">
        <v>28</v>
      </c>
      <c r="F39" s="75" t="str">
        <f>IF(E39&lt;&gt;"", IFERROR(VLOOKUP(E39, Dashboard!$B76:$F81, 5, FALSE), ""), "")</f>
        <v/>
      </c>
      <c r="G39" s="76"/>
      <c r="H39" s="63"/>
      <c r="I39" s="63"/>
      <c r="J39" s="76"/>
      <c r="K39" s="76"/>
      <c r="L39" s="37"/>
      <c r="M39" s="37"/>
      <c r="N39" s="76"/>
      <c r="O39" s="76"/>
      <c r="P39" s="37"/>
      <c r="Q39" s="37" t="s">
        <v>28</v>
      </c>
      <c r="R39" s="76"/>
      <c r="S39" s="63"/>
      <c r="T39" s="76"/>
    </row>
    <row r="40" spans="2:20" ht="60" customHeight="1" x14ac:dyDescent="0.35">
      <c r="B40" s="35" t="s">
        <v>2630</v>
      </c>
      <c r="C40" s="74"/>
      <c r="D40" s="75"/>
      <c r="E40" s="75" t="s">
        <v>28</v>
      </c>
      <c r="F40" s="75" t="str">
        <f>IF(E40&lt;&gt;"", IFERROR(VLOOKUP(E40, Dashboard!$B76:$F81, 5, FALSE), ""), "")</f>
        <v/>
      </c>
      <c r="G40" s="76"/>
      <c r="H40" s="63"/>
      <c r="I40" s="63"/>
      <c r="J40" s="76"/>
      <c r="K40" s="76"/>
      <c r="L40" s="37"/>
      <c r="M40" s="37"/>
      <c r="N40" s="76"/>
      <c r="O40" s="76"/>
      <c r="P40" s="37"/>
      <c r="Q40" s="37" t="s">
        <v>28</v>
      </c>
      <c r="R40" s="76"/>
      <c r="S40" s="63"/>
      <c r="T40" s="76"/>
    </row>
    <row r="41" spans="2:20" ht="60" customHeight="1" x14ac:dyDescent="0.35">
      <c r="B41" s="35" t="s">
        <v>2631</v>
      </c>
      <c r="C41" s="74"/>
      <c r="D41" s="75"/>
      <c r="E41" s="75" t="s">
        <v>28</v>
      </c>
      <c r="F41" s="75" t="str">
        <f>IF(E41&lt;&gt;"", IFERROR(VLOOKUP(E41, Dashboard!$B76:$F81, 5, FALSE), ""), "")</f>
        <v/>
      </c>
      <c r="G41" s="76"/>
      <c r="H41" s="63"/>
      <c r="I41" s="63"/>
      <c r="J41" s="76"/>
      <c r="K41" s="76"/>
      <c r="L41" s="37"/>
      <c r="M41" s="37"/>
      <c r="N41" s="76"/>
      <c r="O41" s="76"/>
      <c r="P41" s="37"/>
      <c r="Q41" s="37" t="s">
        <v>28</v>
      </c>
      <c r="R41" s="76"/>
      <c r="S41" s="63"/>
      <c r="T41" s="76"/>
    </row>
    <row r="42" spans="2:20" ht="60" customHeight="1" x14ac:dyDescent="0.35">
      <c r="B42" s="35" t="s">
        <v>2632</v>
      </c>
      <c r="C42" s="74"/>
      <c r="D42" s="75"/>
      <c r="E42" s="75" t="s">
        <v>28</v>
      </c>
      <c r="F42" s="75" t="str">
        <f>IF(E42&lt;&gt;"", IFERROR(VLOOKUP(E42, Dashboard!$B76:$F81, 5, FALSE), ""), "")</f>
        <v/>
      </c>
      <c r="G42" s="76"/>
      <c r="H42" s="63"/>
      <c r="I42" s="63"/>
      <c r="J42" s="76"/>
      <c r="K42" s="76"/>
      <c r="L42" s="37"/>
      <c r="M42" s="37"/>
      <c r="N42" s="76"/>
      <c r="O42" s="76"/>
      <c r="P42" s="37"/>
      <c r="Q42" s="37" t="s">
        <v>28</v>
      </c>
      <c r="R42" s="76"/>
      <c r="S42" s="63"/>
      <c r="T42" s="76"/>
    </row>
    <row r="43" spans="2:20" ht="60" customHeight="1" x14ac:dyDescent="0.35">
      <c r="B43" s="35" t="s">
        <v>2633</v>
      </c>
      <c r="C43" s="74"/>
      <c r="D43" s="75"/>
      <c r="E43" s="75" t="s">
        <v>28</v>
      </c>
      <c r="F43" s="75" t="str">
        <f>IF(E43&lt;&gt;"", IFERROR(VLOOKUP(E43, Dashboard!$B76:$F81, 5, FALSE), ""), "")</f>
        <v/>
      </c>
      <c r="G43" s="76"/>
      <c r="H43" s="63"/>
      <c r="I43" s="63"/>
      <c r="J43" s="76"/>
      <c r="K43" s="76"/>
      <c r="L43" s="37"/>
      <c r="M43" s="37"/>
      <c r="N43" s="76"/>
      <c r="O43" s="76"/>
      <c r="P43" s="37"/>
      <c r="Q43" s="37" t="s">
        <v>28</v>
      </c>
      <c r="R43" s="76"/>
      <c r="S43" s="63"/>
      <c r="T43" s="76"/>
    </row>
    <row r="44" spans="2:20" ht="60" customHeight="1" x14ac:dyDescent="0.35">
      <c r="B44" s="35" t="s">
        <v>2634</v>
      </c>
      <c r="C44" s="74"/>
      <c r="D44" s="75"/>
      <c r="E44" s="75" t="s">
        <v>28</v>
      </c>
      <c r="F44" s="75" t="str">
        <f>IF(E44&lt;&gt;"", IFERROR(VLOOKUP(E44, Dashboard!$B76:$F81, 5, FALSE), ""), "")</f>
        <v/>
      </c>
      <c r="G44" s="76"/>
      <c r="H44" s="63"/>
      <c r="I44" s="63"/>
      <c r="J44" s="76"/>
      <c r="K44" s="76"/>
      <c r="L44" s="37"/>
      <c r="M44" s="37"/>
      <c r="N44" s="76"/>
      <c r="O44" s="76"/>
      <c r="P44" s="37"/>
      <c r="Q44" s="37" t="s">
        <v>28</v>
      </c>
      <c r="R44" s="76"/>
      <c r="S44" s="63"/>
      <c r="T44" s="76"/>
    </row>
    <row r="45" spans="2:20" ht="60" customHeight="1" x14ac:dyDescent="0.35">
      <c r="B45" s="35" t="s">
        <v>2635</v>
      </c>
      <c r="C45" s="74"/>
      <c r="D45" s="75"/>
      <c r="E45" s="75" t="s">
        <v>28</v>
      </c>
      <c r="F45" s="75" t="str">
        <f>IF(E45&lt;&gt;"", IFERROR(VLOOKUP(E45, Dashboard!$B76:$F81, 5, FALSE), ""), "")</f>
        <v/>
      </c>
      <c r="G45" s="76"/>
      <c r="H45" s="63"/>
      <c r="I45" s="63"/>
      <c r="J45" s="76"/>
      <c r="K45" s="76"/>
      <c r="L45" s="37"/>
      <c r="M45" s="37"/>
      <c r="N45" s="76"/>
      <c r="O45" s="76"/>
      <c r="P45" s="37"/>
      <c r="Q45" s="37" t="s">
        <v>28</v>
      </c>
      <c r="R45" s="76"/>
      <c r="S45" s="63"/>
      <c r="T45" s="76"/>
    </row>
    <row r="46" spans="2:20" ht="60" customHeight="1" x14ac:dyDescent="0.35">
      <c r="B46" s="35" t="s">
        <v>2636</v>
      </c>
      <c r="C46" s="74"/>
      <c r="D46" s="75"/>
      <c r="E46" s="75" t="s">
        <v>28</v>
      </c>
      <c r="F46" s="75" t="str">
        <f>IF(E46&lt;&gt;"", IFERROR(VLOOKUP(E46, Dashboard!$B76:$F81, 5, FALSE), ""), "")</f>
        <v/>
      </c>
      <c r="G46" s="76"/>
      <c r="H46" s="63"/>
      <c r="I46" s="63"/>
      <c r="J46" s="76"/>
      <c r="K46" s="76"/>
      <c r="L46" s="37"/>
      <c r="M46" s="37"/>
      <c r="N46" s="76"/>
      <c r="O46" s="76"/>
      <c r="P46" s="37"/>
      <c r="Q46" s="37" t="s">
        <v>28</v>
      </c>
      <c r="R46" s="76"/>
      <c r="S46" s="63"/>
      <c r="T46" s="76"/>
    </row>
    <row r="47" spans="2:20" ht="60" customHeight="1" x14ac:dyDescent="0.35">
      <c r="B47" s="35" t="s">
        <v>2637</v>
      </c>
      <c r="C47" s="74"/>
      <c r="D47" s="75"/>
      <c r="E47" s="75" t="s">
        <v>28</v>
      </c>
      <c r="F47" s="75" t="str">
        <f>IF(E47&lt;&gt;"", IFERROR(VLOOKUP(E47, Dashboard!$B76:$F81, 5, FALSE), ""), "")</f>
        <v/>
      </c>
      <c r="G47" s="76"/>
      <c r="H47" s="63"/>
      <c r="I47" s="63"/>
      <c r="J47" s="76"/>
      <c r="K47" s="76"/>
      <c r="L47" s="37"/>
      <c r="M47" s="37"/>
      <c r="N47" s="76"/>
      <c r="O47" s="76"/>
      <c r="P47" s="37"/>
      <c r="Q47" s="37" t="s">
        <v>28</v>
      </c>
      <c r="R47" s="76"/>
      <c r="S47" s="63"/>
      <c r="T47" s="76"/>
    </row>
    <row r="48" spans="2:20" ht="60" customHeight="1" x14ac:dyDescent="0.35">
      <c r="B48" s="35" t="s">
        <v>2638</v>
      </c>
      <c r="C48" s="74"/>
      <c r="D48" s="75"/>
      <c r="E48" s="75" t="s">
        <v>28</v>
      </c>
      <c r="F48" s="75" t="str">
        <f>IF(E48&lt;&gt;"", IFERROR(VLOOKUP(E48, Dashboard!$B76:$F81, 5, FALSE), ""), "")</f>
        <v/>
      </c>
      <c r="G48" s="76"/>
      <c r="H48" s="63"/>
      <c r="I48" s="63"/>
      <c r="J48" s="76"/>
      <c r="K48" s="76"/>
      <c r="L48" s="37"/>
      <c r="M48" s="37"/>
      <c r="N48" s="76"/>
      <c r="O48" s="76"/>
      <c r="P48" s="37"/>
      <c r="Q48" s="37" t="s">
        <v>28</v>
      </c>
      <c r="R48" s="76"/>
      <c r="S48" s="63"/>
      <c r="T48" s="76"/>
    </row>
    <row r="49" spans="2:20" ht="60" customHeight="1" x14ac:dyDescent="0.35">
      <c r="B49" s="35" t="s">
        <v>2639</v>
      </c>
      <c r="C49" s="74"/>
      <c r="D49" s="75"/>
      <c r="E49" s="75" t="s">
        <v>28</v>
      </c>
      <c r="F49" s="75" t="str">
        <f>IF(E49&lt;&gt;"", IFERROR(VLOOKUP(E49, Dashboard!$B76:$F81, 5, FALSE), ""), "")</f>
        <v/>
      </c>
      <c r="G49" s="76"/>
      <c r="H49" s="63"/>
      <c r="I49" s="63"/>
      <c r="J49" s="76"/>
      <c r="K49" s="76"/>
      <c r="L49" s="37"/>
      <c r="M49" s="37"/>
      <c r="N49" s="76"/>
      <c r="O49" s="76"/>
      <c r="P49" s="37"/>
      <c r="Q49" s="37" t="s">
        <v>28</v>
      </c>
      <c r="R49" s="76"/>
      <c r="S49" s="63"/>
      <c r="T49" s="76"/>
    </row>
    <row r="50" spans="2:20" ht="60" customHeight="1" x14ac:dyDescent="0.35">
      <c r="B50" s="35" t="s">
        <v>2640</v>
      </c>
      <c r="C50" s="74"/>
      <c r="D50" s="75"/>
      <c r="E50" s="75" t="s">
        <v>28</v>
      </c>
      <c r="F50" s="75" t="str">
        <f>IF(E50&lt;&gt;"", IFERROR(VLOOKUP(E50, Dashboard!$B76:$F81, 5, FALSE), ""), "")</f>
        <v/>
      </c>
      <c r="G50" s="76"/>
      <c r="H50" s="63"/>
      <c r="I50" s="63"/>
      <c r="J50" s="76"/>
      <c r="K50" s="76"/>
      <c r="L50" s="37"/>
      <c r="M50" s="37"/>
      <c r="N50" s="76"/>
      <c r="O50" s="76"/>
      <c r="P50" s="37"/>
      <c r="Q50" s="37" t="s">
        <v>28</v>
      </c>
      <c r="R50" s="76"/>
      <c r="S50" s="63"/>
      <c r="T50" s="76"/>
    </row>
    <row r="51" spans="2:20" ht="60" customHeight="1" x14ac:dyDescent="0.35">
      <c r="B51" s="35" t="s">
        <v>2641</v>
      </c>
      <c r="C51" s="74"/>
      <c r="D51" s="75"/>
      <c r="E51" s="75" t="s">
        <v>28</v>
      </c>
      <c r="F51" s="75" t="str">
        <f>IF(E51&lt;&gt;"", IFERROR(VLOOKUP(E51, Dashboard!$B76:$F81, 5, FALSE), ""), "")</f>
        <v/>
      </c>
      <c r="G51" s="76"/>
      <c r="H51" s="63"/>
      <c r="I51" s="63"/>
      <c r="J51" s="76"/>
      <c r="K51" s="76"/>
      <c r="L51" s="37"/>
      <c r="M51" s="37"/>
      <c r="N51" s="76"/>
      <c r="O51" s="76"/>
      <c r="P51" s="37"/>
      <c r="Q51" s="37" t="s">
        <v>28</v>
      </c>
      <c r="R51" s="76"/>
      <c r="S51" s="63"/>
      <c r="T51" s="76"/>
    </row>
    <row r="52" spans="2:20" ht="60" customHeight="1" x14ac:dyDescent="0.35">
      <c r="B52" s="35" t="s">
        <v>2642</v>
      </c>
      <c r="C52" s="74"/>
      <c r="D52" s="75"/>
      <c r="E52" s="75" t="s">
        <v>28</v>
      </c>
      <c r="F52" s="75" t="str">
        <f>IF(E52&lt;&gt;"", IFERROR(VLOOKUP(E52, Dashboard!$B76:$F81, 5, FALSE), ""), "")</f>
        <v/>
      </c>
      <c r="G52" s="76"/>
      <c r="H52" s="63"/>
      <c r="I52" s="63"/>
      <c r="J52" s="76"/>
      <c r="K52" s="76"/>
      <c r="L52" s="37"/>
      <c r="M52" s="37"/>
      <c r="N52" s="76"/>
      <c r="O52" s="76"/>
      <c r="P52" s="37"/>
      <c r="Q52" s="37" t="s">
        <v>28</v>
      </c>
      <c r="R52" s="76"/>
      <c r="S52" s="63"/>
      <c r="T52" s="76"/>
    </row>
    <row r="53" spans="2:20" ht="60" customHeight="1" x14ac:dyDescent="0.35">
      <c r="B53" s="35" t="s">
        <v>2643</v>
      </c>
      <c r="C53" s="74"/>
      <c r="D53" s="75"/>
      <c r="E53" s="75" t="s">
        <v>28</v>
      </c>
      <c r="F53" s="75" t="str">
        <f>IF(E53&lt;&gt;"", IFERROR(VLOOKUP(E53, Dashboard!$B76:$F81, 5, FALSE), ""), "")</f>
        <v/>
      </c>
      <c r="G53" s="76"/>
      <c r="H53" s="63"/>
      <c r="I53" s="63"/>
      <c r="J53" s="76"/>
      <c r="K53" s="76"/>
      <c r="L53" s="37"/>
      <c r="M53" s="37"/>
      <c r="N53" s="76"/>
      <c r="O53" s="76"/>
      <c r="P53" s="37"/>
      <c r="Q53" s="37" t="s">
        <v>28</v>
      </c>
      <c r="R53" s="76"/>
      <c r="S53" s="63"/>
      <c r="T53" s="76"/>
    </row>
    <row r="54" spans="2:20" ht="60" customHeight="1" x14ac:dyDescent="0.35">
      <c r="B54" s="35" t="s">
        <v>2644</v>
      </c>
      <c r="C54" s="74"/>
      <c r="D54" s="75"/>
      <c r="E54" s="75" t="s">
        <v>28</v>
      </c>
      <c r="F54" s="75" t="str">
        <f>IF(E54&lt;&gt;"", IFERROR(VLOOKUP(E54, Dashboard!$B76:$F81, 5, FALSE), ""), "")</f>
        <v/>
      </c>
      <c r="G54" s="76"/>
      <c r="H54" s="63"/>
      <c r="I54" s="63"/>
      <c r="J54" s="76"/>
      <c r="K54" s="76"/>
      <c r="L54" s="37"/>
      <c r="M54" s="37"/>
      <c r="N54" s="76"/>
      <c r="O54" s="76"/>
      <c r="P54" s="37"/>
      <c r="Q54" s="37" t="s">
        <v>28</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2415</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2645</v>
      </c>
      <c r="B1" s="101" t="s">
        <v>1</v>
      </c>
      <c r="C1" s="101" t="s">
        <v>2646</v>
      </c>
      <c r="D1" s="101" t="s">
        <v>12</v>
      </c>
      <c r="E1" s="101" t="s">
        <v>2647</v>
      </c>
      <c r="F1" s="101" t="s">
        <v>2648</v>
      </c>
      <c r="G1" s="101" t="s">
        <v>2649</v>
      </c>
      <c r="H1" s="101" t="s">
        <v>2650</v>
      </c>
      <c r="I1" s="101" t="s">
        <v>2651</v>
      </c>
      <c r="J1" s="101" t="s">
        <v>2652</v>
      </c>
      <c r="K1" s="101" t="s">
        <v>2653</v>
      </c>
      <c r="L1" s="101" t="s">
        <v>2654</v>
      </c>
      <c r="M1" s="101" t="s">
        <v>2655</v>
      </c>
      <c r="N1" s="101" t="s">
        <v>2656</v>
      </c>
      <c r="O1" s="101" t="s">
        <v>2657</v>
      </c>
      <c r="P1" s="101" t="s">
        <v>2658</v>
      </c>
      <c r="Q1" s="101" t="s">
        <v>2659</v>
      </c>
      <c r="R1" s="101" t="s">
        <v>2660</v>
      </c>
      <c r="S1" s="101" t="s">
        <v>2661</v>
      </c>
      <c r="T1" s="101" t="s">
        <v>2662</v>
      </c>
      <c r="U1" s="101" t="s">
        <v>2663</v>
      </c>
      <c r="V1" s="101" t="s">
        <v>2664</v>
      </c>
      <c r="W1" s="101" t="s">
        <v>2665</v>
      </c>
      <c r="X1" s="101" t="s">
        <v>2666</v>
      </c>
      <c r="Y1" s="101" t="s">
        <v>2667</v>
      </c>
      <c r="Z1" s="101" t="s">
        <v>2668</v>
      </c>
      <c r="AA1" s="101" t="s">
        <v>2669</v>
      </c>
      <c r="AB1" s="101" t="s">
        <v>2670</v>
      </c>
      <c r="AC1" s="101" t="s">
        <v>2671</v>
      </c>
      <c r="AD1" s="101" t="s">
        <v>2672</v>
      </c>
      <c r="AE1" s="101" t="s">
        <v>2673</v>
      </c>
      <c r="AF1" s="101" t="s">
        <v>2674</v>
      </c>
      <c r="AG1" s="101" t="s">
        <v>2675</v>
      </c>
      <c r="AH1" s="101" t="s">
        <v>2676</v>
      </c>
      <c r="AI1" s="101" t="s">
        <v>2677</v>
      </c>
      <c r="AJ1" s="101" t="s">
        <v>2678</v>
      </c>
      <c r="AK1" s="101" t="s">
        <v>2679</v>
      </c>
      <c r="AL1" s="101" t="s">
        <v>2680</v>
      </c>
      <c r="AM1" s="101" t="s">
        <v>2681</v>
      </c>
      <c r="AN1" s="101" t="s">
        <v>2682</v>
      </c>
      <c r="AO1" s="101" t="s">
        <v>2683</v>
      </c>
      <c r="AP1" s="101" t="s">
        <v>2684</v>
      </c>
      <c r="AQ1" s="101" t="s">
        <v>2685</v>
      </c>
      <c r="AR1" s="101" t="s">
        <v>2686</v>
      </c>
      <c r="AS1" s="101" t="s">
        <v>2687</v>
      </c>
      <c r="AT1" s="101" t="s">
        <v>2688</v>
      </c>
      <c r="AU1" s="101" t="s">
        <v>2689</v>
      </c>
      <c r="AV1" s="101" t="s">
        <v>2690</v>
      </c>
      <c r="AW1" s="102" t="s">
        <v>2691</v>
      </c>
    </row>
    <row r="2" spans="1:49" ht="60" customHeight="1" outlineLevel="1" x14ac:dyDescent="0.35">
      <c r="A2" s="94" t="s">
        <v>2692</v>
      </c>
      <c r="B2" s="77">
        <v>1</v>
      </c>
      <c r="C2" s="79" t="s">
        <v>28</v>
      </c>
      <c r="D2" s="81" t="s">
        <v>2693</v>
      </c>
      <c r="E2" s="81" t="s">
        <v>28</v>
      </c>
      <c r="F2" s="77" t="s">
        <v>28</v>
      </c>
      <c r="G2" s="77" t="s">
        <v>28</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2692</v>
      </c>
      <c r="B3" s="78" t="s">
        <v>2694</v>
      </c>
      <c r="C3" s="80" t="s">
        <v>2695</v>
      </c>
      <c r="D3" s="82" t="s">
        <v>2696</v>
      </c>
      <c r="E3" s="82" t="s">
        <v>2697</v>
      </c>
      <c r="F3" s="83" t="s">
        <v>2698</v>
      </c>
      <c r="G3" s="83" t="s">
        <v>2699</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2692</v>
      </c>
      <c r="B4" s="78" t="s">
        <v>2700</v>
      </c>
      <c r="C4" s="80" t="s">
        <v>2701</v>
      </c>
      <c r="D4" s="82" t="s">
        <v>2702</v>
      </c>
      <c r="E4" s="82" t="s">
        <v>2703</v>
      </c>
      <c r="F4" s="83" t="s">
        <v>2698</v>
      </c>
      <c r="G4" s="83" t="s">
        <v>2704</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2692</v>
      </c>
      <c r="B5" s="78" t="s">
        <v>2705</v>
      </c>
      <c r="C5" s="80" t="s">
        <v>2706</v>
      </c>
      <c r="D5" s="82" t="s">
        <v>2707</v>
      </c>
      <c r="E5" s="82" t="s">
        <v>2708</v>
      </c>
      <c r="F5" s="83" t="s">
        <v>2698</v>
      </c>
      <c r="G5" s="83" t="s">
        <v>2709</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2692</v>
      </c>
      <c r="B6" s="78" t="s">
        <v>2710</v>
      </c>
      <c r="C6" s="80" t="s">
        <v>2711</v>
      </c>
      <c r="D6" s="82" t="s">
        <v>2712</v>
      </c>
      <c r="E6" s="82" t="s">
        <v>2713</v>
      </c>
      <c r="F6" s="83" t="s">
        <v>2698</v>
      </c>
      <c r="G6" s="83" t="s">
        <v>2699</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2692</v>
      </c>
      <c r="B7" s="78" t="s">
        <v>2714</v>
      </c>
      <c r="C7" s="80" t="s">
        <v>2715</v>
      </c>
      <c r="D7" s="82" t="s">
        <v>2716</v>
      </c>
      <c r="E7" s="82" t="s">
        <v>2717</v>
      </c>
      <c r="F7" s="83" t="s">
        <v>2698</v>
      </c>
      <c r="G7" s="83" t="s">
        <v>2709</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2718</v>
      </c>
      <c r="B8" s="77">
        <v>2</v>
      </c>
      <c r="C8" s="79" t="s">
        <v>28</v>
      </c>
      <c r="D8" s="81" t="s">
        <v>2719</v>
      </c>
      <c r="E8" s="81" t="s">
        <v>28</v>
      </c>
      <c r="F8" s="77" t="s">
        <v>28</v>
      </c>
      <c r="G8" s="77" t="s">
        <v>28</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2718</v>
      </c>
      <c r="B9" s="78" t="s">
        <v>2720</v>
      </c>
      <c r="C9" s="80" t="s">
        <v>2721</v>
      </c>
      <c r="D9" s="82" t="s">
        <v>2722</v>
      </c>
      <c r="E9" s="82" t="s">
        <v>2723</v>
      </c>
      <c r="F9" s="83" t="s">
        <v>2724</v>
      </c>
      <c r="G9" s="83" t="s">
        <v>2699</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2718</v>
      </c>
      <c r="B10" s="78" t="s">
        <v>2725</v>
      </c>
      <c r="C10" s="80" t="s">
        <v>2726</v>
      </c>
      <c r="D10" s="82" t="s">
        <v>2727</v>
      </c>
      <c r="E10" s="82" t="s">
        <v>2728</v>
      </c>
      <c r="F10" s="83" t="s">
        <v>2724</v>
      </c>
      <c r="G10" s="83" t="s">
        <v>2699</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2718</v>
      </c>
      <c r="B11" s="78" t="s">
        <v>2729</v>
      </c>
      <c r="C11" s="80" t="s">
        <v>2730</v>
      </c>
      <c r="D11" s="82" t="s">
        <v>2731</v>
      </c>
      <c r="E11" s="82" t="s">
        <v>2732</v>
      </c>
      <c r="F11" s="83" t="s">
        <v>2724</v>
      </c>
      <c r="G11" s="83" t="s">
        <v>2704</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2718</v>
      </c>
      <c r="B12" s="78" t="s">
        <v>2733</v>
      </c>
      <c r="C12" s="80" t="s">
        <v>2734</v>
      </c>
      <c r="D12" s="82" t="s">
        <v>2735</v>
      </c>
      <c r="E12" s="82" t="s">
        <v>2736</v>
      </c>
      <c r="F12" s="83" t="s">
        <v>2724</v>
      </c>
      <c r="G12" s="83" t="s">
        <v>2709</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2718</v>
      </c>
      <c r="B13" s="78" t="s">
        <v>2737</v>
      </c>
      <c r="C13" s="80" t="s">
        <v>2738</v>
      </c>
      <c r="D13" s="82" t="s">
        <v>2739</v>
      </c>
      <c r="E13" s="82" t="s">
        <v>2740</v>
      </c>
      <c r="F13" s="83" t="s">
        <v>2724</v>
      </c>
      <c r="G13" s="83" t="s">
        <v>2741</v>
      </c>
      <c r="H13" s="83">
        <v>2</v>
      </c>
      <c r="I13" s="85">
        <f>IF(COUNTIF(J13:AW13,"&lt;&gt;")=0,"",SUMPRODUCT(((Recommendations[ImplStatus]="Implemented")+(Recommendations[ImplStatus]="Compensated"))*ISNUMBER(MATCH(Recommendations[Id],J13:AW13,0)))/COUNTIF(J13:AW13,"&lt;&gt;"))</f>
        <v>0</v>
      </c>
      <c r="J13" s="87" t="s">
        <v>1061</v>
      </c>
      <c r="K13" s="87" t="s">
        <v>1064</v>
      </c>
      <c r="L13" s="87" t="s">
        <v>1286</v>
      </c>
      <c r="M13" s="87" t="s">
        <v>1289</v>
      </c>
      <c r="N13" s="87" t="s">
        <v>2388</v>
      </c>
      <c r="O13" s="87" t="s">
        <v>2396</v>
      </c>
      <c r="P13" s="87" t="s">
        <v>2404</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2718</v>
      </c>
      <c r="B14" s="78" t="s">
        <v>2742</v>
      </c>
      <c r="C14" s="80" t="s">
        <v>2743</v>
      </c>
      <c r="D14" s="82" t="s">
        <v>2744</v>
      </c>
      <c r="E14" s="82" t="s">
        <v>2745</v>
      </c>
      <c r="F14" s="83" t="s">
        <v>2724</v>
      </c>
      <c r="G14" s="83" t="s">
        <v>2741</v>
      </c>
      <c r="H14" s="83">
        <v>2</v>
      </c>
      <c r="I14" s="85">
        <f>IF(COUNTIF(J14:AW14,"&lt;&gt;")=0,"",SUMPRODUCT(((Recommendations[ImplStatus]="Implemented")+(Recommendations[ImplStatus]="Compensated"))*ISNUMBER(MATCH(Recommendations[Id],J14:AW14,0)))/COUNTIF(J14:AW14,"&lt;&gt;"))</f>
        <v>0</v>
      </c>
      <c r="J14" s="87" t="s">
        <v>1297</v>
      </c>
      <c r="K14" s="87" t="s">
        <v>1300</v>
      </c>
      <c r="L14" s="87" t="s">
        <v>1303</v>
      </c>
      <c r="M14" s="87" t="s">
        <v>1578</v>
      </c>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2718</v>
      </c>
      <c r="B15" s="78" t="s">
        <v>2746</v>
      </c>
      <c r="C15" s="80" t="s">
        <v>2747</v>
      </c>
      <c r="D15" s="82" t="s">
        <v>2748</v>
      </c>
      <c r="E15" s="82" t="s">
        <v>2749</v>
      </c>
      <c r="F15" s="83" t="s">
        <v>2724</v>
      </c>
      <c r="G15" s="83" t="s">
        <v>2741</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2750</v>
      </c>
      <c r="B16" s="77">
        <v>3</v>
      </c>
      <c r="C16" s="79" t="s">
        <v>28</v>
      </c>
      <c r="D16" s="81" t="s">
        <v>2751</v>
      </c>
      <c r="E16" s="81" t="s">
        <v>28</v>
      </c>
      <c r="F16" s="77" t="s">
        <v>28</v>
      </c>
      <c r="G16" s="77" t="s">
        <v>28</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2750</v>
      </c>
      <c r="B17" s="78" t="s">
        <v>2752</v>
      </c>
      <c r="C17" s="80" t="s">
        <v>2753</v>
      </c>
      <c r="D17" s="82" t="s">
        <v>2754</v>
      </c>
      <c r="E17" s="82" t="s">
        <v>2755</v>
      </c>
      <c r="F17" s="83" t="s">
        <v>2756</v>
      </c>
      <c r="G17" s="83" t="s">
        <v>2757</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2750</v>
      </c>
      <c r="B18" s="78" t="s">
        <v>2758</v>
      </c>
      <c r="C18" s="80" t="s">
        <v>2759</v>
      </c>
      <c r="D18" s="82" t="s">
        <v>2760</v>
      </c>
      <c r="E18" s="82" t="s">
        <v>2761</v>
      </c>
      <c r="F18" s="83" t="s">
        <v>2756</v>
      </c>
      <c r="G18" s="83" t="s">
        <v>2699</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2750</v>
      </c>
      <c r="B19" s="78" t="s">
        <v>2762</v>
      </c>
      <c r="C19" s="80" t="s">
        <v>2763</v>
      </c>
      <c r="D19" s="82" t="s">
        <v>2764</v>
      </c>
      <c r="E19" s="82" t="s">
        <v>2765</v>
      </c>
      <c r="F19" s="83" t="s">
        <v>2756</v>
      </c>
      <c r="G19" s="83" t="s">
        <v>2741</v>
      </c>
      <c r="H19" s="83">
        <v>1</v>
      </c>
      <c r="I19" s="85">
        <f>IF(COUNTIF(J19:AW19,"&lt;&gt;")=0,"",SUMPRODUCT(((Recommendations[ImplStatus]="Implemented")+(Recommendations[ImplStatus]="Compensated"))*ISNUMBER(MATCH(Recommendations[Id],J19:AW19,0)))/COUNTIF(J19:AW19,"&lt;&gt;"))</f>
        <v>0</v>
      </c>
      <c r="J19" s="87" t="s">
        <v>1228</v>
      </c>
      <c r="K19" s="87" t="s">
        <v>1953</v>
      </c>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2750</v>
      </c>
      <c r="B20" s="78" t="s">
        <v>2766</v>
      </c>
      <c r="C20" s="80" t="s">
        <v>2767</v>
      </c>
      <c r="D20" s="82" t="s">
        <v>2768</v>
      </c>
      <c r="E20" s="82" t="s">
        <v>2769</v>
      </c>
      <c r="F20" s="83" t="s">
        <v>2756</v>
      </c>
      <c r="G20" s="83" t="s">
        <v>2741</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2750</v>
      </c>
      <c r="B21" s="78" t="s">
        <v>2770</v>
      </c>
      <c r="C21" s="80" t="s">
        <v>2771</v>
      </c>
      <c r="D21" s="82" t="s">
        <v>2772</v>
      </c>
      <c r="E21" s="82" t="s">
        <v>2773</v>
      </c>
      <c r="F21" s="83" t="s">
        <v>2756</v>
      </c>
      <c r="G21" s="83" t="s">
        <v>2741</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2750</v>
      </c>
      <c r="B22" s="78" t="s">
        <v>2774</v>
      </c>
      <c r="C22" s="80" t="s">
        <v>2775</v>
      </c>
      <c r="D22" s="82" t="s">
        <v>2776</v>
      </c>
      <c r="E22" s="82" t="s">
        <v>2777</v>
      </c>
      <c r="F22" s="83" t="s">
        <v>2756</v>
      </c>
      <c r="G22" s="83" t="s">
        <v>2741</v>
      </c>
      <c r="H22" s="83">
        <v>1</v>
      </c>
      <c r="I22" s="85">
        <f>IF(COUNTIF(J22:AW22,"&lt;&gt;")=0,"",SUMPRODUCT(((Recommendations[ImplStatus]="Implemented")+(Recommendations[ImplStatus]="Compensated"))*ISNUMBER(MATCH(Recommendations[Id],J22:AW22,0)))/COUNTIF(J22:AW22,"&lt;&gt;"))</f>
        <v>0</v>
      </c>
      <c r="J22" s="87" t="s">
        <v>1040</v>
      </c>
      <c r="K22" s="87" t="s">
        <v>1085</v>
      </c>
      <c r="L22" s="87" t="s">
        <v>1096</v>
      </c>
      <c r="M22" s="87" t="s">
        <v>1099</v>
      </c>
      <c r="N22" s="87" t="s">
        <v>1106</v>
      </c>
      <c r="O22" s="87" t="s">
        <v>1114</v>
      </c>
      <c r="P22" s="87" t="s">
        <v>1117</v>
      </c>
      <c r="Q22" s="87" t="s">
        <v>1120</v>
      </c>
      <c r="R22" s="87" t="s">
        <v>1131</v>
      </c>
      <c r="S22" s="87" t="s">
        <v>1141</v>
      </c>
      <c r="T22" s="87" t="s">
        <v>1149</v>
      </c>
      <c r="U22" s="87" t="s">
        <v>1152</v>
      </c>
      <c r="V22" s="87" t="s">
        <v>1160</v>
      </c>
      <c r="W22" s="87" t="s">
        <v>1168</v>
      </c>
      <c r="X22" s="87" t="s">
        <v>1171</v>
      </c>
      <c r="Y22" s="87" t="s">
        <v>1187</v>
      </c>
      <c r="Z22" s="87" t="s">
        <v>1196</v>
      </c>
      <c r="AA22" s="87" t="s">
        <v>1205</v>
      </c>
      <c r="AB22" s="87" t="s">
        <v>1214</v>
      </c>
      <c r="AC22" s="87" t="s">
        <v>1220</v>
      </c>
      <c r="AD22" s="87" t="s">
        <v>1726</v>
      </c>
      <c r="AE22" s="87" t="s">
        <v>1915</v>
      </c>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2750</v>
      </c>
      <c r="B23" s="78" t="s">
        <v>2778</v>
      </c>
      <c r="C23" s="80" t="s">
        <v>2779</v>
      </c>
      <c r="D23" s="82" t="s">
        <v>2780</v>
      </c>
      <c r="E23" s="82" t="s">
        <v>2781</v>
      </c>
      <c r="F23" s="83" t="s">
        <v>2756</v>
      </c>
      <c r="G23" s="83" t="s">
        <v>2699</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2750</v>
      </c>
      <c r="B24" s="78" t="s">
        <v>2782</v>
      </c>
      <c r="C24" s="80" t="s">
        <v>2783</v>
      </c>
      <c r="D24" s="82" t="s">
        <v>2784</v>
      </c>
      <c r="E24" s="82" t="s">
        <v>2785</v>
      </c>
      <c r="F24" s="83" t="s">
        <v>2756</v>
      </c>
      <c r="G24" s="83" t="s">
        <v>2699</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2750</v>
      </c>
      <c r="B25" s="78" t="s">
        <v>2786</v>
      </c>
      <c r="C25" s="80" t="s">
        <v>2787</v>
      </c>
      <c r="D25" s="82" t="s">
        <v>2788</v>
      </c>
      <c r="E25" s="82" t="s">
        <v>2789</v>
      </c>
      <c r="F25" s="83" t="s">
        <v>2756</v>
      </c>
      <c r="G25" s="83" t="s">
        <v>2741</v>
      </c>
      <c r="H25" s="83">
        <v>2</v>
      </c>
      <c r="I25" s="85">
        <f>IF(COUNTIF(J25:AW25,"&lt;&gt;")=0,"",SUMPRODUCT(((Recommendations[ImplStatus]="Implemented")+(Recommendations[ImplStatus]="Compensated"))*ISNUMBER(MATCH(Recommendations[Id],J25:AW25,0)))/COUNTIF(J25:AW25,"&lt;&gt;"))</f>
        <v>0</v>
      </c>
      <c r="J25" s="87" t="s">
        <v>1171</v>
      </c>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2750</v>
      </c>
      <c r="B26" s="78" t="s">
        <v>2790</v>
      </c>
      <c r="C26" s="80" t="s">
        <v>2791</v>
      </c>
      <c r="D26" s="82" t="s">
        <v>2792</v>
      </c>
      <c r="E26" s="82" t="s">
        <v>2793</v>
      </c>
      <c r="F26" s="83" t="s">
        <v>2756</v>
      </c>
      <c r="G26" s="83" t="s">
        <v>2741</v>
      </c>
      <c r="H26" s="83">
        <v>2</v>
      </c>
      <c r="I26" s="85">
        <f>IF(COUNTIF(J26:AW26,"&lt;&gt;")=0,"",SUMPRODUCT(((Recommendations[ImplStatus]="Implemented")+(Recommendations[ImplStatus]="Compensated"))*ISNUMBER(MATCH(Recommendations[Id],J26:AW26,0)))/COUNTIF(J26:AW26,"&lt;&gt;"))</f>
        <v>0</v>
      </c>
      <c r="J26" s="87" t="s">
        <v>175</v>
      </c>
      <c r="K26" s="87" t="s">
        <v>427</v>
      </c>
      <c r="L26" s="87" t="s">
        <v>1241</v>
      </c>
      <c r="M26" s="87" t="s">
        <v>1372</v>
      </c>
      <c r="N26" s="87" t="s">
        <v>1380</v>
      </c>
      <c r="O26" s="87" t="s">
        <v>1388</v>
      </c>
      <c r="P26" s="87" t="s">
        <v>1396</v>
      </c>
      <c r="Q26" s="87" t="s">
        <v>1414</v>
      </c>
      <c r="R26" s="87" t="s">
        <v>1586</v>
      </c>
      <c r="S26" s="87" t="s">
        <v>1594</v>
      </c>
      <c r="T26" s="87" t="s">
        <v>1602</v>
      </c>
      <c r="U26" s="87" t="s">
        <v>1691</v>
      </c>
      <c r="V26" s="87" t="s">
        <v>1707</v>
      </c>
      <c r="W26" s="87" t="s">
        <v>1745</v>
      </c>
      <c r="X26" s="87" t="s">
        <v>1753</v>
      </c>
      <c r="Y26" s="87" t="s">
        <v>1761</v>
      </c>
      <c r="Z26" s="87" t="s">
        <v>1769</v>
      </c>
      <c r="AA26" s="87" t="s">
        <v>1834</v>
      </c>
      <c r="AB26" s="87" t="s">
        <v>1842</v>
      </c>
      <c r="AC26" s="87" t="s">
        <v>1849</v>
      </c>
      <c r="AD26" s="87" t="s">
        <v>1856</v>
      </c>
      <c r="AE26" s="87" t="s">
        <v>1945</v>
      </c>
      <c r="AF26" s="87" t="s">
        <v>1985</v>
      </c>
      <c r="AG26" s="87" t="s">
        <v>1993</v>
      </c>
      <c r="AH26" s="87" t="s">
        <v>2001</v>
      </c>
      <c r="AI26" s="87" t="s">
        <v>2126</v>
      </c>
      <c r="AJ26" s="87" t="s">
        <v>2134</v>
      </c>
      <c r="AK26" s="87" t="s">
        <v>2292</v>
      </c>
      <c r="AL26" s="87" t="s">
        <v>2299</v>
      </c>
      <c r="AM26" s="87" t="s">
        <v>2306</v>
      </c>
      <c r="AN26" s="87" t="s">
        <v>2314</v>
      </c>
      <c r="AO26" s="87" t="s">
        <v>2316</v>
      </c>
      <c r="AP26" s="87" t="s">
        <v>2318</v>
      </c>
      <c r="AQ26" s="87"/>
      <c r="AR26" s="87"/>
      <c r="AS26" s="87"/>
      <c r="AT26" s="87"/>
      <c r="AU26" s="87"/>
      <c r="AV26" s="87"/>
      <c r="AW26" s="98"/>
    </row>
    <row r="27" spans="1:49" ht="60" customHeight="1" x14ac:dyDescent="0.35">
      <c r="A27" s="95" t="s">
        <v>2750</v>
      </c>
      <c r="B27" s="78" t="s">
        <v>2794</v>
      </c>
      <c r="C27" s="80" t="s">
        <v>2795</v>
      </c>
      <c r="D27" s="82" t="s">
        <v>2796</v>
      </c>
      <c r="E27" s="82" t="s">
        <v>2797</v>
      </c>
      <c r="F27" s="83" t="s">
        <v>2756</v>
      </c>
      <c r="G27" s="83" t="s">
        <v>2741</v>
      </c>
      <c r="H27" s="83">
        <v>2</v>
      </c>
      <c r="I27" s="85">
        <f>IF(COUNTIF(J27:AW27,"&lt;&gt;")=0,"",SUMPRODUCT(((Recommendations[ImplStatus]="Implemented")+(Recommendations[ImplStatus]="Compensated"))*ISNUMBER(MATCH(Recommendations[Id],J27:AW27,0)))/COUNTIF(J27:AW27,"&lt;&gt;"))</f>
        <v>0</v>
      </c>
      <c r="J27" s="87" t="s">
        <v>175</v>
      </c>
      <c r="K27" s="87" t="s">
        <v>1414</v>
      </c>
      <c r="L27" s="87" t="s">
        <v>1482</v>
      </c>
      <c r="M27" s="87" t="s">
        <v>2126</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2750</v>
      </c>
      <c r="B28" s="78" t="s">
        <v>2798</v>
      </c>
      <c r="C28" s="80" t="s">
        <v>2799</v>
      </c>
      <c r="D28" s="82" t="s">
        <v>2800</v>
      </c>
      <c r="E28" s="82" t="s">
        <v>2801</v>
      </c>
      <c r="F28" s="83" t="s">
        <v>2756</v>
      </c>
      <c r="G28" s="83" t="s">
        <v>2741</v>
      </c>
      <c r="H28" s="83">
        <v>2</v>
      </c>
      <c r="I28" s="85">
        <f>IF(COUNTIF(J28:AW28,"&lt;&gt;")=0,"",SUMPRODUCT(((Recommendations[ImplStatus]="Implemented")+(Recommendations[ImplStatus]="Compensated"))*ISNUMBER(MATCH(Recommendations[Id],J28:AW28,0)))/COUNTIF(J28:AW28,"&lt;&gt;"))</f>
        <v>0</v>
      </c>
      <c r="J28" s="87" t="s">
        <v>1072</v>
      </c>
      <c r="K28" s="87" t="s">
        <v>1093</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2750</v>
      </c>
      <c r="B29" s="78" t="s">
        <v>2802</v>
      </c>
      <c r="C29" s="80" t="s">
        <v>2803</v>
      </c>
      <c r="D29" s="82" t="s">
        <v>2804</v>
      </c>
      <c r="E29" s="82" t="s">
        <v>2805</v>
      </c>
      <c r="F29" s="83" t="s">
        <v>2756</v>
      </c>
      <c r="G29" s="83" t="s">
        <v>2741</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2750</v>
      </c>
      <c r="B30" s="78" t="s">
        <v>2806</v>
      </c>
      <c r="C30" s="80" t="s">
        <v>2807</v>
      </c>
      <c r="D30" s="82" t="s">
        <v>2808</v>
      </c>
      <c r="E30" s="82" t="s">
        <v>2809</v>
      </c>
      <c r="F30" s="83" t="s">
        <v>2756</v>
      </c>
      <c r="G30" s="83" t="s">
        <v>2709</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2810</v>
      </c>
      <c r="B31" s="77">
        <v>4</v>
      </c>
      <c r="C31" s="79" t="s">
        <v>28</v>
      </c>
      <c r="D31" s="81" t="s">
        <v>2811</v>
      </c>
      <c r="E31" s="81" t="s">
        <v>28</v>
      </c>
      <c r="F31" s="77" t="s">
        <v>28</v>
      </c>
      <c r="G31" s="77" t="s">
        <v>28</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2810</v>
      </c>
      <c r="B32" s="78" t="s">
        <v>2812</v>
      </c>
      <c r="C32" s="80" t="s">
        <v>2813</v>
      </c>
      <c r="D32" s="82" t="s">
        <v>2814</v>
      </c>
      <c r="E32" s="82" t="s">
        <v>2815</v>
      </c>
      <c r="F32" s="83" t="s">
        <v>2816</v>
      </c>
      <c r="G32" s="83" t="s">
        <v>2757</v>
      </c>
      <c r="H32" s="83">
        <v>1</v>
      </c>
      <c r="I32" s="85">
        <f>IF(COUNTIF(J32:AW32,"&lt;&gt;")=0,"",SUMPRODUCT(((Recommendations[ImplStatus]="Implemented")+(Recommendations[ImplStatus]="Compensated"))*ISNUMBER(MATCH(Recommendations[Id],J32:AW32,0)))/COUNTIF(J32:AW32,"&lt;&gt;"))</f>
        <v>0</v>
      </c>
      <c r="J32" s="87" t="s">
        <v>568</v>
      </c>
      <c r="K32" s="87" t="s">
        <v>576</v>
      </c>
      <c r="L32" s="87" t="s">
        <v>582</v>
      </c>
      <c r="M32" s="87" t="s">
        <v>590</v>
      </c>
      <c r="N32" s="87" t="s">
        <v>598</v>
      </c>
      <c r="O32" s="87" t="s">
        <v>605</v>
      </c>
      <c r="P32" s="87" t="s">
        <v>613</v>
      </c>
      <c r="Q32" s="87" t="s">
        <v>620</v>
      </c>
      <c r="R32" s="87" t="s">
        <v>1016</v>
      </c>
      <c r="S32" s="87" t="s">
        <v>1499</v>
      </c>
      <c r="T32" s="87" t="s">
        <v>1507</v>
      </c>
      <c r="U32" s="87" t="s">
        <v>1617</v>
      </c>
      <c r="V32" s="87" t="s">
        <v>1625</v>
      </c>
      <c r="W32" s="87" t="s">
        <v>1632</v>
      </c>
      <c r="X32" s="87" t="s">
        <v>1718</v>
      </c>
      <c r="Y32" s="87" t="s">
        <v>1795</v>
      </c>
      <c r="Z32" s="87" t="s">
        <v>1953</v>
      </c>
      <c r="AA32" s="87" t="s">
        <v>1960</v>
      </c>
      <c r="AB32" s="87" t="s">
        <v>2199</v>
      </c>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2810</v>
      </c>
      <c r="B33" s="78" t="s">
        <v>2817</v>
      </c>
      <c r="C33" s="80" t="s">
        <v>2818</v>
      </c>
      <c r="D33" s="82" t="s">
        <v>2819</v>
      </c>
      <c r="E33" s="82" t="s">
        <v>2820</v>
      </c>
      <c r="F33" s="83" t="s">
        <v>2816</v>
      </c>
      <c r="G33" s="83" t="s">
        <v>2757</v>
      </c>
      <c r="H33" s="83">
        <v>1</v>
      </c>
      <c r="I33" s="85">
        <f>IF(COUNTIF(J33:AW33,"&lt;&gt;")=0,"",SUMPRODUCT(((Recommendations[ImplStatus]="Implemented")+(Recommendations[ImplStatus]="Compensated"))*ISNUMBER(MATCH(Recommendations[Id],J33:AW33,0)))/COUNTIF(J33:AW33,"&lt;&gt;"))</f>
        <v>0</v>
      </c>
      <c r="J33" s="87" t="s">
        <v>1249</v>
      </c>
      <c r="K33" s="87" t="s">
        <v>1252</v>
      </c>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2810</v>
      </c>
      <c r="B34" s="78" t="s">
        <v>2821</v>
      </c>
      <c r="C34" s="80" t="s">
        <v>2822</v>
      </c>
      <c r="D34" s="82" t="s">
        <v>2823</v>
      </c>
      <c r="E34" s="82" t="s">
        <v>2824</v>
      </c>
      <c r="F34" s="83" t="s">
        <v>2698</v>
      </c>
      <c r="G34" s="83" t="s">
        <v>2741</v>
      </c>
      <c r="H34" s="83">
        <v>1</v>
      </c>
      <c r="I34" s="85">
        <f>IF(COUNTIF(J34:AW34,"&lt;&gt;")=0,"",SUMPRODUCT(((Recommendations[ImplStatus]="Implemented")+(Recommendations[ImplStatus]="Compensated"))*ISNUMBER(MATCH(Recommendations[Id],J34:AW34,0)))/COUNTIF(J34:AW34,"&lt;&gt;"))</f>
        <v>0</v>
      </c>
      <c r="J34" s="87" t="s">
        <v>1499</v>
      </c>
      <c r="K34" s="87" t="s">
        <v>1507</v>
      </c>
      <c r="L34" s="87" t="s">
        <v>1512</v>
      </c>
      <c r="M34" s="87" t="s">
        <v>1519</v>
      </c>
      <c r="N34" s="87" t="s">
        <v>1524</v>
      </c>
      <c r="O34" s="87" t="s">
        <v>1527</v>
      </c>
      <c r="P34" s="87" t="s">
        <v>1530</v>
      </c>
      <c r="Q34" s="87" t="s">
        <v>1533</v>
      </c>
      <c r="R34" s="87" t="s">
        <v>1536</v>
      </c>
      <c r="S34" s="87" t="s">
        <v>1539</v>
      </c>
      <c r="T34" s="87" t="s">
        <v>1542</v>
      </c>
      <c r="U34" s="87" t="s">
        <v>1545</v>
      </c>
      <c r="V34" s="87" t="s">
        <v>1548</v>
      </c>
      <c r="W34" s="87" t="s">
        <v>1551</v>
      </c>
      <c r="X34" s="87" t="s">
        <v>2012</v>
      </c>
      <c r="Y34" s="87" t="s">
        <v>2020</v>
      </c>
      <c r="Z34" s="87" t="s">
        <v>2028</v>
      </c>
      <c r="AA34" s="87" t="s">
        <v>2036</v>
      </c>
      <c r="AB34" s="87" t="s">
        <v>2044</v>
      </c>
      <c r="AC34" s="87" t="s">
        <v>2052</v>
      </c>
      <c r="AD34" s="87" t="s">
        <v>2060</v>
      </c>
      <c r="AE34" s="87" t="s">
        <v>2063</v>
      </c>
      <c r="AF34" s="87" t="s">
        <v>2066</v>
      </c>
      <c r="AG34" s="87" t="s">
        <v>2069</v>
      </c>
      <c r="AH34" s="87"/>
      <c r="AI34" s="87"/>
      <c r="AJ34" s="87"/>
      <c r="AK34" s="87"/>
      <c r="AL34" s="87"/>
      <c r="AM34" s="87"/>
      <c r="AN34" s="87"/>
      <c r="AO34" s="87"/>
      <c r="AP34" s="87"/>
      <c r="AQ34" s="87"/>
      <c r="AR34" s="87"/>
      <c r="AS34" s="87"/>
      <c r="AT34" s="87"/>
      <c r="AU34" s="87"/>
      <c r="AV34" s="87"/>
      <c r="AW34" s="98"/>
    </row>
    <row r="35" spans="1:49" ht="60" customHeight="1" x14ac:dyDescent="0.35">
      <c r="A35" s="95" t="s">
        <v>2810</v>
      </c>
      <c r="B35" s="78" t="s">
        <v>2825</v>
      </c>
      <c r="C35" s="80" t="s">
        <v>2826</v>
      </c>
      <c r="D35" s="82" t="s">
        <v>2827</v>
      </c>
      <c r="E35" s="82" t="s">
        <v>2828</v>
      </c>
      <c r="F35" s="83" t="s">
        <v>2698</v>
      </c>
      <c r="G35" s="83" t="s">
        <v>2741</v>
      </c>
      <c r="H35" s="83">
        <v>1</v>
      </c>
      <c r="I35" s="85">
        <f>IF(COUNTIF(J35:AW35,"&lt;&gt;")=0,"",SUMPRODUCT(((Recommendations[ImplStatus]="Implemented")+(Recommendations[ImplStatus]="Compensated"))*ISNUMBER(MATCH(Recommendations[Id],J35:AW35,0)))/COUNTIF(J35:AW35,"&lt;&gt;"))</f>
        <v>0</v>
      </c>
      <c r="J35" s="87" t="s">
        <v>1340</v>
      </c>
      <c r="K35" s="87" t="s">
        <v>1348</v>
      </c>
      <c r="L35" s="87" t="s">
        <v>1354</v>
      </c>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2810</v>
      </c>
      <c r="B36" s="78" t="s">
        <v>2829</v>
      </c>
      <c r="C36" s="80" t="s">
        <v>2830</v>
      </c>
      <c r="D36" s="82" t="s">
        <v>2831</v>
      </c>
      <c r="E36" s="82" t="s">
        <v>2832</v>
      </c>
      <c r="F36" s="83" t="s">
        <v>2698</v>
      </c>
      <c r="G36" s="83" t="s">
        <v>2741</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2810</v>
      </c>
      <c r="B37" s="78" t="s">
        <v>2833</v>
      </c>
      <c r="C37" s="80" t="s">
        <v>2834</v>
      </c>
      <c r="D37" s="82" t="s">
        <v>2835</v>
      </c>
      <c r="E37" s="82" t="s">
        <v>2836</v>
      </c>
      <c r="F37" s="83" t="s">
        <v>2698</v>
      </c>
      <c r="G37" s="83" t="s">
        <v>2741</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2810</v>
      </c>
      <c r="B38" s="78" t="s">
        <v>2837</v>
      </c>
      <c r="C38" s="80" t="s">
        <v>2838</v>
      </c>
      <c r="D38" s="82" t="s">
        <v>2839</v>
      </c>
      <c r="E38" s="82" t="s">
        <v>2840</v>
      </c>
      <c r="F38" s="83" t="s">
        <v>2841</v>
      </c>
      <c r="G38" s="83" t="s">
        <v>2741</v>
      </c>
      <c r="H38" s="83">
        <v>1</v>
      </c>
      <c r="I38" s="85">
        <f>IF(COUNTIF(J38:AW38,"&lt;&gt;")=0,"",SUMPRODUCT(((Recommendations[ImplStatus]="Implemented")+(Recommendations[ImplStatus]="Compensated"))*ISNUMBER(MATCH(Recommendations[Id],J38:AW38,0)))/COUNTIF(J38:AW38,"&lt;&gt;"))</f>
        <v>0</v>
      </c>
      <c r="J38" s="87" t="s">
        <v>1029</v>
      </c>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2810</v>
      </c>
      <c r="B39" s="78" t="s">
        <v>2842</v>
      </c>
      <c r="C39" s="80" t="s">
        <v>2843</v>
      </c>
      <c r="D39" s="82" t="s">
        <v>2844</v>
      </c>
      <c r="E39" s="82" t="s">
        <v>2845</v>
      </c>
      <c r="F39" s="83" t="s">
        <v>2698</v>
      </c>
      <c r="G39" s="83" t="s">
        <v>2741</v>
      </c>
      <c r="H39" s="83">
        <v>2</v>
      </c>
      <c r="I39" s="85">
        <f>IF(COUNTIF(J39:AW39,"&lt;&gt;")=0,"",SUMPRODUCT(((Recommendations[ImplStatus]="Implemented")+(Recommendations[ImplStatus]="Compensated"))*ISNUMBER(MATCH(Recommendations[Id],J39:AW39,0)))/COUNTIF(J39:AW39,"&lt;&gt;"))</f>
        <v>0</v>
      </c>
      <c r="J39" s="87" t="s">
        <v>289</v>
      </c>
      <c r="K39" s="87" t="s">
        <v>662</v>
      </c>
      <c r="L39" s="87" t="s">
        <v>676</v>
      </c>
      <c r="M39" s="87" t="s">
        <v>1000</v>
      </c>
      <c r="N39" s="87" t="s">
        <v>1327</v>
      </c>
      <c r="O39" s="87" t="s">
        <v>1427</v>
      </c>
      <c r="P39" s="87" t="s">
        <v>1430</v>
      </c>
      <c r="Q39" s="87" t="s">
        <v>1438</v>
      </c>
      <c r="R39" s="87" t="s">
        <v>1446</v>
      </c>
      <c r="S39" s="87" t="s">
        <v>1643</v>
      </c>
      <c r="T39" s="87" t="s">
        <v>1671</v>
      </c>
      <c r="U39" s="87" t="s">
        <v>1678</v>
      </c>
      <c r="V39" s="87" t="s">
        <v>1718</v>
      </c>
      <c r="W39" s="87" t="s">
        <v>1729</v>
      </c>
      <c r="X39" s="87" t="s">
        <v>1807</v>
      </c>
      <c r="Y39" s="87" t="s">
        <v>1810</v>
      </c>
      <c r="Z39" s="87" t="s">
        <v>1818</v>
      </c>
      <c r="AA39" s="87" t="s">
        <v>1869</v>
      </c>
      <c r="AB39" s="87" t="s">
        <v>1877</v>
      </c>
      <c r="AC39" s="87" t="s">
        <v>1885</v>
      </c>
      <c r="AD39" s="87" t="s">
        <v>1893</v>
      </c>
      <c r="AE39" s="87" t="s">
        <v>1900</v>
      </c>
      <c r="AF39" s="87" t="s">
        <v>1915</v>
      </c>
      <c r="AG39" s="87" t="s">
        <v>1922</v>
      </c>
      <c r="AH39" s="87" t="s">
        <v>1968</v>
      </c>
      <c r="AI39" s="87" t="s">
        <v>1976</v>
      </c>
      <c r="AJ39" s="87" t="s">
        <v>2028</v>
      </c>
      <c r="AK39" s="87" t="s">
        <v>2069</v>
      </c>
      <c r="AL39" s="87" t="s">
        <v>2077</v>
      </c>
      <c r="AM39" s="87" t="s">
        <v>2095</v>
      </c>
      <c r="AN39" s="87" t="s">
        <v>2331</v>
      </c>
      <c r="AO39" s="87" t="s">
        <v>2344</v>
      </c>
      <c r="AP39" s="87" t="s">
        <v>2353</v>
      </c>
      <c r="AQ39" s="87" t="s">
        <v>2369</v>
      </c>
      <c r="AR39" s="87" t="s">
        <v>2377</v>
      </c>
      <c r="AS39" s="87" t="s">
        <v>2380</v>
      </c>
      <c r="AT39" s="87" t="s">
        <v>2404</v>
      </c>
      <c r="AU39" s="87"/>
      <c r="AV39" s="87"/>
      <c r="AW39" s="98"/>
    </row>
    <row r="40" spans="1:49" ht="60" customHeight="1" x14ac:dyDescent="0.35">
      <c r="A40" s="95" t="s">
        <v>2810</v>
      </c>
      <c r="B40" s="78" t="s">
        <v>2846</v>
      </c>
      <c r="C40" s="80" t="s">
        <v>2847</v>
      </c>
      <c r="D40" s="82" t="s">
        <v>2848</v>
      </c>
      <c r="E40" s="82" t="s">
        <v>2849</v>
      </c>
      <c r="F40" s="83" t="s">
        <v>2698</v>
      </c>
      <c r="G40" s="83" t="s">
        <v>2741</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2810</v>
      </c>
      <c r="B41" s="78" t="s">
        <v>2850</v>
      </c>
      <c r="C41" s="80" t="s">
        <v>2851</v>
      </c>
      <c r="D41" s="82" t="s">
        <v>2852</v>
      </c>
      <c r="E41" s="82" t="s">
        <v>2853</v>
      </c>
      <c r="F41" s="83" t="s">
        <v>2698</v>
      </c>
      <c r="G41" s="83" t="s">
        <v>2741</v>
      </c>
      <c r="H41" s="83">
        <v>2</v>
      </c>
      <c r="I41" s="85">
        <f>IF(COUNTIF(J41:AW41,"&lt;&gt;")=0,"",SUMPRODUCT(((Recommendations[ImplStatus]="Implemented")+(Recommendations[ImplStatus]="Compensated"))*ISNUMBER(MATCH(Recommendations[Id],J41:AW41,0)))/COUNTIF(J41:AW41,"&lt;&gt;"))</f>
        <v>0</v>
      </c>
      <c r="J41" s="87" t="s">
        <v>535</v>
      </c>
      <c r="K41" s="87" t="s">
        <v>543</v>
      </c>
      <c r="L41" s="87" t="s">
        <v>550</v>
      </c>
      <c r="M41" s="87" t="s">
        <v>557</v>
      </c>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2810</v>
      </c>
      <c r="B42" s="78" t="s">
        <v>2854</v>
      </c>
      <c r="C42" s="80" t="s">
        <v>2855</v>
      </c>
      <c r="D42" s="82" t="s">
        <v>2856</v>
      </c>
      <c r="E42" s="82" t="s">
        <v>2857</v>
      </c>
      <c r="F42" s="83" t="s">
        <v>2756</v>
      </c>
      <c r="G42" s="83" t="s">
        <v>2741</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2810</v>
      </c>
      <c r="B43" s="78" t="s">
        <v>2858</v>
      </c>
      <c r="C43" s="80" t="s">
        <v>2859</v>
      </c>
      <c r="D43" s="82" t="s">
        <v>2860</v>
      </c>
      <c r="E43" s="82" t="s">
        <v>2861</v>
      </c>
      <c r="F43" s="83" t="s">
        <v>2756</v>
      </c>
      <c r="G43" s="83" t="s">
        <v>2741</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2862</v>
      </c>
      <c r="B44" s="77">
        <v>5</v>
      </c>
      <c r="C44" s="79" t="s">
        <v>28</v>
      </c>
      <c r="D44" s="81" t="s">
        <v>2863</v>
      </c>
      <c r="E44" s="81" t="s">
        <v>28</v>
      </c>
      <c r="F44" s="77" t="s">
        <v>28</v>
      </c>
      <c r="G44" s="77" t="s">
        <v>28</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2862</v>
      </c>
      <c r="B45" s="78" t="s">
        <v>2864</v>
      </c>
      <c r="C45" s="80" t="s">
        <v>2865</v>
      </c>
      <c r="D45" s="82" t="s">
        <v>2866</v>
      </c>
      <c r="E45" s="82" t="s">
        <v>2867</v>
      </c>
      <c r="F45" s="83" t="s">
        <v>2841</v>
      </c>
      <c r="G45" s="83" t="s">
        <v>2699</v>
      </c>
      <c r="H45" s="83">
        <v>1</v>
      </c>
      <c r="I45" s="85">
        <f>IF(COUNTIF(J45:AW45,"&lt;&gt;")=0,"",SUMPRODUCT(((Recommendations[ImplStatus]="Implemented")+(Recommendations[ImplStatus]="Compensated"))*ISNUMBER(MATCH(Recommendations[Id],J45:AW45,0)))/COUNTIF(J45:AW45,"&lt;&gt;"))</f>
        <v>0</v>
      </c>
      <c r="J45" s="87" t="s">
        <v>1311</v>
      </c>
      <c r="K45" s="87" t="s">
        <v>1319</v>
      </c>
      <c r="L45" s="87" t="s">
        <v>1710</v>
      </c>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2862</v>
      </c>
      <c r="B46" s="78" t="s">
        <v>2868</v>
      </c>
      <c r="C46" s="80" t="s">
        <v>2869</v>
      </c>
      <c r="D46" s="82" t="s">
        <v>2870</v>
      </c>
      <c r="E46" s="82" t="s">
        <v>2871</v>
      </c>
      <c r="F46" s="83" t="s">
        <v>2841</v>
      </c>
      <c r="G46" s="83" t="s">
        <v>2741</v>
      </c>
      <c r="H46" s="83">
        <v>1</v>
      </c>
      <c r="I46" s="85">
        <f>IF(COUNTIF(J46:AW46,"&lt;&gt;")=0,"",SUMPRODUCT(((Recommendations[ImplStatus]="Implemented")+(Recommendations[ImplStatus]="Compensated"))*ISNUMBER(MATCH(Recommendations[Id],J46:AW46,0)))/COUNTIF(J46:AW46,"&lt;&gt;"))</f>
        <v>0</v>
      </c>
      <c r="J46" s="87" t="s">
        <v>437</v>
      </c>
      <c r="K46" s="87" t="s">
        <v>535</v>
      </c>
      <c r="L46" s="87" t="s">
        <v>543</v>
      </c>
      <c r="M46" s="87" t="s">
        <v>550</v>
      </c>
      <c r="N46" s="87" t="s">
        <v>557</v>
      </c>
      <c r="O46" s="87" t="s">
        <v>1106</v>
      </c>
      <c r="P46" s="87" t="s">
        <v>1123</v>
      </c>
      <c r="Q46" s="87" t="s">
        <v>1149</v>
      </c>
      <c r="R46" s="87" t="s">
        <v>1160</v>
      </c>
      <c r="S46" s="87" t="s">
        <v>1179</v>
      </c>
      <c r="T46" s="87" t="s">
        <v>1438</v>
      </c>
      <c r="U46" s="87" t="s">
        <v>1446</v>
      </c>
      <c r="V46" s="87" t="s">
        <v>1453</v>
      </c>
      <c r="W46" s="87" t="s">
        <v>1460</v>
      </c>
      <c r="X46" s="87" t="s">
        <v>1467</v>
      </c>
      <c r="Y46" s="87" t="s">
        <v>1475</v>
      </c>
      <c r="Z46" s="87" t="s">
        <v>1482</v>
      </c>
      <c r="AA46" s="87" t="s">
        <v>1488</v>
      </c>
      <c r="AB46" s="87" t="s">
        <v>1930</v>
      </c>
      <c r="AC46" s="87" t="s">
        <v>1938</v>
      </c>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2862</v>
      </c>
      <c r="B47" s="78" t="s">
        <v>2872</v>
      </c>
      <c r="C47" s="80" t="s">
        <v>2873</v>
      </c>
      <c r="D47" s="82" t="s">
        <v>2874</v>
      </c>
      <c r="E47" s="82" t="s">
        <v>2875</v>
      </c>
      <c r="F47" s="83" t="s">
        <v>2841</v>
      </c>
      <c r="G47" s="83" t="s">
        <v>2741</v>
      </c>
      <c r="H47" s="83">
        <v>1</v>
      </c>
      <c r="I47" s="85">
        <f>IF(COUNTIF(J47:AW47,"&lt;&gt;")=0,"",SUMPRODUCT(((Recommendations[ImplStatus]="Implemented")+(Recommendations[ImplStatus]="Compensated"))*ISNUMBER(MATCH(Recommendations[Id],J47:AW47,0)))/COUNTIF(J47:AW47,"&lt;&gt;"))</f>
        <v>0</v>
      </c>
      <c r="J47" s="87" t="s">
        <v>159</v>
      </c>
      <c r="K47" s="87" t="s">
        <v>167</v>
      </c>
      <c r="L47" s="87" t="s">
        <v>415</v>
      </c>
      <c r="M47" s="87" t="s">
        <v>419</v>
      </c>
      <c r="N47" s="87" t="s">
        <v>434</v>
      </c>
      <c r="O47" s="87" t="s">
        <v>1029</v>
      </c>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2862</v>
      </c>
      <c r="B48" s="78" t="s">
        <v>2876</v>
      </c>
      <c r="C48" s="80" t="s">
        <v>2877</v>
      </c>
      <c r="D48" s="82" t="s">
        <v>2878</v>
      </c>
      <c r="E48" s="82" t="s">
        <v>2879</v>
      </c>
      <c r="F48" s="83" t="s">
        <v>2841</v>
      </c>
      <c r="G48" s="83" t="s">
        <v>2741</v>
      </c>
      <c r="H48" s="83">
        <v>1</v>
      </c>
      <c r="I48" s="85">
        <f>IF(COUNTIF(J48:AW48,"&lt;&gt;")=0,"",SUMPRODUCT(((Recommendations[ImplStatus]="Implemented")+(Recommendations[ImplStatus]="Compensated"))*ISNUMBER(MATCH(Recommendations[Id],J48:AW48,0)))/COUNTIF(J48:AW48,"&lt;&gt;"))</f>
        <v>0</v>
      </c>
      <c r="J48" s="87" t="s">
        <v>252</v>
      </c>
      <c r="K48" s="87" t="s">
        <v>260</v>
      </c>
      <c r="L48" s="87" t="s">
        <v>268</v>
      </c>
      <c r="M48" s="87" t="s">
        <v>276</v>
      </c>
      <c r="N48" s="87" t="s">
        <v>283</v>
      </c>
      <c r="O48" s="87" t="s">
        <v>286</v>
      </c>
      <c r="P48" s="87" t="s">
        <v>289</v>
      </c>
      <c r="Q48" s="87" t="s">
        <v>297</v>
      </c>
      <c r="R48" s="87" t="s">
        <v>305</v>
      </c>
      <c r="S48" s="87" t="s">
        <v>330</v>
      </c>
      <c r="T48" s="87" t="s">
        <v>338</v>
      </c>
      <c r="U48" s="87" t="s">
        <v>346</v>
      </c>
      <c r="V48" s="87" t="s">
        <v>354</v>
      </c>
      <c r="W48" s="87" t="s">
        <v>362</v>
      </c>
      <c r="X48" s="87" t="s">
        <v>369</v>
      </c>
      <c r="Y48" s="87" t="s">
        <v>377</v>
      </c>
      <c r="Z48" s="87" t="s">
        <v>1053</v>
      </c>
      <c r="AA48" s="87" t="s">
        <v>1640</v>
      </c>
      <c r="AB48" s="87" t="s">
        <v>1663</v>
      </c>
      <c r="AC48" s="87" t="s">
        <v>1776</v>
      </c>
      <c r="AD48" s="87" t="s">
        <v>1783</v>
      </c>
      <c r="AE48" s="87" t="s">
        <v>1826</v>
      </c>
      <c r="AF48" s="87" t="s">
        <v>2108</v>
      </c>
      <c r="AG48" s="87" t="s">
        <v>2115</v>
      </c>
      <c r="AH48" s="87" t="s">
        <v>2147</v>
      </c>
      <c r="AI48" s="87" t="s">
        <v>2152</v>
      </c>
      <c r="AJ48" s="87" t="s">
        <v>2159</v>
      </c>
      <c r="AK48" s="87" t="s">
        <v>2165</v>
      </c>
      <c r="AL48" s="87" t="s">
        <v>2172</v>
      </c>
      <c r="AM48" s="87" t="s">
        <v>2177</v>
      </c>
      <c r="AN48" s="87" t="s">
        <v>2182</v>
      </c>
      <c r="AO48" s="87" t="s">
        <v>2188</v>
      </c>
      <c r="AP48" s="87" t="s">
        <v>2193</v>
      </c>
      <c r="AQ48" s="87" t="s">
        <v>2206</v>
      </c>
      <c r="AR48" s="87" t="s">
        <v>2212</v>
      </c>
      <c r="AS48" s="87" t="s">
        <v>2218</v>
      </c>
      <c r="AT48" s="87" t="s">
        <v>2224</v>
      </c>
      <c r="AU48" s="87" t="s">
        <v>2229</v>
      </c>
      <c r="AV48" s="87" t="s">
        <v>2235</v>
      </c>
      <c r="AW48" s="98" t="s">
        <v>2241</v>
      </c>
    </row>
    <row r="49" spans="1:49" ht="60" customHeight="1" x14ac:dyDescent="0.35">
      <c r="A49" s="95" t="s">
        <v>2862</v>
      </c>
      <c r="B49" s="78" t="s">
        <v>2880</v>
      </c>
      <c r="C49" s="80" t="s">
        <v>2881</v>
      </c>
      <c r="D49" s="82" t="s">
        <v>2882</v>
      </c>
      <c r="E49" s="82" t="s">
        <v>2883</v>
      </c>
      <c r="F49" s="83" t="s">
        <v>2841</v>
      </c>
      <c r="G49" s="83" t="s">
        <v>2699</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2862</v>
      </c>
      <c r="B50" s="78" t="s">
        <v>2884</v>
      </c>
      <c r="C50" s="80" t="s">
        <v>2885</v>
      </c>
      <c r="D50" s="82" t="s">
        <v>2886</v>
      </c>
      <c r="E50" s="82" t="s">
        <v>2887</v>
      </c>
      <c r="F50" s="83" t="s">
        <v>2841</v>
      </c>
      <c r="G50" s="83" t="s">
        <v>2757</v>
      </c>
      <c r="H50" s="83">
        <v>2</v>
      </c>
      <c r="I50" s="85">
        <f>IF(COUNTIF(J50:AW50,"&lt;&gt;")=0,"",SUMPRODUCT(((Recommendations[ImplStatus]="Implemented")+(Recommendations[ImplStatus]="Compensated"))*ISNUMBER(MATCH(Recommendations[Id],J50:AW50,0)))/COUNTIF(J50:AW50,"&lt;&gt;"))</f>
        <v>0</v>
      </c>
      <c r="J50" s="87" t="s">
        <v>1311</v>
      </c>
      <c r="K50" s="87" t="s">
        <v>1319</v>
      </c>
      <c r="L50" s="87" t="s">
        <v>1930</v>
      </c>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2888</v>
      </c>
      <c r="B51" s="77">
        <v>6</v>
      </c>
      <c r="C51" s="79" t="s">
        <v>28</v>
      </c>
      <c r="D51" s="81" t="s">
        <v>2889</v>
      </c>
      <c r="E51" s="81" t="s">
        <v>28</v>
      </c>
      <c r="F51" s="77" t="s">
        <v>28</v>
      </c>
      <c r="G51" s="77" t="s">
        <v>28</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2888</v>
      </c>
      <c r="B52" s="78" t="s">
        <v>2890</v>
      </c>
      <c r="C52" s="80" t="s">
        <v>2891</v>
      </c>
      <c r="D52" s="82" t="s">
        <v>2892</v>
      </c>
      <c r="E52" s="82" t="s">
        <v>2893</v>
      </c>
      <c r="F52" s="83" t="s">
        <v>2816</v>
      </c>
      <c r="G52" s="83" t="s">
        <v>2757</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2888</v>
      </c>
      <c r="B53" s="78" t="s">
        <v>2894</v>
      </c>
      <c r="C53" s="80" t="s">
        <v>2895</v>
      </c>
      <c r="D53" s="82" t="s">
        <v>2896</v>
      </c>
      <c r="E53" s="82" t="s">
        <v>2897</v>
      </c>
      <c r="F53" s="83" t="s">
        <v>2816</v>
      </c>
      <c r="G53" s="83" t="s">
        <v>2757</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2888</v>
      </c>
      <c r="B54" s="78" t="s">
        <v>2898</v>
      </c>
      <c r="C54" s="80" t="s">
        <v>2899</v>
      </c>
      <c r="D54" s="82" t="s">
        <v>2900</v>
      </c>
      <c r="E54" s="82" t="s">
        <v>2901</v>
      </c>
      <c r="F54" s="83" t="s">
        <v>2841</v>
      </c>
      <c r="G54" s="83" t="s">
        <v>2741</v>
      </c>
      <c r="H54" s="83">
        <v>1</v>
      </c>
      <c r="I54" s="85">
        <f>IF(COUNTIF(J54:AW54,"&lt;&gt;")=0,"",SUMPRODUCT(((Recommendations[ImplStatus]="Implemented")+(Recommendations[ImplStatus]="Compensated"))*ISNUMBER(MATCH(Recommendations[Id],J54:AW54,0)))/COUNTIF(J54:AW54,"&lt;&gt;"))</f>
        <v>0</v>
      </c>
      <c r="J54" s="87" t="s">
        <v>466</v>
      </c>
      <c r="K54" s="87" t="s">
        <v>469</v>
      </c>
      <c r="L54" s="87" t="s">
        <v>472</v>
      </c>
      <c r="M54" s="87" t="s">
        <v>475</v>
      </c>
      <c r="N54" s="87" t="s">
        <v>478</v>
      </c>
      <c r="O54" s="87" t="s">
        <v>481</v>
      </c>
      <c r="P54" s="87" t="s">
        <v>1761</v>
      </c>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2888</v>
      </c>
      <c r="B55" s="78" t="s">
        <v>2902</v>
      </c>
      <c r="C55" s="80" t="s">
        <v>2903</v>
      </c>
      <c r="D55" s="82" t="s">
        <v>2904</v>
      </c>
      <c r="E55" s="82" t="s">
        <v>2905</v>
      </c>
      <c r="F55" s="83" t="s">
        <v>2841</v>
      </c>
      <c r="G55" s="83" t="s">
        <v>2741</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2888</v>
      </c>
      <c r="B56" s="78" t="s">
        <v>2906</v>
      </c>
      <c r="C56" s="80" t="s">
        <v>2907</v>
      </c>
      <c r="D56" s="82" t="s">
        <v>2908</v>
      </c>
      <c r="E56" s="82" t="s">
        <v>2909</v>
      </c>
      <c r="F56" s="83" t="s">
        <v>2841</v>
      </c>
      <c r="G56" s="83" t="s">
        <v>2741</v>
      </c>
      <c r="H56" s="83">
        <v>1</v>
      </c>
      <c r="I56" s="85">
        <f>IF(COUNTIF(J56:AW56,"&lt;&gt;")=0,"",SUMPRODUCT(((Recommendations[ImplStatus]="Implemented")+(Recommendations[ImplStatus]="Compensated"))*ISNUMBER(MATCH(Recommendations[Id],J56:AW56,0)))/COUNTIF(J56:AW56,"&lt;&gt;"))</f>
        <v>0</v>
      </c>
      <c r="J56" s="87" t="s">
        <v>466</v>
      </c>
      <c r="K56" s="87" t="s">
        <v>469</v>
      </c>
      <c r="L56" s="87" t="s">
        <v>475</v>
      </c>
      <c r="M56" s="87" t="s">
        <v>478</v>
      </c>
      <c r="N56" s="87" t="s">
        <v>481</v>
      </c>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2888</v>
      </c>
      <c r="B57" s="78" t="s">
        <v>2910</v>
      </c>
      <c r="C57" s="80" t="s">
        <v>2911</v>
      </c>
      <c r="D57" s="82" t="s">
        <v>2912</v>
      </c>
      <c r="E57" s="82" t="s">
        <v>2913</v>
      </c>
      <c r="F57" s="83" t="s">
        <v>2724</v>
      </c>
      <c r="G57" s="83" t="s">
        <v>2699</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2888</v>
      </c>
      <c r="B58" s="78" t="s">
        <v>2914</v>
      </c>
      <c r="C58" s="80" t="s">
        <v>2915</v>
      </c>
      <c r="D58" s="82" t="s">
        <v>2916</v>
      </c>
      <c r="E58" s="82" t="s">
        <v>2917</v>
      </c>
      <c r="F58" s="83" t="s">
        <v>2841</v>
      </c>
      <c r="G58" s="83" t="s">
        <v>2741</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2888</v>
      </c>
      <c r="B59" s="78" t="s">
        <v>2918</v>
      </c>
      <c r="C59" s="80" t="s">
        <v>2919</v>
      </c>
      <c r="D59" s="82" t="s">
        <v>2920</v>
      </c>
      <c r="E59" s="82" t="s">
        <v>2921</v>
      </c>
      <c r="F59" s="83" t="s">
        <v>2841</v>
      </c>
      <c r="G59" s="83" t="s">
        <v>2757</v>
      </c>
      <c r="H59" s="83">
        <v>3</v>
      </c>
      <c r="I59" s="85">
        <f>IF(COUNTIF(J59:AW59,"&lt;&gt;")=0,"",SUMPRODUCT(((Recommendations[ImplStatus]="Implemented")+(Recommendations[ImplStatus]="Compensated"))*ISNUMBER(MATCH(Recommendations[Id],J59:AW59,0)))/COUNTIF(J59:AW59,"&lt;&gt;"))</f>
        <v>0</v>
      </c>
      <c r="J59" s="87" t="s">
        <v>838</v>
      </c>
      <c r="K59" s="87" t="s">
        <v>955</v>
      </c>
      <c r="L59" s="87" t="s">
        <v>1776</v>
      </c>
      <c r="M59" s="87" t="s">
        <v>1783</v>
      </c>
      <c r="N59" s="87" t="s">
        <v>2108</v>
      </c>
      <c r="O59" s="87" t="s">
        <v>2115</v>
      </c>
      <c r="P59" s="87" t="s">
        <v>2147</v>
      </c>
      <c r="Q59" s="87" t="s">
        <v>2152</v>
      </c>
      <c r="R59" s="87" t="s">
        <v>2159</v>
      </c>
      <c r="S59" s="87" t="s">
        <v>2165</v>
      </c>
      <c r="T59" s="87" t="s">
        <v>2172</v>
      </c>
      <c r="U59" s="87" t="s">
        <v>2177</v>
      </c>
      <c r="V59" s="87" t="s">
        <v>2182</v>
      </c>
      <c r="W59" s="87" t="s">
        <v>2188</v>
      </c>
      <c r="X59" s="87" t="s">
        <v>2193</v>
      </c>
      <c r="Y59" s="87" t="s">
        <v>2199</v>
      </c>
      <c r="Z59" s="87" t="s">
        <v>2206</v>
      </c>
      <c r="AA59" s="87" t="s">
        <v>2212</v>
      </c>
      <c r="AB59" s="87" t="s">
        <v>2218</v>
      </c>
      <c r="AC59" s="87" t="s">
        <v>2224</v>
      </c>
      <c r="AD59" s="87" t="s">
        <v>2229</v>
      </c>
      <c r="AE59" s="87" t="s">
        <v>2235</v>
      </c>
      <c r="AF59" s="87" t="s">
        <v>2241</v>
      </c>
      <c r="AG59" s="87" t="s">
        <v>2247</v>
      </c>
      <c r="AH59" s="87" t="s">
        <v>2252</v>
      </c>
      <c r="AI59" s="87" t="s">
        <v>2257</v>
      </c>
      <c r="AJ59" s="87" t="s">
        <v>2262</v>
      </c>
      <c r="AK59" s="87" t="s">
        <v>2267</v>
      </c>
      <c r="AL59" s="87"/>
      <c r="AM59" s="87"/>
      <c r="AN59" s="87"/>
      <c r="AO59" s="87"/>
      <c r="AP59" s="87"/>
      <c r="AQ59" s="87"/>
      <c r="AR59" s="87"/>
      <c r="AS59" s="87"/>
      <c r="AT59" s="87"/>
      <c r="AU59" s="87"/>
      <c r="AV59" s="87"/>
      <c r="AW59" s="98"/>
    </row>
    <row r="60" spans="1:49" ht="60" customHeight="1" outlineLevel="1" x14ac:dyDescent="0.35">
      <c r="A60" s="94" t="s">
        <v>2922</v>
      </c>
      <c r="B60" s="77">
        <v>7</v>
      </c>
      <c r="C60" s="79" t="s">
        <v>28</v>
      </c>
      <c r="D60" s="81" t="s">
        <v>2923</v>
      </c>
      <c r="E60" s="81" t="s">
        <v>28</v>
      </c>
      <c r="F60" s="77" t="s">
        <v>28</v>
      </c>
      <c r="G60" s="77" t="s">
        <v>28</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2922</v>
      </c>
      <c r="B61" s="78" t="s">
        <v>2924</v>
      </c>
      <c r="C61" s="80" t="s">
        <v>2925</v>
      </c>
      <c r="D61" s="82" t="s">
        <v>2926</v>
      </c>
      <c r="E61" s="82" t="s">
        <v>2927</v>
      </c>
      <c r="F61" s="83" t="s">
        <v>2816</v>
      </c>
      <c r="G61" s="83" t="s">
        <v>2757</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2922</v>
      </c>
      <c r="B62" s="78" t="s">
        <v>2928</v>
      </c>
      <c r="C62" s="80" t="s">
        <v>2929</v>
      </c>
      <c r="D62" s="82" t="s">
        <v>2930</v>
      </c>
      <c r="E62" s="82" t="s">
        <v>2931</v>
      </c>
      <c r="F62" s="83" t="s">
        <v>2816</v>
      </c>
      <c r="G62" s="83" t="s">
        <v>2757</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2922</v>
      </c>
      <c r="B63" s="78" t="s">
        <v>2932</v>
      </c>
      <c r="C63" s="80" t="s">
        <v>2933</v>
      </c>
      <c r="D63" s="82" t="s">
        <v>2934</v>
      </c>
      <c r="E63" s="82" t="s">
        <v>2935</v>
      </c>
      <c r="F63" s="83" t="s">
        <v>2724</v>
      </c>
      <c r="G63" s="83" t="s">
        <v>2741</v>
      </c>
      <c r="H63" s="83">
        <v>1</v>
      </c>
      <c r="I63" s="85">
        <f>IF(COUNTIF(J63:AW63,"&lt;&gt;")=0,"",SUMPRODUCT(((Recommendations[ImplStatus]="Implemented")+(Recommendations[ImplStatus]="Compensated"))*ISNUMBER(MATCH(Recommendations[Id],J63:AW63,0)))/COUNTIF(J63:AW63,"&lt;&gt;"))</f>
        <v>0</v>
      </c>
      <c r="J63" s="87" t="s">
        <v>494</v>
      </c>
      <c r="K63" s="87" t="s">
        <v>502</v>
      </c>
      <c r="L63" s="87" t="s">
        <v>505</v>
      </c>
      <c r="M63" s="87" t="s">
        <v>508</v>
      </c>
      <c r="N63" s="87" t="s">
        <v>511</v>
      </c>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2922</v>
      </c>
      <c r="B64" s="78" t="s">
        <v>2936</v>
      </c>
      <c r="C64" s="80" t="s">
        <v>2937</v>
      </c>
      <c r="D64" s="82" t="s">
        <v>2938</v>
      </c>
      <c r="E64" s="82" t="s">
        <v>2939</v>
      </c>
      <c r="F64" s="83" t="s">
        <v>2724</v>
      </c>
      <c r="G64" s="83" t="s">
        <v>2741</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2922</v>
      </c>
      <c r="B65" s="78" t="s">
        <v>2940</v>
      </c>
      <c r="C65" s="80" t="s">
        <v>2941</v>
      </c>
      <c r="D65" s="82" t="s">
        <v>2942</v>
      </c>
      <c r="E65" s="82" t="s">
        <v>2943</v>
      </c>
      <c r="F65" s="83" t="s">
        <v>2724</v>
      </c>
      <c r="G65" s="83" t="s">
        <v>2699</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2922</v>
      </c>
      <c r="B66" s="78" t="s">
        <v>2944</v>
      </c>
      <c r="C66" s="80" t="s">
        <v>2945</v>
      </c>
      <c r="D66" s="82" t="s">
        <v>2946</v>
      </c>
      <c r="E66" s="82" t="s">
        <v>2947</v>
      </c>
      <c r="F66" s="83" t="s">
        <v>2724</v>
      </c>
      <c r="G66" s="83" t="s">
        <v>2699</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2922</v>
      </c>
      <c r="B67" s="78" t="s">
        <v>2948</v>
      </c>
      <c r="C67" s="80" t="s">
        <v>2949</v>
      </c>
      <c r="D67" s="82" t="s">
        <v>2950</v>
      </c>
      <c r="E67" s="82" t="s">
        <v>2951</v>
      </c>
      <c r="F67" s="83" t="s">
        <v>2724</v>
      </c>
      <c r="G67" s="83" t="s">
        <v>2704</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2952</v>
      </c>
      <c r="B68" s="77">
        <v>8</v>
      </c>
      <c r="C68" s="79" t="s">
        <v>28</v>
      </c>
      <c r="D68" s="81" t="s">
        <v>2953</v>
      </c>
      <c r="E68" s="81" t="s">
        <v>28</v>
      </c>
      <c r="F68" s="77" t="s">
        <v>28</v>
      </c>
      <c r="G68" s="77" t="s">
        <v>28</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2952</v>
      </c>
      <c r="B69" s="78" t="s">
        <v>2954</v>
      </c>
      <c r="C69" s="80" t="s">
        <v>2955</v>
      </c>
      <c r="D69" s="82" t="s">
        <v>2956</v>
      </c>
      <c r="E69" s="82" t="s">
        <v>2957</v>
      </c>
      <c r="F69" s="83" t="s">
        <v>2816</v>
      </c>
      <c r="G69" s="83" t="s">
        <v>2757</v>
      </c>
      <c r="H69" s="83">
        <v>1</v>
      </c>
      <c r="I69" s="85">
        <f>IF(COUNTIF(J69:AW69,"&lt;&gt;")=0,"",SUMPRODUCT(((Recommendations[ImplStatus]="Implemented")+(Recommendations[ImplStatus]="Compensated"))*ISNUMBER(MATCH(Recommendations[Id],J69:AW69,0)))/COUNTIF(J69:AW69,"&lt;&gt;"))</f>
        <v>0</v>
      </c>
      <c r="J69" s="87" t="s">
        <v>948</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2952</v>
      </c>
      <c r="B70" s="78" t="s">
        <v>2958</v>
      </c>
      <c r="C70" s="80" t="s">
        <v>2959</v>
      </c>
      <c r="D70" s="82" t="s">
        <v>2960</v>
      </c>
      <c r="E70" s="82" t="s">
        <v>2961</v>
      </c>
      <c r="F70" s="83" t="s">
        <v>2756</v>
      </c>
      <c r="G70" s="83" t="s">
        <v>2709</v>
      </c>
      <c r="H70" s="83">
        <v>1</v>
      </c>
      <c r="I70" s="85">
        <f>IF(COUNTIF(J70:AW70,"&lt;&gt;")=0,"",SUMPRODUCT(((Recommendations[ImplStatus]="Implemented")+(Recommendations[ImplStatus]="Compensated"))*ISNUMBER(MATCH(Recommendations[Id],J70:AW70,0)))/COUNTIF(J70:AW70,"&lt;&gt;"))</f>
        <v>0</v>
      </c>
      <c r="J70" s="87" t="s">
        <v>838</v>
      </c>
      <c r="K70" s="87" t="s">
        <v>844</v>
      </c>
      <c r="L70" s="87" t="s">
        <v>852</v>
      </c>
      <c r="M70" s="87" t="s">
        <v>855</v>
      </c>
      <c r="N70" s="87" t="s">
        <v>858</v>
      </c>
      <c r="O70" s="87" t="s">
        <v>866</v>
      </c>
      <c r="P70" s="87" t="s">
        <v>877</v>
      </c>
      <c r="Q70" s="87" t="s">
        <v>885</v>
      </c>
      <c r="R70" s="87" t="s">
        <v>890</v>
      </c>
      <c r="S70" s="87" t="s">
        <v>900</v>
      </c>
      <c r="T70" s="87" t="s">
        <v>910</v>
      </c>
      <c r="U70" s="87" t="s">
        <v>916</v>
      </c>
      <c r="V70" s="87" t="s">
        <v>919</v>
      </c>
      <c r="W70" s="87" t="s">
        <v>922</v>
      </c>
      <c r="X70" s="87" t="s">
        <v>928</v>
      </c>
      <c r="Y70" s="87" t="s">
        <v>931</v>
      </c>
      <c r="Z70" s="87" t="s">
        <v>936</v>
      </c>
      <c r="AA70" s="87" t="s">
        <v>942</v>
      </c>
      <c r="AB70" s="87" t="s">
        <v>1403</v>
      </c>
      <c r="AC70" s="87" t="s">
        <v>1406</v>
      </c>
      <c r="AD70" s="87" t="s">
        <v>1982</v>
      </c>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2952</v>
      </c>
      <c r="B71" s="78" t="s">
        <v>2962</v>
      </c>
      <c r="C71" s="80" t="s">
        <v>2963</v>
      </c>
      <c r="D71" s="82" t="s">
        <v>2964</v>
      </c>
      <c r="E71" s="82" t="s">
        <v>2965</v>
      </c>
      <c r="F71" s="83" t="s">
        <v>2756</v>
      </c>
      <c r="G71" s="83" t="s">
        <v>2741</v>
      </c>
      <c r="H71" s="83">
        <v>1</v>
      </c>
      <c r="I71" s="85">
        <f>IF(COUNTIF(J71:AW71,"&lt;&gt;")=0,"",SUMPRODUCT(((Recommendations[ImplStatus]="Implemented")+(Recommendations[ImplStatus]="Compensated"))*ISNUMBER(MATCH(Recommendations[Id],J71:AW71,0)))/COUNTIF(J71:AW71,"&lt;&gt;"))</f>
        <v>0</v>
      </c>
      <c r="J71" s="87" t="s">
        <v>824</v>
      </c>
      <c r="K71" s="87" t="s">
        <v>832</v>
      </c>
      <c r="L71" s="87" t="s">
        <v>835</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2952</v>
      </c>
      <c r="B72" s="78" t="s">
        <v>2966</v>
      </c>
      <c r="C72" s="80" t="s">
        <v>2967</v>
      </c>
      <c r="D72" s="82" t="s">
        <v>2968</v>
      </c>
      <c r="E72" s="82" t="s">
        <v>2969</v>
      </c>
      <c r="F72" s="83" t="s">
        <v>2970</v>
      </c>
      <c r="G72" s="83" t="s">
        <v>2741</v>
      </c>
      <c r="H72" s="83">
        <v>2</v>
      </c>
      <c r="I72" s="85">
        <f>IF(COUNTIF(J72:AW72,"&lt;&gt;")=0,"",SUMPRODUCT(((Recommendations[ImplStatus]="Implemented")+(Recommendations[ImplStatus]="Compensated"))*ISNUMBER(MATCH(Recommendations[Id],J72:AW72,0)))/COUNTIF(J72:AW72,"&lt;&gt;"))</f>
        <v>0</v>
      </c>
      <c r="J72" s="87" t="s">
        <v>821</v>
      </c>
      <c r="K72" s="87" t="s">
        <v>955</v>
      </c>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2952</v>
      </c>
      <c r="B73" s="78" t="s">
        <v>2971</v>
      </c>
      <c r="C73" s="80" t="s">
        <v>2972</v>
      </c>
      <c r="D73" s="82" t="s">
        <v>2973</v>
      </c>
      <c r="E73" s="82" t="s">
        <v>2974</v>
      </c>
      <c r="F73" s="83" t="s">
        <v>2756</v>
      </c>
      <c r="G73" s="83" t="s">
        <v>2709</v>
      </c>
      <c r="H73" s="83">
        <v>2</v>
      </c>
      <c r="I73" s="85">
        <f>IF(COUNTIF(J73:AW73,"&lt;&gt;")=0,"",SUMPRODUCT(((Recommendations[ImplStatus]="Implemented")+(Recommendations[ImplStatus]="Compensated"))*ISNUMBER(MATCH(Recommendations[Id],J73:AW73,0)))/COUNTIF(J73:AW73,"&lt;&gt;"))</f>
        <v>0</v>
      </c>
      <c r="J73" s="87" t="s">
        <v>858</v>
      </c>
      <c r="K73" s="87" t="s">
        <v>866</v>
      </c>
      <c r="L73" s="87" t="s">
        <v>871</v>
      </c>
      <c r="M73" s="87" t="s">
        <v>880</v>
      </c>
      <c r="N73" s="87" t="s">
        <v>885</v>
      </c>
      <c r="O73" s="87" t="s">
        <v>890</v>
      </c>
      <c r="P73" s="87" t="s">
        <v>895</v>
      </c>
      <c r="Q73" s="87" t="s">
        <v>900</v>
      </c>
      <c r="R73" s="87" t="s">
        <v>905</v>
      </c>
      <c r="S73" s="87" t="s">
        <v>910</v>
      </c>
      <c r="T73" s="87" t="s">
        <v>922</v>
      </c>
      <c r="U73" s="87" t="s">
        <v>931</v>
      </c>
      <c r="V73" s="87" t="s">
        <v>936</v>
      </c>
      <c r="W73" s="87" t="s">
        <v>942</v>
      </c>
      <c r="X73" s="87" t="s">
        <v>948</v>
      </c>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2952</v>
      </c>
      <c r="B74" s="78" t="s">
        <v>2975</v>
      </c>
      <c r="C74" s="80" t="s">
        <v>2976</v>
      </c>
      <c r="D74" s="82" t="s">
        <v>2977</v>
      </c>
      <c r="E74" s="82" t="s">
        <v>2978</v>
      </c>
      <c r="F74" s="83" t="s">
        <v>2756</v>
      </c>
      <c r="G74" s="83" t="s">
        <v>2709</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2952</v>
      </c>
      <c r="B75" s="78" t="s">
        <v>2979</v>
      </c>
      <c r="C75" s="80" t="s">
        <v>2980</v>
      </c>
      <c r="D75" s="82" t="s">
        <v>2981</v>
      </c>
      <c r="E75" s="82" t="s">
        <v>2982</v>
      </c>
      <c r="F75" s="83" t="s">
        <v>2756</v>
      </c>
      <c r="G75" s="83" t="s">
        <v>2709</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2952</v>
      </c>
      <c r="B76" s="78" t="s">
        <v>2983</v>
      </c>
      <c r="C76" s="80" t="s">
        <v>2984</v>
      </c>
      <c r="D76" s="82" t="s">
        <v>2985</v>
      </c>
      <c r="E76" s="82" t="s">
        <v>2986</v>
      </c>
      <c r="F76" s="83" t="s">
        <v>2756</v>
      </c>
      <c r="G76" s="83" t="s">
        <v>2709</v>
      </c>
      <c r="H76" s="83">
        <v>2</v>
      </c>
      <c r="I76" s="85">
        <f>IF(COUNTIF(J76:AW76,"&lt;&gt;")=0,"",SUMPRODUCT(((Recommendations[ImplStatus]="Implemented")+(Recommendations[ImplStatus]="Compensated"))*ISNUMBER(MATCH(Recommendations[Id],J76:AW76,0)))/COUNTIF(J76:AW76,"&lt;&gt;"))</f>
        <v>0</v>
      </c>
      <c r="J76" s="87" t="s">
        <v>813</v>
      </c>
      <c r="K76" s="87" t="s">
        <v>1559</v>
      </c>
      <c r="L76" s="87" t="s">
        <v>1562</v>
      </c>
      <c r="M76" s="87" t="s">
        <v>1570</v>
      </c>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2952</v>
      </c>
      <c r="B77" s="78" t="s">
        <v>2987</v>
      </c>
      <c r="C77" s="80" t="s">
        <v>2988</v>
      </c>
      <c r="D77" s="82" t="s">
        <v>2989</v>
      </c>
      <c r="E77" s="82" t="s">
        <v>2990</v>
      </c>
      <c r="F77" s="83" t="s">
        <v>2756</v>
      </c>
      <c r="G77" s="83" t="s">
        <v>2709</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2952</v>
      </c>
      <c r="B78" s="78" t="s">
        <v>2991</v>
      </c>
      <c r="C78" s="80" t="s">
        <v>2992</v>
      </c>
      <c r="D78" s="82" t="s">
        <v>2993</v>
      </c>
      <c r="E78" s="82" t="s">
        <v>2994</v>
      </c>
      <c r="F78" s="83" t="s">
        <v>2756</v>
      </c>
      <c r="G78" s="83" t="s">
        <v>2741</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2952</v>
      </c>
      <c r="B79" s="78" t="s">
        <v>2995</v>
      </c>
      <c r="C79" s="80" t="s">
        <v>2996</v>
      </c>
      <c r="D79" s="82" t="s">
        <v>2997</v>
      </c>
      <c r="E79" s="82" t="s">
        <v>2998</v>
      </c>
      <c r="F79" s="83" t="s">
        <v>2756</v>
      </c>
      <c r="G79" s="83" t="s">
        <v>2709</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2952</v>
      </c>
      <c r="B80" s="78" t="s">
        <v>2999</v>
      </c>
      <c r="C80" s="80" t="s">
        <v>3000</v>
      </c>
      <c r="D80" s="82" t="s">
        <v>3001</v>
      </c>
      <c r="E80" s="82" t="s">
        <v>3002</v>
      </c>
      <c r="F80" s="83" t="s">
        <v>2756</v>
      </c>
      <c r="G80" s="83" t="s">
        <v>2709</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3003</v>
      </c>
      <c r="B81" s="77">
        <v>9</v>
      </c>
      <c r="C81" s="79" t="s">
        <v>28</v>
      </c>
      <c r="D81" s="81" t="s">
        <v>3004</v>
      </c>
      <c r="E81" s="81" t="s">
        <v>28</v>
      </c>
      <c r="F81" s="77" t="s">
        <v>28</v>
      </c>
      <c r="G81" s="77" t="s">
        <v>28</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3003</v>
      </c>
      <c r="B82" s="78" t="s">
        <v>3005</v>
      </c>
      <c r="C82" s="80" t="s">
        <v>3006</v>
      </c>
      <c r="D82" s="82" t="s">
        <v>3007</v>
      </c>
      <c r="E82" s="82" t="s">
        <v>3008</v>
      </c>
      <c r="F82" s="83" t="s">
        <v>2724</v>
      </c>
      <c r="G82" s="83" t="s">
        <v>2741</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3003</v>
      </c>
      <c r="B83" s="78" t="s">
        <v>3009</v>
      </c>
      <c r="C83" s="80" t="s">
        <v>3010</v>
      </c>
      <c r="D83" s="82" t="s">
        <v>3011</v>
      </c>
      <c r="E83" s="82" t="s">
        <v>3012</v>
      </c>
      <c r="F83" s="83" t="s">
        <v>2698</v>
      </c>
      <c r="G83" s="83" t="s">
        <v>2741</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3003</v>
      </c>
      <c r="B84" s="78" t="s">
        <v>3013</v>
      </c>
      <c r="C84" s="80" t="s">
        <v>3014</v>
      </c>
      <c r="D84" s="82" t="s">
        <v>3015</v>
      </c>
      <c r="E84" s="82" t="s">
        <v>3016</v>
      </c>
      <c r="F84" s="83" t="s">
        <v>2970</v>
      </c>
      <c r="G84" s="83" t="s">
        <v>2741</v>
      </c>
      <c r="H84" s="83">
        <v>2</v>
      </c>
      <c r="I84" s="85">
        <f>IF(COUNTIF(J84:AW84,"&lt;&gt;")=0,"",SUMPRODUCT(((Recommendations[ImplStatus]="Implemented")+(Recommendations[ImplStatus]="Compensated"))*ISNUMBER(MATCH(Recommendations[Id],J84:AW84,0)))/COUNTIF(J84:AW84,"&lt;&gt;"))</f>
        <v>0</v>
      </c>
      <c r="J84" s="87" t="s">
        <v>797</v>
      </c>
      <c r="K84" s="87" t="s">
        <v>804</v>
      </c>
      <c r="L84" s="87" t="s">
        <v>1260</v>
      </c>
      <c r="M84" s="87" t="s">
        <v>1268</v>
      </c>
      <c r="N84" s="87" t="s">
        <v>1650</v>
      </c>
      <c r="O84" s="87" t="s">
        <v>1907</v>
      </c>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3003</v>
      </c>
      <c r="B85" s="78" t="s">
        <v>3017</v>
      </c>
      <c r="C85" s="80" t="s">
        <v>3018</v>
      </c>
      <c r="D85" s="82" t="s">
        <v>3019</v>
      </c>
      <c r="E85" s="82" t="s">
        <v>3020</v>
      </c>
      <c r="F85" s="83" t="s">
        <v>2724</v>
      </c>
      <c r="G85" s="83" t="s">
        <v>2741</v>
      </c>
      <c r="H85" s="83">
        <v>2</v>
      </c>
      <c r="I85" s="85">
        <f>IF(COUNTIF(J85:AW85,"&lt;&gt;")=0,"",SUMPRODUCT(((Recommendations[ImplStatus]="Implemented")+(Recommendations[ImplStatus]="Compensated"))*ISNUMBER(MATCH(Recommendations[Id],J85:AW85,0)))/COUNTIF(J85:AW85,"&lt;&gt;"))</f>
        <v>0</v>
      </c>
      <c r="J85" s="87" t="s">
        <v>1907</v>
      </c>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3003</v>
      </c>
      <c r="B86" s="78" t="s">
        <v>3021</v>
      </c>
      <c r="C86" s="80" t="s">
        <v>3022</v>
      </c>
      <c r="D86" s="82" t="s">
        <v>3023</v>
      </c>
      <c r="E86" s="82" t="s">
        <v>3024</v>
      </c>
      <c r="F86" s="83" t="s">
        <v>2970</v>
      </c>
      <c r="G86" s="83" t="s">
        <v>2741</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3003</v>
      </c>
      <c r="B87" s="78" t="s">
        <v>3025</v>
      </c>
      <c r="C87" s="80" t="s">
        <v>3026</v>
      </c>
      <c r="D87" s="82" t="s">
        <v>3027</v>
      </c>
      <c r="E87" s="82" t="s">
        <v>3028</v>
      </c>
      <c r="F87" s="83" t="s">
        <v>2970</v>
      </c>
      <c r="G87" s="83" t="s">
        <v>2741</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3003</v>
      </c>
      <c r="B88" s="78" t="s">
        <v>3029</v>
      </c>
      <c r="C88" s="80" t="s">
        <v>3030</v>
      </c>
      <c r="D88" s="82" t="s">
        <v>3031</v>
      </c>
      <c r="E88" s="82" t="s">
        <v>3032</v>
      </c>
      <c r="F88" s="83" t="s">
        <v>2970</v>
      </c>
      <c r="G88" s="83" t="s">
        <v>2741</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3033</v>
      </c>
      <c r="B89" s="77">
        <v>10</v>
      </c>
      <c r="C89" s="79" t="s">
        <v>28</v>
      </c>
      <c r="D89" s="81" t="s">
        <v>3034</v>
      </c>
      <c r="E89" s="81" t="s">
        <v>28</v>
      </c>
      <c r="F89" s="77" t="s">
        <v>28</v>
      </c>
      <c r="G89" s="77" t="s">
        <v>28</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3033</v>
      </c>
      <c r="B90" s="78" t="s">
        <v>3035</v>
      </c>
      <c r="C90" s="80" t="s">
        <v>3036</v>
      </c>
      <c r="D90" s="82" t="s">
        <v>3037</v>
      </c>
      <c r="E90" s="82" t="s">
        <v>3038</v>
      </c>
      <c r="F90" s="83" t="s">
        <v>2698</v>
      </c>
      <c r="G90" s="83" t="s">
        <v>2709</v>
      </c>
      <c r="H90" s="83">
        <v>1</v>
      </c>
      <c r="I90" s="85">
        <f>IF(COUNTIF(J90:AW90,"&lt;&gt;")=0,"",SUMPRODUCT(((Recommendations[ImplStatus]="Implemented")+(Recommendations[ImplStatus]="Compensated"))*ISNUMBER(MATCH(Recommendations[Id],J90:AW90,0)))/COUNTIF(J90:AW90,"&lt;&gt;"))</f>
        <v>0</v>
      </c>
      <c r="J90" s="87" t="s">
        <v>318</v>
      </c>
      <c r="K90" s="87" t="s">
        <v>633</v>
      </c>
      <c r="L90" s="87" t="s">
        <v>641</v>
      </c>
      <c r="M90" s="87" t="s">
        <v>644</v>
      </c>
      <c r="N90" s="87" t="s">
        <v>652</v>
      </c>
      <c r="O90" s="87" t="s">
        <v>655</v>
      </c>
      <c r="P90" s="87" t="s">
        <v>662</v>
      </c>
      <c r="Q90" s="87" t="s">
        <v>669</v>
      </c>
      <c r="R90" s="87" t="s">
        <v>676</v>
      </c>
      <c r="S90" s="87" t="s">
        <v>684</v>
      </c>
      <c r="T90" s="87" t="s">
        <v>692</v>
      </c>
      <c r="U90" s="87" t="s">
        <v>695</v>
      </c>
      <c r="V90" s="87" t="s">
        <v>703</v>
      </c>
      <c r="W90" s="87" t="s">
        <v>711</v>
      </c>
      <c r="X90" s="87" t="s">
        <v>714</v>
      </c>
      <c r="Y90" s="87" t="s">
        <v>721</v>
      </c>
      <c r="Z90" s="87" t="s">
        <v>728</v>
      </c>
      <c r="AA90" s="87" t="s">
        <v>734</v>
      </c>
      <c r="AB90" s="87" t="s">
        <v>740</v>
      </c>
      <c r="AC90" s="87" t="s">
        <v>745</v>
      </c>
      <c r="AD90" s="87" t="s">
        <v>751</v>
      </c>
      <c r="AE90" s="87" t="s">
        <v>754</v>
      </c>
      <c r="AF90" s="87" t="s">
        <v>762</v>
      </c>
      <c r="AG90" s="87" t="s">
        <v>768</v>
      </c>
      <c r="AH90" s="87" t="s">
        <v>784</v>
      </c>
      <c r="AI90" s="87"/>
      <c r="AJ90" s="87"/>
      <c r="AK90" s="87"/>
      <c r="AL90" s="87"/>
      <c r="AM90" s="87"/>
      <c r="AN90" s="87"/>
      <c r="AO90" s="87"/>
      <c r="AP90" s="87"/>
      <c r="AQ90" s="87"/>
      <c r="AR90" s="87"/>
      <c r="AS90" s="87"/>
      <c r="AT90" s="87"/>
      <c r="AU90" s="87"/>
      <c r="AV90" s="87"/>
      <c r="AW90" s="98"/>
    </row>
    <row r="91" spans="1:49" ht="60" customHeight="1" x14ac:dyDescent="0.35">
      <c r="A91" s="95" t="s">
        <v>3033</v>
      </c>
      <c r="B91" s="78" t="s">
        <v>3039</v>
      </c>
      <c r="C91" s="80" t="s">
        <v>3040</v>
      </c>
      <c r="D91" s="82" t="s">
        <v>3041</v>
      </c>
      <c r="E91" s="82" t="s">
        <v>3042</v>
      </c>
      <c r="F91" s="83" t="s">
        <v>2698</v>
      </c>
      <c r="G91" s="83" t="s">
        <v>2741</v>
      </c>
      <c r="H91" s="83">
        <v>1</v>
      </c>
      <c r="I91" s="85">
        <f>IF(COUNTIF(J91:AW91,"&lt;&gt;")=0,"",SUMPRODUCT(((Recommendations[ImplStatus]="Implemented")+(Recommendations[ImplStatus]="Compensated"))*ISNUMBER(MATCH(Recommendations[Id],J91:AW91,0)))/COUNTIF(J91:AW91,"&lt;&gt;"))</f>
        <v>0</v>
      </c>
      <c r="J91" s="87" t="s">
        <v>633</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3033</v>
      </c>
      <c r="B92" s="78" t="s">
        <v>3043</v>
      </c>
      <c r="C92" s="80" t="s">
        <v>3044</v>
      </c>
      <c r="D92" s="82" t="s">
        <v>3045</v>
      </c>
      <c r="E92" s="82" t="s">
        <v>3046</v>
      </c>
      <c r="F92" s="83" t="s">
        <v>2698</v>
      </c>
      <c r="G92" s="83" t="s">
        <v>2741</v>
      </c>
      <c r="H92" s="83">
        <v>1</v>
      </c>
      <c r="I92" s="85">
        <f>IF(COUNTIF(J92:AW92,"&lt;&gt;")=0,"",SUMPRODUCT(((Recommendations[ImplStatus]="Implemented")+(Recommendations[ImplStatus]="Compensated"))*ISNUMBER(MATCH(Recommendations[Id],J92:AW92,0)))/COUNTIF(J92:AW92,"&lt;&gt;"))</f>
        <v>0</v>
      </c>
      <c r="J92" s="87" t="s">
        <v>967</v>
      </c>
      <c r="K92" s="87" t="s">
        <v>975</v>
      </c>
      <c r="L92" s="87" t="s">
        <v>983</v>
      </c>
      <c r="M92" s="87" t="s">
        <v>1190</v>
      </c>
      <c r="N92" s="87" t="s">
        <v>1199</v>
      </c>
      <c r="O92" s="87" t="s">
        <v>1208</v>
      </c>
      <c r="P92" s="87" t="s">
        <v>1297</v>
      </c>
      <c r="Q92" s="87" t="s">
        <v>1300</v>
      </c>
      <c r="R92" s="87" t="s">
        <v>1303</v>
      </c>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3033</v>
      </c>
      <c r="B93" s="78" t="s">
        <v>3047</v>
      </c>
      <c r="C93" s="80" t="s">
        <v>3048</v>
      </c>
      <c r="D93" s="82" t="s">
        <v>3049</v>
      </c>
      <c r="E93" s="82" t="s">
        <v>3050</v>
      </c>
      <c r="F93" s="83" t="s">
        <v>2698</v>
      </c>
      <c r="G93" s="83" t="s">
        <v>2709</v>
      </c>
      <c r="H93" s="83">
        <v>2</v>
      </c>
      <c r="I93" s="85">
        <f>IF(COUNTIF(J93:AW93,"&lt;&gt;")=0,"",SUMPRODUCT(((Recommendations[ImplStatus]="Implemented")+(Recommendations[ImplStatus]="Compensated"))*ISNUMBER(MATCH(Recommendations[Id],J93:AW93,0)))/COUNTIF(J93:AW93,"&lt;&gt;"))</f>
        <v>0</v>
      </c>
      <c r="J93" s="87" t="s">
        <v>768</v>
      </c>
      <c r="K93" s="87" t="s">
        <v>776</v>
      </c>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3033</v>
      </c>
      <c r="B94" s="78" t="s">
        <v>3051</v>
      </c>
      <c r="C94" s="80" t="s">
        <v>3052</v>
      </c>
      <c r="D94" s="82" t="s">
        <v>3053</v>
      </c>
      <c r="E94" s="82" t="s">
        <v>3054</v>
      </c>
      <c r="F94" s="83" t="s">
        <v>2698</v>
      </c>
      <c r="G94" s="83" t="s">
        <v>2741</v>
      </c>
      <c r="H94" s="83">
        <v>2</v>
      </c>
      <c r="I94" s="85">
        <f>IF(COUNTIF(J94:AW94,"&lt;&gt;")=0,"",SUMPRODUCT(((Recommendations[ImplStatus]="Implemented")+(Recommendations[ImplStatus]="Compensated"))*ISNUMBER(MATCH(Recommendations[Id],J94:AW94,0)))/COUNTIF(J94:AW94,"&lt;&gt;"))</f>
        <v>0</v>
      </c>
      <c r="J94" s="87" t="s">
        <v>46</v>
      </c>
      <c r="K94" s="87" t="s">
        <v>55</v>
      </c>
      <c r="L94" s="87" t="s">
        <v>61</v>
      </c>
      <c r="M94" s="87" t="s">
        <v>68</v>
      </c>
      <c r="N94" s="87" t="s">
        <v>75</v>
      </c>
      <c r="O94" s="87" t="s">
        <v>81</v>
      </c>
      <c r="P94" s="87" t="s">
        <v>88</v>
      </c>
      <c r="Q94" s="87" t="s">
        <v>95</v>
      </c>
      <c r="R94" s="87" t="s">
        <v>101</v>
      </c>
      <c r="S94" s="87" t="s">
        <v>107</v>
      </c>
      <c r="T94" s="87" t="s">
        <v>114</v>
      </c>
      <c r="U94" s="87" t="s">
        <v>121</v>
      </c>
      <c r="V94" s="87" t="s">
        <v>127</v>
      </c>
      <c r="W94" s="87" t="s">
        <v>134</v>
      </c>
      <c r="X94" s="87" t="s">
        <v>140</v>
      </c>
      <c r="Y94" s="87" t="s">
        <v>147</v>
      </c>
      <c r="Z94" s="87" t="s">
        <v>183</v>
      </c>
      <c r="AA94" s="87" t="s">
        <v>191</v>
      </c>
      <c r="AB94" s="87" t="s">
        <v>199</v>
      </c>
      <c r="AC94" s="87" t="s">
        <v>206</v>
      </c>
      <c r="AD94" s="87" t="s">
        <v>214</v>
      </c>
      <c r="AE94" s="87" t="s">
        <v>217</v>
      </c>
      <c r="AF94" s="87" t="s">
        <v>225</v>
      </c>
      <c r="AG94" s="87" t="s">
        <v>238</v>
      </c>
      <c r="AH94" s="87" t="s">
        <v>241</v>
      </c>
      <c r="AI94" s="87" t="s">
        <v>244</v>
      </c>
      <c r="AJ94" s="87" t="s">
        <v>318</v>
      </c>
      <c r="AK94" s="87" t="s">
        <v>389</v>
      </c>
      <c r="AL94" s="87" t="s">
        <v>392</v>
      </c>
      <c r="AM94" s="87" t="s">
        <v>400</v>
      </c>
      <c r="AN94" s="87" t="s">
        <v>407</v>
      </c>
      <c r="AO94" s="87" t="s">
        <v>1064</v>
      </c>
      <c r="AP94" s="87" t="s">
        <v>1134</v>
      </c>
      <c r="AQ94" s="87" t="s">
        <v>1260</v>
      </c>
      <c r="AR94" s="87" t="s">
        <v>1268</v>
      </c>
      <c r="AS94" s="87" t="s">
        <v>1610</v>
      </c>
      <c r="AT94" s="87" t="s">
        <v>1643</v>
      </c>
      <c r="AU94" s="87" t="s">
        <v>1691</v>
      </c>
      <c r="AV94" s="87" t="s">
        <v>1699</v>
      </c>
      <c r="AW94" s="98" t="s">
        <v>1893</v>
      </c>
    </row>
    <row r="95" spans="1:49" ht="60" customHeight="1" x14ac:dyDescent="0.35">
      <c r="A95" s="95" t="s">
        <v>3033</v>
      </c>
      <c r="B95" s="78" t="s">
        <v>3055</v>
      </c>
      <c r="C95" s="80" t="s">
        <v>3056</v>
      </c>
      <c r="D95" s="82" t="s">
        <v>3057</v>
      </c>
      <c r="E95" s="82" t="s">
        <v>3058</v>
      </c>
      <c r="F95" s="83" t="s">
        <v>2698</v>
      </c>
      <c r="G95" s="83" t="s">
        <v>2741</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3033</v>
      </c>
      <c r="B96" s="78" t="s">
        <v>3059</v>
      </c>
      <c r="C96" s="80" t="s">
        <v>3060</v>
      </c>
      <c r="D96" s="82" t="s">
        <v>3061</v>
      </c>
      <c r="E96" s="82" t="s">
        <v>3062</v>
      </c>
      <c r="F96" s="83" t="s">
        <v>2698</v>
      </c>
      <c r="G96" s="83" t="s">
        <v>2709</v>
      </c>
      <c r="H96" s="83">
        <v>2</v>
      </c>
      <c r="I96" s="85">
        <f>IF(COUNTIF(J96:AW96,"&lt;&gt;")=0,"",SUMPRODUCT(((Recommendations[ImplStatus]="Implemented")+(Recommendations[ImplStatus]="Compensated"))*ISNUMBER(MATCH(Recommendations[Id],J96:AW96,0)))/COUNTIF(J96:AW96,"&lt;&gt;"))</f>
        <v>0</v>
      </c>
      <c r="J96" s="87" t="s">
        <v>46</v>
      </c>
      <c r="K96" s="87" t="s">
        <v>55</v>
      </c>
      <c r="L96" s="87" t="s">
        <v>61</v>
      </c>
      <c r="M96" s="87" t="s">
        <v>68</v>
      </c>
      <c r="N96" s="87" t="s">
        <v>75</v>
      </c>
      <c r="O96" s="87" t="s">
        <v>81</v>
      </c>
      <c r="P96" s="87" t="s">
        <v>88</v>
      </c>
      <c r="Q96" s="87" t="s">
        <v>95</v>
      </c>
      <c r="R96" s="87" t="s">
        <v>101</v>
      </c>
      <c r="S96" s="87" t="s">
        <v>107</v>
      </c>
      <c r="T96" s="87" t="s">
        <v>114</v>
      </c>
      <c r="U96" s="87" t="s">
        <v>121</v>
      </c>
      <c r="V96" s="87" t="s">
        <v>127</v>
      </c>
      <c r="W96" s="87" t="s">
        <v>134</v>
      </c>
      <c r="X96" s="87" t="s">
        <v>140</v>
      </c>
      <c r="Y96" s="87" t="s">
        <v>147</v>
      </c>
      <c r="Z96" s="87" t="s">
        <v>238</v>
      </c>
      <c r="AA96" s="87" t="s">
        <v>241</v>
      </c>
      <c r="AB96" s="87" t="s">
        <v>244</v>
      </c>
      <c r="AC96" s="87" t="s">
        <v>734</v>
      </c>
      <c r="AD96" s="87" t="s">
        <v>745</v>
      </c>
      <c r="AE96" s="87" t="s">
        <v>1578</v>
      </c>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3063</v>
      </c>
      <c r="B97" s="77">
        <v>11</v>
      </c>
      <c r="C97" s="79" t="s">
        <v>28</v>
      </c>
      <c r="D97" s="81" t="s">
        <v>3064</v>
      </c>
      <c r="E97" s="81" t="s">
        <v>28</v>
      </c>
      <c r="F97" s="77" t="s">
        <v>28</v>
      </c>
      <c r="G97" s="77" t="s">
        <v>28</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3063</v>
      </c>
      <c r="B98" s="78" t="s">
        <v>3065</v>
      </c>
      <c r="C98" s="80" t="s">
        <v>3066</v>
      </c>
      <c r="D98" s="82" t="s">
        <v>3067</v>
      </c>
      <c r="E98" s="82" t="s">
        <v>3068</v>
      </c>
      <c r="F98" s="83" t="s">
        <v>2816</v>
      </c>
      <c r="G98" s="83" t="s">
        <v>2757</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3063</v>
      </c>
      <c r="B99" s="78" t="s">
        <v>3069</v>
      </c>
      <c r="C99" s="80" t="s">
        <v>3070</v>
      </c>
      <c r="D99" s="82" t="s">
        <v>3071</v>
      </c>
      <c r="E99" s="82" t="s">
        <v>3072</v>
      </c>
      <c r="F99" s="83" t="s">
        <v>2756</v>
      </c>
      <c r="G99" s="83" t="s">
        <v>3073</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3063</v>
      </c>
      <c r="B100" s="78" t="s">
        <v>3074</v>
      </c>
      <c r="C100" s="80" t="s">
        <v>3075</v>
      </c>
      <c r="D100" s="82" t="s">
        <v>3076</v>
      </c>
      <c r="E100" s="82" t="s">
        <v>3077</v>
      </c>
      <c r="F100" s="83" t="s">
        <v>2756</v>
      </c>
      <c r="G100" s="83" t="s">
        <v>2741</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3063</v>
      </c>
      <c r="B101" s="78" t="s">
        <v>3078</v>
      </c>
      <c r="C101" s="80" t="s">
        <v>3079</v>
      </c>
      <c r="D101" s="82" t="s">
        <v>3080</v>
      </c>
      <c r="E101" s="82" t="s">
        <v>3081</v>
      </c>
      <c r="F101" s="83" t="s">
        <v>2756</v>
      </c>
      <c r="G101" s="83" t="s">
        <v>3073</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3063</v>
      </c>
      <c r="B102" s="78" t="s">
        <v>3082</v>
      </c>
      <c r="C102" s="80" t="s">
        <v>3083</v>
      </c>
      <c r="D102" s="82" t="s">
        <v>3084</v>
      </c>
      <c r="E102" s="82" t="s">
        <v>3085</v>
      </c>
      <c r="F102" s="83" t="s">
        <v>2756</v>
      </c>
      <c r="G102" s="83" t="s">
        <v>3073</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3086</v>
      </c>
      <c r="B103" s="77">
        <v>12</v>
      </c>
      <c r="C103" s="79" t="s">
        <v>28</v>
      </c>
      <c r="D103" s="81" t="s">
        <v>3087</v>
      </c>
      <c r="E103" s="81" t="s">
        <v>28</v>
      </c>
      <c r="F103" s="77" t="s">
        <v>28</v>
      </c>
      <c r="G103" s="77" t="s">
        <v>28</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3086</v>
      </c>
      <c r="B104" s="78" t="s">
        <v>3088</v>
      </c>
      <c r="C104" s="80" t="s">
        <v>3089</v>
      </c>
      <c r="D104" s="82" t="s">
        <v>3090</v>
      </c>
      <c r="E104" s="82" t="s">
        <v>3091</v>
      </c>
      <c r="F104" s="83" t="s">
        <v>2970</v>
      </c>
      <c r="G104" s="83" t="s">
        <v>2741</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3086</v>
      </c>
      <c r="B105" s="78" t="s">
        <v>3092</v>
      </c>
      <c r="C105" s="80" t="s">
        <v>3093</v>
      </c>
      <c r="D105" s="82" t="s">
        <v>3094</v>
      </c>
      <c r="E105" s="82" t="s">
        <v>3095</v>
      </c>
      <c r="F105" s="83" t="s">
        <v>2970</v>
      </c>
      <c r="G105" s="83" t="s">
        <v>2741</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3086</v>
      </c>
      <c r="B106" s="78" t="s">
        <v>3096</v>
      </c>
      <c r="C106" s="80" t="s">
        <v>3097</v>
      </c>
      <c r="D106" s="82" t="s">
        <v>3098</v>
      </c>
      <c r="E106" s="82" t="s">
        <v>3099</v>
      </c>
      <c r="F106" s="83" t="s">
        <v>2970</v>
      </c>
      <c r="G106" s="83" t="s">
        <v>2741</v>
      </c>
      <c r="H106" s="83">
        <v>2</v>
      </c>
      <c r="I106" s="85">
        <f>IF(COUNTIF(J106:AW106,"&lt;&gt;")=0,"",SUMPRODUCT(((Recommendations[ImplStatus]="Implemented")+(Recommendations[ImplStatus]="Compensated"))*ISNUMBER(MATCH(Recommendations[Id],J106:AW106,0)))/COUNTIF(J106:AW106,"&lt;&gt;"))</f>
        <v>0</v>
      </c>
      <c r="J106" s="87" t="s">
        <v>1000</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3086</v>
      </c>
      <c r="B107" s="78" t="s">
        <v>3100</v>
      </c>
      <c r="C107" s="80" t="s">
        <v>3101</v>
      </c>
      <c r="D107" s="82" t="s">
        <v>3102</v>
      </c>
      <c r="E107" s="82" t="s">
        <v>3103</v>
      </c>
      <c r="F107" s="83" t="s">
        <v>2816</v>
      </c>
      <c r="G107" s="83" t="s">
        <v>2757</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3086</v>
      </c>
      <c r="B108" s="78" t="s">
        <v>3104</v>
      </c>
      <c r="C108" s="80" t="s">
        <v>3105</v>
      </c>
      <c r="D108" s="82" t="s">
        <v>3106</v>
      </c>
      <c r="E108" s="82" t="s">
        <v>3107</v>
      </c>
      <c r="F108" s="83" t="s">
        <v>2970</v>
      </c>
      <c r="G108" s="83" t="s">
        <v>2741</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3086</v>
      </c>
      <c r="B109" s="78" t="s">
        <v>3108</v>
      </c>
      <c r="C109" s="80" t="s">
        <v>3109</v>
      </c>
      <c r="D109" s="82" t="s">
        <v>3110</v>
      </c>
      <c r="E109" s="82" t="s">
        <v>3111</v>
      </c>
      <c r="F109" s="83" t="s">
        <v>2970</v>
      </c>
      <c r="G109" s="83" t="s">
        <v>2741</v>
      </c>
      <c r="H109" s="83">
        <v>2</v>
      </c>
      <c r="I109" s="85">
        <f>IF(COUNTIF(J109:AW109,"&lt;&gt;")=0,"",SUMPRODUCT(((Recommendations[ImplStatus]="Implemented")+(Recommendations[ImplStatus]="Compensated"))*ISNUMBER(MATCH(Recommendations[Id],J109:AW109,0)))/COUNTIF(J109:AW109,"&lt;&gt;"))</f>
        <v>0</v>
      </c>
      <c r="J109" s="87" t="s">
        <v>1008</v>
      </c>
      <c r="K109" s="87" t="s">
        <v>1016</v>
      </c>
      <c r="L109" s="87" t="s">
        <v>1877</v>
      </c>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3086</v>
      </c>
      <c r="B110" s="78" t="s">
        <v>3112</v>
      </c>
      <c r="C110" s="80" t="s">
        <v>3113</v>
      </c>
      <c r="D110" s="82" t="s">
        <v>3114</v>
      </c>
      <c r="E110" s="82" t="s">
        <v>3115</v>
      </c>
      <c r="F110" s="83" t="s">
        <v>2698</v>
      </c>
      <c r="G110" s="83" t="s">
        <v>2741</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3086</v>
      </c>
      <c r="B111" s="78" t="s">
        <v>3116</v>
      </c>
      <c r="C111" s="80" t="s">
        <v>3117</v>
      </c>
      <c r="D111" s="82" t="s">
        <v>3118</v>
      </c>
      <c r="E111" s="82" t="s">
        <v>3119</v>
      </c>
      <c r="F111" s="83" t="s">
        <v>2698</v>
      </c>
      <c r="G111" s="83" t="s">
        <v>2741</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3120</v>
      </c>
      <c r="B112" s="77">
        <v>13</v>
      </c>
      <c r="C112" s="79" t="s">
        <v>28</v>
      </c>
      <c r="D112" s="81" t="s">
        <v>3121</v>
      </c>
      <c r="E112" s="81" t="s">
        <v>28</v>
      </c>
      <c r="F112" s="77" t="s">
        <v>28</v>
      </c>
      <c r="G112" s="77" t="s">
        <v>28</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3120</v>
      </c>
      <c r="B113" s="78" t="s">
        <v>3122</v>
      </c>
      <c r="C113" s="80" t="s">
        <v>3123</v>
      </c>
      <c r="D113" s="82" t="s">
        <v>3124</v>
      </c>
      <c r="E113" s="82" t="s">
        <v>3125</v>
      </c>
      <c r="F113" s="83" t="s">
        <v>2970</v>
      </c>
      <c r="G113" s="83" t="s">
        <v>2709</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3120</v>
      </c>
      <c r="B114" s="78" t="s">
        <v>3126</v>
      </c>
      <c r="C114" s="80" t="s">
        <v>3127</v>
      </c>
      <c r="D114" s="82" t="s">
        <v>3128</v>
      </c>
      <c r="E114" s="82" t="s">
        <v>3129</v>
      </c>
      <c r="F114" s="83" t="s">
        <v>2698</v>
      </c>
      <c r="G114" s="83" t="s">
        <v>2709</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3120</v>
      </c>
      <c r="B115" s="78" t="s">
        <v>3130</v>
      </c>
      <c r="C115" s="80" t="s">
        <v>3131</v>
      </c>
      <c r="D115" s="82" t="s">
        <v>3132</v>
      </c>
      <c r="E115" s="82" t="s">
        <v>3133</v>
      </c>
      <c r="F115" s="83" t="s">
        <v>2970</v>
      </c>
      <c r="G115" s="83" t="s">
        <v>2709</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3120</v>
      </c>
      <c r="B116" s="78" t="s">
        <v>3134</v>
      </c>
      <c r="C116" s="80" t="s">
        <v>3135</v>
      </c>
      <c r="D116" s="82" t="s">
        <v>3136</v>
      </c>
      <c r="E116" s="82" t="s">
        <v>3137</v>
      </c>
      <c r="F116" s="83" t="s">
        <v>2970</v>
      </c>
      <c r="G116" s="83" t="s">
        <v>2741</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3120</v>
      </c>
      <c r="B117" s="78" t="s">
        <v>3138</v>
      </c>
      <c r="C117" s="80" t="s">
        <v>3139</v>
      </c>
      <c r="D117" s="82" t="s">
        <v>3140</v>
      </c>
      <c r="E117" s="82" t="s">
        <v>3141</v>
      </c>
      <c r="F117" s="83" t="s">
        <v>2698</v>
      </c>
      <c r="G117" s="83" t="s">
        <v>2741</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3120</v>
      </c>
      <c r="B118" s="78" t="s">
        <v>3142</v>
      </c>
      <c r="C118" s="80" t="s">
        <v>3143</v>
      </c>
      <c r="D118" s="82" t="s">
        <v>3144</v>
      </c>
      <c r="E118" s="82" t="s">
        <v>3145</v>
      </c>
      <c r="F118" s="83" t="s">
        <v>2970</v>
      </c>
      <c r="G118" s="83" t="s">
        <v>2709</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3120</v>
      </c>
      <c r="B119" s="78" t="s">
        <v>3146</v>
      </c>
      <c r="C119" s="80" t="s">
        <v>3147</v>
      </c>
      <c r="D119" s="82" t="s">
        <v>3148</v>
      </c>
      <c r="E119" s="82" t="s">
        <v>3149</v>
      </c>
      <c r="F119" s="83" t="s">
        <v>2698</v>
      </c>
      <c r="G119" s="83" t="s">
        <v>2741</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3120</v>
      </c>
      <c r="B120" s="78" t="s">
        <v>3150</v>
      </c>
      <c r="C120" s="80" t="s">
        <v>3151</v>
      </c>
      <c r="D120" s="82" t="s">
        <v>3152</v>
      </c>
      <c r="E120" s="82" t="s">
        <v>3153</v>
      </c>
      <c r="F120" s="83" t="s">
        <v>2970</v>
      </c>
      <c r="G120" s="83" t="s">
        <v>2741</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3120</v>
      </c>
      <c r="B121" s="78" t="s">
        <v>3154</v>
      </c>
      <c r="C121" s="80" t="s">
        <v>3155</v>
      </c>
      <c r="D121" s="82" t="s">
        <v>3156</v>
      </c>
      <c r="E121" s="82" t="s">
        <v>3157</v>
      </c>
      <c r="F121" s="83" t="s">
        <v>2970</v>
      </c>
      <c r="G121" s="83" t="s">
        <v>2741</v>
      </c>
      <c r="H121" s="83">
        <v>3</v>
      </c>
      <c r="I121" s="85">
        <f>IF(COUNTIF(J121:AW121,"&lt;&gt;")=0,"",SUMPRODUCT(((Recommendations[ImplStatus]="Implemented")+(Recommendations[ImplStatus]="Compensated"))*ISNUMBER(MATCH(Recommendations[Id],J121:AW121,0)))/COUNTIF(J121:AW121,"&lt;&gt;"))</f>
        <v>0</v>
      </c>
      <c r="J121" s="87" t="s">
        <v>1187</v>
      </c>
      <c r="K121" s="87" t="s">
        <v>1196</v>
      </c>
      <c r="L121" s="87" t="s">
        <v>1205</v>
      </c>
      <c r="M121" s="87" t="s">
        <v>1214</v>
      </c>
      <c r="N121" s="87" t="s">
        <v>1220</v>
      </c>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3120</v>
      </c>
      <c r="B122" s="78" t="s">
        <v>3158</v>
      </c>
      <c r="C122" s="80" t="s">
        <v>3159</v>
      </c>
      <c r="D122" s="82" t="s">
        <v>3160</v>
      </c>
      <c r="E122" s="82" t="s">
        <v>3161</v>
      </c>
      <c r="F122" s="83" t="s">
        <v>2970</v>
      </c>
      <c r="G122" s="83" t="s">
        <v>2741</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3120</v>
      </c>
      <c r="B123" s="78" t="s">
        <v>3162</v>
      </c>
      <c r="C123" s="80" t="s">
        <v>3163</v>
      </c>
      <c r="D123" s="82" t="s">
        <v>3164</v>
      </c>
      <c r="E123" s="82" t="s">
        <v>3165</v>
      </c>
      <c r="F123" s="83" t="s">
        <v>2970</v>
      </c>
      <c r="G123" s="83" t="s">
        <v>2709</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3166</v>
      </c>
      <c r="B124" s="77">
        <v>14</v>
      </c>
      <c r="C124" s="79" t="s">
        <v>28</v>
      </c>
      <c r="D124" s="81" t="s">
        <v>3167</v>
      </c>
      <c r="E124" s="81" t="s">
        <v>28</v>
      </c>
      <c r="F124" s="77" t="s">
        <v>28</v>
      </c>
      <c r="G124" s="77" t="s">
        <v>28</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3166</v>
      </c>
      <c r="B125" s="78" t="s">
        <v>3168</v>
      </c>
      <c r="C125" s="80" t="s">
        <v>3169</v>
      </c>
      <c r="D125" s="82" t="s">
        <v>3170</v>
      </c>
      <c r="E125" s="82" t="s">
        <v>3171</v>
      </c>
      <c r="F125" s="83" t="s">
        <v>2816</v>
      </c>
      <c r="G125" s="83" t="s">
        <v>2757</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3166</v>
      </c>
      <c r="B126" s="78" t="s">
        <v>3172</v>
      </c>
      <c r="C126" s="80" t="s">
        <v>3173</v>
      </c>
      <c r="D126" s="82" t="s">
        <v>3174</v>
      </c>
      <c r="E126" s="82" t="s">
        <v>3175</v>
      </c>
      <c r="F126" s="83" t="s">
        <v>2841</v>
      </c>
      <c r="G126" s="83" t="s">
        <v>2741</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3166</v>
      </c>
      <c r="B127" s="78" t="s">
        <v>3176</v>
      </c>
      <c r="C127" s="80" t="s">
        <v>3177</v>
      </c>
      <c r="D127" s="82" t="s">
        <v>3178</v>
      </c>
      <c r="E127" s="82" t="s">
        <v>3179</v>
      </c>
      <c r="F127" s="83" t="s">
        <v>2841</v>
      </c>
      <c r="G127" s="83" t="s">
        <v>2741</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3166</v>
      </c>
      <c r="B128" s="78" t="s">
        <v>3180</v>
      </c>
      <c r="C128" s="80" t="s">
        <v>3181</v>
      </c>
      <c r="D128" s="82" t="s">
        <v>3182</v>
      </c>
      <c r="E128" s="82" t="s">
        <v>3183</v>
      </c>
      <c r="F128" s="83" t="s">
        <v>2841</v>
      </c>
      <c r="G128" s="83" t="s">
        <v>2741</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3166</v>
      </c>
      <c r="B129" s="78" t="s">
        <v>3184</v>
      </c>
      <c r="C129" s="80" t="s">
        <v>3185</v>
      </c>
      <c r="D129" s="82" t="s">
        <v>3186</v>
      </c>
      <c r="E129" s="82" t="s">
        <v>3187</v>
      </c>
      <c r="F129" s="83" t="s">
        <v>2841</v>
      </c>
      <c r="G129" s="83" t="s">
        <v>2741</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3166</v>
      </c>
      <c r="B130" s="78" t="s">
        <v>3188</v>
      </c>
      <c r="C130" s="80" t="s">
        <v>3189</v>
      </c>
      <c r="D130" s="82" t="s">
        <v>3190</v>
      </c>
      <c r="E130" s="82" t="s">
        <v>3191</v>
      </c>
      <c r="F130" s="83" t="s">
        <v>2841</v>
      </c>
      <c r="G130" s="83" t="s">
        <v>2741</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3166</v>
      </c>
      <c r="B131" s="78" t="s">
        <v>3192</v>
      </c>
      <c r="C131" s="80" t="s">
        <v>3193</v>
      </c>
      <c r="D131" s="82" t="s">
        <v>3194</v>
      </c>
      <c r="E131" s="82" t="s">
        <v>3195</v>
      </c>
      <c r="F131" s="83" t="s">
        <v>2841</v>
      </c>
      <c r="G131" s="83" t="s">
        <v>2741</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3166</v>
      </c>
      <c r="B132" s="78" t="s">
        <v>3196</v>
      </c>
      <c r="C132" s="80" t="s">
        <v>3197</v>
      </c>
      <c r="D132" s="82" t="s">
        <v>3198</v>
      </c>
      <c r="E132" s="82" t="s">
        <v>3199</v>
      </c>
      <c r="F132" s="83" t="s">
        <v>2841</v>
      </c>
      <c r="G132" s="83" t="s">
        <v>2741</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3166</v>
      </c>
      <c r="B133" s="78" t="s">
        <v>3200</v>
      </c>
      <c r="C133" s="80" t="s">
        <v>3201</v>
      </c>
      <c r="D133" s="82" t="s">
        <v>3202</v>
      </c>
      <c r="E133" s="82" t="s">
        <v>3203</v>
      </c>
      <c r="F133" s="83" t="s">
        <v>2841</v>
      </c>
      <c r="G133" s="83" t="s">
        <v>2741</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3204</v>
      </c>
      <c r="B134" s="77">
        <v>15</v>
      </c>
      <c r="C134" s="79" t="s">
        <v>28</v>
      </c>
      <c r="D134" s="81" t="s">
        <v>3205</v>
      </c>
      <c r="E134" s="81" t="s">
        <v>28</v>
      </c>
      <c r="F134" s="77" t="s">
        <v>28</v>
      </c>
      <c r="G134" s="77" t="s">
        <v>28</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3204</v>
      </c>
      <c r="B135" s="78" t="s">
        <v>3206</v>
      </c>
      <c r="C135" s="80" t="s">
        <v>3207</v>
      </c>
      <c r="D135" s="82" t="s">
        <v>3208</v>
      </c>
      <c r="E135" s="82" t="s">
        <v>3209</v>
      </c>
      <c r="F135" s="83" t="s">
        <v>2841</v>
      </c>
      <c r="G135" s="83" t="s">
        <v>2699</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3204</v>
      </c>
      <c r="B136" s="78" t="s">
        <v>3210</v>
      </c>
      <c r="C136" s="80" t="s">
        <v>3211</v>
      </c>
      <c r="D136" s="82" t="s">
        <v>3212</v>
      </c>
      <c r="E136" s="82" t="s">
        <v>3213</v>
      </c>
      <c r="F136" s="83" t="s">
        <v>2816</v>
      </c>
      <c r="G136" s="83" t="s">
        <v>2757</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3204</v>
      </c>
      <c r="B137" s="78" t="s">
        <v>3214</v>
      </c>
      <c r="C137" s="80" t="s">
        <v>3215</v>
      </c>
      <c r="D137" s="82" t="s">
        <v>3216</v>
      </c>
      <c r="E137" s="82" t="s">
        <v>3217</v>
      </c>
      <c r="F137" s="83" t="s">
        <v>2841</v>
      </c>
      <c r="G137" s="83" t="s">
        <v>2757</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3204</v>
      </c>
      <c r="B138" s="78" t="s">
        <v>3218</v>
      </c>
      <c r="C138" s="80" t="s">
        <v>3219</v>
      </c>
      <c r="D138" s="82" t="s">
        <v>3220</v>
      </c>
      <c r="E138" s="82" t="s">
        <v>3221</v>
      </c>
      <c r="F138" s="83" t="s">
        <v>2816</v>
      </c>
      <c r="G138" s="83" t="s">
        <v>2757</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3204</v>
      </c>
      <c r="B139" s="78" t="s">
        <v>3222</v>
      </c>
      <c r="C139" s="80" t="s">
        <v>3223</v>
      </c>
      <c r="D139" s="82" t="s">
        <v>3224</v>
      </c>
      <c r="E139" s="82" t="s">
        <v>3225</v>
      </c>
      <c r="F139" s="83" t="s">
        <v>2841</v>
      </c>
      <c r="G139" s="83" t="s">
        <v>2757</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3204</v>
      </c>
      <c r="B140" s="78" t="s">
        <v>3226</v>
      </c>
      <c r="C140" s="80" t="s">
        <v>3227</v>
      </c>
      <c r="D140" s="82" t="s">
        <v>3228</v>
      </c>
      <c r="E140" s="82" t="s">
        <v>3229</v>
      </c>
      <c r="F140" s="83" t="s">
        <v>2756</v>
      </c>
      <c r="G140" s="83" t="s">
        <v>2757</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3204</v>
      </c>
      <c r="B141" s="78" t="s">
        <v>3230</v>
      </c>
      <c r="C141" s="80" t="s">
        <v>3231</v>
      </c>
      <c r="D141" s="82" t="s">
        <v>3232</v>
      </c>
      <c r="E141" s="82" t="s">
        <v>3233</v>
      </c>
      <c r="F141" s="83" t="s">
        <v>2756</v>
      </c>
      <c r="G141" s="83" t="s">
        <v>2741</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3234</v>
      </c>
      <c r="B142" s="77">
        <v>16</v>
      </c>
      <c r="C142" s="79" t="s">
        <v>28</v>
      </c>
      <c r="D142" s="81" t="s">
        <v>3235</v>
      </c>
      <c r="E142" s="81" t="s">
        <v>28</v>
      </c>
      <c r="F142" s="77" t="s">
        <v>28</v>
      </c>
      <c r="G142" s="77" t="s">
        <v>28</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3234</v>
      </c>
      <c r="B143" s="78" t="s">
        <v>3236</v>
      </c>
      <c r="C143" s="80" t="s">
        <v>3237</v>
      </c>
      <c r="D143" s="82" t="s">
        <v>3238</v>
      </c>
      <c r="E143" s="82" t="s">
        <v>3239</v>
      </c>
      <c r="F143" s="83" t="s">
        <v>2816</v>
      </c>
      <c r="G143" s="83" t="s">
        <v>2757</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3234</v>
      </c>
      <c r="B144" s="78" t="s">
        <v>3240</v>
      </c>
      <c r="C144" s="80" t="s">
        <v>3241</v>
      </c>
      <c r="D144" s="82" t="s">
        <v>3242</v>
      </c>
      <c r="E144" s="82" t="s">
        <v>3243</v>
      </c>
      <c r="F144" s="83" t="s">
        <v>2816</v>
      </c>
      <c r="G144" s="83" t="s">
        <v>2757</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3234</v>
      </c>
      <c r="B145" s="78" t="s">
        <v>3244</v>
      </c>
      <c r="C145" s="80" t="s">
        <v>3245</v>
      </c>
      <c r="D145" s="82" t="s">
        <v>3246</v>
      </c>
      <c r="E145" s="82" t="s">
        <v>3247</v>
      </c>
      <c r="F145" s="83" t="s">
        <v>2724</v>
      </c>
      <c r="G145" s="83" t="s">
        <v>2709</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3234</v>
      </c>
      <c r="B146" s="78" t="s">
        <v>3248</v>
      </c>
      <c r="C146" s="80" t="s">
        <v>3249</v>
      </c>
      <c r="D146" s="82" t="s">
        <v>3250</v>
      </c>
      <c r="E146" s="82" t="s">
        <v>3251</v>
      </c>
      <c r="F146" s="83" t="s">
        <v>2724</v>
      </c>
      <c r="G146" s="83" t="s">
        <v>2699</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3234</v>
      </c>
      <c r="B147" s="78" t="s">
        <v>3252</v>
      </c>
      <c r="C147" s="80" t="s">
        <v>3253</v>
      </c>
      <c r="D147" s="82" t="s">
        <v>3254</v>
      </c>
      <c r="E147" s="82" t="s">
        <v>3255</v>
      </c>
      <c r="F147" s="83" t="s">
        <v>2724</v>
      </c>
      <c r="G147" s="83" t="s">
        <v>2741</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3234</v>
      </c>
      <c r="B148" s="78" t="s">
        <v>3256</v>
      </c>
      <c r="C148" s="80" t="s">
        <v>3257</v>
      </c>
      <c r="D148" s="82" t="s">
        <v>3258</v>
      </c>
      <c r="E148" s="82" t="s">
        <v>3259</v>
      </c>
      <c r="F148" s="83" t="s">
        <v>2816</v>
      </c>
      <c r="G148" s="83" t="s">
        <v>2757</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3234</v>
      </c>
      <c r="B149" s="78" t="s">
        <v>3260</v>
      </c>
      <c r="C149" s="80" t="s">
        <v>3261</v>
      </c>
      <c r="D149" s="82" t="s">
        <v>3262</v>
      </c>
      <c r="E149" s="82" t="s">
        <v>3263</v>
      </c>
      <c r="F149" s="83" t="s">
        <v>2724</v>
      </c>
      <c r="G149" s="83" t="s">
        <v>2741</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3234</v>
      </c>
      <c r="B150" s="78" t="s">
        <v>3264</v>
      </c>
      <c r="C150" s="80" t="s">
        <v>3265</v>
      </c>
      <c r="D150" s="82" t="s">
        <v>3266</v>
      </c>
      <c r="E150" s="82" t="s">
        <v>3267</v>
      </c>
      <c r="F150" s="83" t="s">
        <v>2970</v>
      </c>
      <c r="G150" s="83" t="s">
        <v>2741</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3234</v>
      </c>
      <c r="B151" s="78" t="s">
        <v>3268</v>
      </c>
      <c r="C151" s="80" t="s">
        <v>3269</v>
      </c>
      <c r="D151" s="82" t="s">
        <v>3270</v>
      </c>
      <c r="E151" s="82" t="s">
        <v>3271</v>
      </c>
      <c r="F151" s="83" t="s">
        <v>2841</v>
      </c>
      <c r="G151" s="83" t="s">
        <v>2741</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3234</v>
      </c>
      <c r="B152" s="78" t="s">
        <v>3272</v>
      </c>
      <c r="C152" s="80" t="s">
        <v>3273</v>
      </c>
      <c r="D152" s="82" t="s">
        <v>3274</v>
      </c>
      <c r="E152" s="82" t="s">
        <v>3275</v>
      </c>
      <c r="F152" s="83" t="s">
        <v>2724</v>
      </c>
      <c r="G152" s="83" t="s">
        <v>2741</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3234</v>
      </c>
      <c r="B153" s="78" t="s">
        <v>3276</v>
      </c>
      <c r="C153" s="80" t="s">
        <v>3277</v>
      </c>
      <c r="D153" s="82" t="s">
        <v>3278</v>
      </c>
      <c r="E153" s="82" t="s">
        <v>3279</v>
      </c>
      <c r="F153" s="83" t="s">
        <v>2724</v>
      </c>
      <c r="G153" s="83" t="s">
        <v>2741</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3234</v>
      </c>
      <c r="B154" s="78" t="s">
        <v>3280</v>
      </c>
      <c r="C154" s="80" t="s">
        <v>3281</v>
      </c>
      <c r="D154" s="82" t="s">
        <v>3282</v>
      </c>
      <c r="E154" s="82" t="s">
        <v>3283</v>
      </c>
      <c r="F154" s="83" t="s">
        <v>2724</v>
      </c>
      <c r="G154" s="83" t="s">
        <v>2741</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3234</v>
      </c>
      <c r="B155" s="78" t="s">
        <v>3284</v>
      </c>
      <c r="C155" s="80" t="s">
        <v>3285</v>
      </c>
      <c r="D155" s="82" t="s">
        <v>3286</v>
      </c>
      <c r="E155" s="82" t="s">
        <v>3287</v>
      </c>
      <c r="F155" s="83" t="s">
        <v>2724</v>
      </c>
      <c r="G155" s="83" t="s">
        <v>2709</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3234</v>
      </c>
      <c r="B156" s="78" t="s">
        <v>3288</v>
      </c>
      <c r="C156" s="80" t="s">
        <v>3289</v>
      </c>
      <c r="D156" s="82" t="s">
        <v>3290</v>
      </c>
      <c r="E156" s="82" t="s">
        <v>3291</v>
      </c>
      <c r="F156" s="83" t="s">
        <v>2724</v>
      </c>
      <c r="G156" s="83" t="s">
        <v>2741</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3292</v>
      </c>
      <c r="B157" s="77">
        <v>17</v>
      </c>
      <c r="C157" s="79" t="s">
        <v>28</v>
      </c>
      <c r="D157" s="81" t="s">
        <v>3293</v>
      </c>
      <c r="E157" s="81" t="s">
        <v>28</v>
      </c>
      <c r="F157" s="77" t="s">
        <v>28</v>
      </c>
      <c r="G157" s="77" t="s">
        <v>28</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3292</v>
      </c>
      <c r="B158" s="78" t="s">
        <v>3294</v>
      </c>
      <c r="C158" s="80" t="s">
        <v>3295</v>
      </c>
      <c r="D158" s="82" t="s">
        <v>3296</v>
      </c>
      <c r="E158" s="82" t="s">
        <v>3297</v>
      </c>
      <c r="F158" s="83" t="s">
        <v>2841</v>
      </c>
      <c r="G158" s="83" t="s">
        <v>2704</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3292</v>
      </c>
      <c r="B159" s="78" t="s">
        <v>3298</v>
      </c>
      <c r="C159" s="80" t="s">
        <v>3299</v>
      </c>
      <c r="D159" s="82" t="s">
        <v>3300</v>
      </c>
      <c r="E159" s="82" t="s">
        <v>3301</v>
      </c>
      <c r="F159" s="83" t="s">
        <v>2816</v>
      </c>
      <c r="G159" s="83" t="s">
        <v>2757</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3292</v>
      </c>
      <c r="B160" s="78" t="s">
        <v>3302</v>
      </c>
      <c r="C160" s="80" t="s">
        <v>3303</v>
      </c>
      <c r="D160" s="82" t="s">
        <v>3304</v>
      </c>
      <c r="E160" s="82" t="s">
        <v>3305</v>
      </c>
      <c r="F160" s="83" t="s">
        <v>2816</v>
      </c>
      <c r="G160" s="83" t="s">
        <v>2757</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3292</v>
      </c>
      <c r="B161" s="78" t="s">
        <v>3306</v>
      </c>
      <c r="C161" s="80" t="s">
        <v>3307</v>
      </c>
      <c r="D161" s="82" t="s">
        <v>3308</v>
      </c>
      <c r="E161" s="82" t="s">
        <v>3309</v>
      </c>
      <c r="F161" s="83" t="s">
        <v>2816</v>
      </c>
      <c r="G161" s="83" t="s">
        <v>2757</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3292</v>
      </c>
      <c r="B162" s="78" t="s">
        <v>3310</v>
      </c>
      <c r="C162" s="80" t="s">
        <v>3311</v>
      </c>
      <c r="D162" s="82" t="s">
        <v>3312</v>
      </c>
      <c r="E162" s="82" t="s">
        <v>3313</v>
      </c>
      <c r="F162" s="83" t="s">
        <v>2841</v>
      </c>
      <c r="G162" s="83" t="s">
        <v>2704</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3292</v>
      </c>
      <c r="B163" s="78" t="s">
        <v>3314</v>
      </c>
      <c r="C163" s="80" t="s">
        <v>3315</v>
      </c>
      <c r="D163" s="82" t="s">
        <v>3316</v>
      </c>
      <c r="E163" s="82" t="s">
        <v>3317</v>
      </c>
      <c r="F163" s="83" t="s">
        <v>2841</v>
      </c>
      <c r="G163" s="83" t="s">
        <v>2704</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3292</v>
      </c>
      <c r="B164" s="78" t="s">
        <v>3318</v>
      </c>
      <c r="C164" s="80" t="s">
        <v>3319</v>
      </c>
      <c r="D164" s="82" t="s">
        <v>3320</v>
      </c>
      <c r="E164" s="82" t="s">
        <v>3321</v>
      </c>
      <c r="F164" s="83" t="s">
        <v>2841</v>
      </c>
      <c r="G164" s="83" t="s">
        <v>3073</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3292</v>
      </c>
      <c r="B165" s="78" t="s">
        <v>3322</v>
      </c>
      <c r="C165" s="80" t="s">
        <v>3323</v>
      </c>
      <c r="D165" s="82" t="s">
        <v>3324</v>
      </c>
      <c r="E165" s="82" t="s">
        <v>3325</v>
      </c>
      <c r="F165" s="83" t="s">
        <v>2841</v>
      </c>
      <c r="G165" s="83" t="s">
        <v>3073</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3292</v>
      </c>
      <c r="B166" s="78" t="s">
        <v>3326</v>
      </c>
      <c r="C166" s="80" t="s">
        <v>3327</v>
      </c>
      <c r="D166" s="82" t="s">
        <v>3328</v>
      </c>
      <c r="E166" s="82" t="s">
        <v>3329</v>
      </c>
      <c r="F166" s="83" t="s">
        <v>2816</v>
      </c>
      <c r="G166" s="83" t="s">
        <v>3073</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3330</v>
      </c>
      <c r="B167" s="77">
        <v>18</v>
      </c>
      <c r="C167" s="79" t="s">
        <v>28</v>
      </c>
      <c r="D167" s="81" t="s">
        <v>3331</v>
      </c>
      <c r="E167" s="81" t="s">
        <v>28</v>
      </c>
      <c r="F167" s="77" t="s">
        <v>28</v>
      </c>
      <c r="G167" s="77" t="s">
        <v>28</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3330</v>
      </c>
      <c r="B168" s="78" t="s">
        <v>3332</v>
      </c>
      <c r="C168" s="80" t="s">
        <v>3333</v>
      </c>
      <c r="D168" s="82" t="s">
        <v>3334</v>
      </c>
      <c r="E168" s="82" t="s">
        <v>3335</v>
      </c>
      <c r="F168" s="83" t="s">
        <v>2816</v>
      </c>
      <c r="G168" s="83" t="s">
        <v>2757</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3330</v>
      </c>
      <c r="B169" s="78" t="s">
        <v>3336</v>
      </c>
      <c r="C169" s="80" t="s">
        <v>3337</v>
      </c>
      <c r="D169" s="82" t="s">
        <v>3338</v>
      </c>
      <c r="E169" s="82" t="s">
        <v>3339</v>
      </c>
      <c r="F169" s="83" t="s">
        <v>2970</v>
      </c>
      <c r="G169" s="83" t="s">
        <v>2709</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3330</v>
      </c>
      <c r="B170" s="78" t="s">
        <v>3340</v>
      </c>
      <c r="C170" s="80" t="s">
        <v>3341</v>
      </c>
      <c r="D170" s="82" t="s">
        <v>3342</v>
      </c>
      <c r="E170" s="82" t="s">
        <v>3343</v>
      </c>
      <c r="F170" s="83" t="s">
        <v>2970</v>
      </c>
      <c r="G170" s="83" t="s">
        <v>2741</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3330</v>
      </c>
      <c r="B171" s="78" t="s">
        <v>3344</v>
      </c>
      <c r="C171" s="80" t="s">
        <v>3345</v>
      </c>
      <c r="D171" s="82" t="s">
        <v>3346</v>
      </c>
      <c r="E171" s="82" t="s">
        <v>3347</v>
      </c>
      <c r="F171" s="83" t="s">
        <v>2970</v>
      </c>
      <c r="G171" s="83" t="s">
        <v>2741</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3330</v>
      </c>
      <c r="B172" s="88" t="s">
        <v>3348</v>
      </c>
      <c r="C172" s="89" t="s">
        <v>3349</v>
      </c>
      <c r="D172" s="90" t="s">
        <v>3350</v>
      </c>
      <c r="E172" s="90" t="s">
        <v>3351</v>
      </c>
      <c r="F172" s="91" t="s">
        <v>2970</v>
      </c>
      <c r="G172" s="91" t="s">
        <v>2709</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2415</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IFERROR(INDEX('Recommendations'!$J$2:$J$419, MATCH(J2,'Recommendations'!$B$2:$B$419,0))="Implemented", FALSE))</xm:f>
            <x14:dxf>
              <font>
                <color rgb="FF000000"/>
              </font>
              <fill>
                <patternFill>
                  <bgColor rgb="FF3C7D22"/>
                </patternFill>
              </fill>
            </x14:dxf>
          </x14:cfRule>
          <x14:cfRule type="expression" priority="2" id="{00000000-000E-0000-0400-000002000000}">
            <xm:f>AND(J2&lt;&gt;"", IFERROR(INDEX('Recommendations'!$J$2:$J$419, MATCH(J2,'Recommendations'!$B$2:$B$419,0))="Compensated", FALSE))</xm:f>
            <x14:dxf>
              <font>
                <color rgb="FF000000"/>
              </font>
              <fill>
                <patternFill>
                  <bgColor rgb="FFC6E0B4"/>
                </patternFill>
              </fill>
            </x14:dxf>
          </x14:cfRule>
          <x14:cfRule type="expression" priority="3" id="{00000000-000E-0000-0400-000003000000}">
            <xm:f>AND(J2&lt;&gt;"", IFERROR(INDEX('Recommendations'!$J$2:$J$419, MATCH(J2,'Recommendations'!$B$2:$B$419,0))="Testing", FALSE))</xm:f>
            <x14:dxf>
              <font>
                <color rgb="FF000000"/>
              </font>
              <fill>
                <patternFill>
                  <bgColor rgb="FFFFC000"/>
                </patternFill>
              </fill>
            </x14:dxf>
          </x14:cfRule>
          <x14:cfRule type="expression" priority="4" id="{00000000-000E-0000-0400-000004000000}">
            <xm:f>AND(J2&lt;&gt;"", IFERROR(INDEX('Recommendations'!$J$2:$J$419, MATCH(J2,'Recommendations'!$B$2:$B$419,0))="Failed", FALSE))</xm:f>
            <x14:dxf>
              <font>
                <color rgb="FF000000"/>
              </font>
              <fill>
                <patternFill>
                  <bgColor rgb="FFD82891"/>
                </patternFill>
              </fill>
            </x14:dxf>
          </x14:cfRule>
          <x14:cfRule type="expression" priority="5" id="{00000000-000E-0000-0400-000005000000}">
            <xm:f>AND(J2&lt;&gt;"", IFERROR(INDEX('Recommendations'!$J$2:$J$419, MATCH(J2,'Recommendations'!$B$2:$B$419,0))="Risk Accepted", FALSE))</xm:f>
            <x14:dxf>
              <font>
                <color rgb="FF000000"/>
              </font>
              <fill>
                <patternFill>
                  <bgColor rgb="FFD9D9D9"/>
                </patternFill>
              </fill>
            </x14:dxf>
          </x14:cfRule>
          <x14:cfRule type="expression" priority="6" id="{00000000-000E-0000-0400-000006000000}">
            <xm:f>AND(J2&lt;&gt;"", IFERROR(INDEX('Recommendations'!$J$2:$J$419, MATCH(J2,'Recommendations'!$B$2:$B$419,0))="N/A",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3352</v>
      </c>
      <c r="C1" s="118" t="s">
        <v>12</v>
      </c>
      <c r="D1" s="118" t="s">
        <v>2557</v>
      </c>
      <c r="E1" s="118" t="s">
        <v>3353</v>
      </c>
      <c r="F1" s="118" t="s">
        <v>3354</v>
      </c>
      <c r="G1" s="118" t="s">
        <v>2651</v>
      </c>
      <c r="H1" s="118" t="s">
        <v>2652</v>
      </c>
      <c r="I1" s="118" t="s">
        <v>2653</v>
      </c>
      <c r="J1" s="118" t="s">
        <v>2654</v>
      </c>
      <c r="K1" s="118" t="s">
        <v>2655</v>
      </c>
      <c r="L1" s="118" t="s">
        <v>2656</v>
      </c>
      <c r="M1" s="118" t="s">
        <v>2657</v>
      </c>
      <c r="N1" s="118" t="s">
        <v>2658</v>
      </c>
      <c r="O1" s="118" t="s">
        <v>2659</v>
      </c>
      <c r="P1" s="118" t="s">
        <v>2660</v>
      </c>
      <c r="Q1" s="118" t="s">
        <v>2661</v>
      </c>
      <c r="R1" s="118" t="s">
        <v>2662</v>
      </c>
      <c r="S1" s="118" t="s">
        <v>2663</v>
      </c>
      <c r="T1" s="118" t="s">
        <v>2664</v>
      </c>
      <c r="U1" s="118" t="s">
        <v>2665</v>
      </c>
      <c r="V1" s="118" t="s">
        <v>2666</v>
      </c>
      <c r="W1" s="118" t="s">
        <v>2667</v>
      </c>
      <c r="X1" s="118" t="s">
        <v>2668</v>
      </c>
      <c r="Y1" s="118" t="s">
        <v>2669</v>
      </c>
      <c r="Z1" s="118" t="s">
        <v>2670</v>
      </c>
      <c r="AA1" s="118" t="s">
        <v>2671</v>
      </c>
      <c r="AB1" s="118" t="s">
        <v>2672</v>
      </c>
      <c r="AC1" s="118" t="s">
        <v>2673</v>
      </c>
      <c r="AD1" s="118" t="s">
        <v>2674</v>
      </c>
      <c r="AE1" s="118" t="s">
        <v>2675</v>
      </c>
      <c r="AF1" s="118" t="s">
        <v>2676</v>
      </c>
      <c r="AG1" s="118" t="s">
        <v>2677</v>
      </c>
      <c r="AH1" s="118" t="s">
        <v>2678</v>
      </c>
      <c r="AI1" s="118" t="s">
        <v>2679</v>
      </c>
      <c r="AJ1" s="118" t="s">
        <v>2680</v>
      </c>
      <c r="AK1" s="118" t="s">
        <v>2681</v>
      </c>
      <c r="AL1" s="118" t="s">
        <v>2682</v>
      </c>
      <c r="AM1" s="118" t="s">
        <v>2683</v>
      </c>
      <c r="AN1" s="118" t="s">
        <v>2684</v>
      </c>
      <c r="AO1" s="118" t="s">
        <v>2685</v>
      </c>
      <c r="AP1" s="118" t="s">
        <v>2686</v>
      </c>
      <c r="AQ1" s="118" t="s">
        <v>2687</v>
      </c>
      <c r="AR1" s="118" t="s">
        <v>2688</v>
      </c>
      <c r="AS1" s="118" t="s">
        <v>2689</v>
      </c>
      <c r="AT1" s="118" t="s">
        <v>2690</v>
      </c>
      <c r="AU1" s="119" t="s">
        <v>2691</v>
      </c>
    </row>
    <row r="2" spans="1:47" ht="60" customHeight="1" x14ac:dyDescent="0.35">
      <c r="A2" s="113" t="s">
        <v>3355</v>
      </c>
      <c r="B2" s="103" t="s">
        <v>3356</v>
      </c>
      <c r="C2" s="104" t="s">
        <v>3357</v>
      </c>
      <c r="D2" s="104" t="s">
        <v>3358</v>
      </c>
      <c r="E2" s="104" t="s">
        <v>3359</v>
      </c>
      <c r="F2" s="105" t="s">
        <v>3360</v>
      </c>
      <c r="G2" s="106" t="str">
        <f>IF(COUNTIF(H2:AU2,"&lt;&gt;")=0,"",SUMPRODUCT(((Recommendations[ImplStatus]="Implemented")+(Recommendations[ImplStatus]="Compensated"))*ISNUMBER(MATCH(Recommendations[Id],H2:AU2,0)))/COUNTIF(H2:AU2,"&lt;&gt;"))</f>
        <v/>
      </c>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3361</v>
      </c>
      <c r="B3" s="103" t="s">
        <v>3362</v>
      </c>
      <c r="C3" s="104" t="s">
        <v>3363</v>
      </c>
      <c r="D3" s="104" t="s">
        <v>3364</v>
      </c>
      <c r="E3" s="104" t="s">
        <v>3365</v>
      </c>
      <c r="F3" s="105" t="s">
        <v>3366</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3367</v>
      </c>
      <c r="B4" s="103" t="s">
        <v>3368</v>
      </c>
      <c r="C4" s="104" t="s">
        <v>3369</v>
      </c>
      <c r="D4" s="104" t="s">
        <v>3370</v>
      </c>
      <c r="E4" s="104" t="s">
        <v>3371</v>
      </c>
      <c r="F4" s="105" t="s">
        <v>3372</v>
      </c>
      <c r="G4" s="106">
        <f>IF(COUNTIF(H4:AU4,"&lt;&gt;")=0,"",SUMPRODUCT(((Recommendations[ImplStatus]="Implemented")+(Recommendations[ImplStatus]="Compensated"))*ISNUMBER(MATCH(Recommendations[Id],H4:AU4,0)))/COUNTIF(H4:AU4,"&lt;&gt;"))</f>
        <v>0</v>
      </c>
      <c r="H4" s="107" t="s">
        <v>183</v>
      </c>
      <c r="I4" s="107" t="s">
        <v>191</v>
      </c>
      <c r="J4" s="107" t="s">
        <v>199</v>
      </c>
      <c r="K4" s="107" t="s">
        <v>206</v>
      </c>
      <c r="L4" s="107" t="s">
        <v>214</v>
      </c>
      <c r="M4" s="107" t="s">
        <v>318</v>
      </c>
      <c r="N4" s="107" t="s">
        <v>633</v>
      </c>
      <c r="O4" s="107" t="s">
        <v>652</v>
      </c>
      <c r="P4" s="107" t="s">
        <v>655</v>
      </c>
      <c r="Q4" s="107" t="s">
        <v>669</v>
      </c>
      <c r="R4" s="107" t="s">
        <v>676</v>
      </c>
      <c r="S4" s="107" t="s">
        <v>684</v>
      </c>
      <c r="T4" s="107" t="s">
        <v>692</v>
      </c>
      <c r="U4" s="107" t="s">
        <v>695</v>
      </c>
      <c r="V4" s="107" t="s">
        <v>703</v>
      </c>
      <c r="W4" s="107" t="s">
        <v>711</v>
      </c>
      <c r="X4" s="107" t="s">
        <v>714</v>
      </c>
      <c r="Y4" s="107" t="s">
        <v>721</v>
      </c>
      <c r="Z4" s="107" t="s">
        <v>728</v>
      </c>
      <c r="AA4" s="107" t="s">
        <v>734</v>
      </c>
      <c r="AB4" s="107" t="s">
        <v>740</v>
      </c>
      <c r="AC4" s="107" t="s">
        <v>745</v>
      </c>
      <c r="AD4" s="107" t="s">
        <v>751</v>
      </c>
      <c r="AE4" s="107" t="s">
        <v>754</v>
      </c>
      <c r="AF4" s="107" t="s">
        <v>762</v>
      </c>
      <c r="AG4" s="107" t="s">
        <v>768</v>
      </c>
      <c r="AH4" s="107" t="s">
        <v>776</v>
      </c>
      <c r="AI4" s="107" t="s">
        <v>784</v>
      </c>
      <c r="AJ4" s="107" t="s">
        <v>1134</v>
      </c>
      <c r="AK4" s="107"/>
      <c r="AL4" s="107"/>
      <c r="AM4" s="107"/>
      <c r="AN4" s="107"/>
      <c r="AO4" s="107"/>
      <c r="AP4" s="107"/>
      <c r="AQ4" s="107"/>
      <c r="AR4" s="107"/>
      <c r="AS4" s="107"/>
      <c r="AT4" s="107"/>
      <c r="AU4" s="115"/>
    </row>
    <row r="5" spans="1:47" ht="60" customHeight="1" x14ac:dyDescent="0.35">
      <c r="A5" s="113" t="s">
        <v>3373</v>
      </c>
      <c r="B5" s="103" t="s">
        <v>3374</v>
      </c>
      <c r="C5" s="104" t="s">
        <v>3375</v>
      </c>
      <c r="D5" s="104" t="s">
        <v>3376</v>
      </c>
      <c r="E5" s="104" t="s">
        <v>3377</v>
      </c>
      <c r="F5" s="105" t="s">
        <v>3378</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3379</v>
      </c>
      <c r="B6" s="103" t="s">
        <v>3380</v>
      </c>
      <c r="C6" s="104" t="s">
        <v>3381</v>
      </c>
      <c r="D6" s="104" t="s">
        <v>3382</v>
      </c>
      <c r="E6" s="104" t="s">
        <v>28</v>
      </c>
      <c r="F6" s="105" t="s">
        <v>3383</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3384</v>
      </c>
      <c r="B7" s="103" t="s">
        <v>15</v>
      </c>
      <c r="C7" s="104" t="s">
        <v>3385</v>
      </c>
      <c r="D7" s="104" t="s">
        <v>3386</v>
      </c>
      <c r="E7" s="104" t="s">
        <v>28</v>
      </c>
      <c r="F7" s="105" t="s">
        <v>3387</v>
      </c>
      <c r="G7" s="106">
        <f>IF(COUNTIF(H7:AU7,"&lt;&gt;")=0,"",SUMPRODUCT(((Recommendations[ImplStatus]="Implemented")+(Recommendations[ImplStatus]="Compensated"))*ISNUMBER(MATCH(Recommendations[Id],H7:AU7,0)))/COUNTIF(H7:AU7,"&lt;&gt;"))</f>
        <v>0</v>
      </c>
      <c r="H7" s="107" t="s">
        <v>121</v>
      </c>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3388</v>
      </c>
      <c r="B8" s="103" t="s">
        <v>3389</v>
      </c>
      <c r="C8" s="104" t="s">
        <v>3390</v>
      </c>
      <c r="D8" s="104" t="s">
        <v>3391</v>
      </c>
      <c r="E8" s="104" t="s">
        <v>28</v>
      </c>
      <c r="F8" s="105" t="s">
        <v>3392</v>
      </c>
      <c r="G8" s="106">
        <f>IF(COUNTIF(H8:AU8,"&lt;&gt;")=0,"",SUMPRODUCT(((Recommendations[ImplStatus]="Implemented")+(Recommendations[ImplStatus]="Compensated"))*ISNUMBER(MATCH(Recommendations[Id],H8:AU8,0)))/COUNTIF(H8:AU8,"&lt;&gt;"))</f>
        <v>0</v>
      </c>
      <c r="H8" s="107" t="s">
        <v>46</v>
      </c>
      <c r="I8" s="107" t="s">
        <v>55</v>
      </c>
      <c r="J8" s="107" t="s">
        <v>61</v>
      </c>
      <c r="K8" s="107" t="s">
        <v>68</v>
      </c>
      <c r="L8" s="107" t="s">
        <v>75</v>
      </c>
      <c r="M8" s="107" t="s">
        <v>88</v>
      </c>
      <c r="N8" s="107" t="s">
        <v>95</v>
      </c>
      <c r="O8" s="107" t="s">
        <v>101</v>
      </c>
      <c r="P8" s="107" t="s">
        <v>107</v>
      </c>
      <c r="Q8" s="107" t="s">
        <v>114</v>
      </c>
      <c r="R8" s="107" t="s">
        <v>127</v>
      </c>
      <c r="S8" s="107" t="s">
        <v>134</v>
      </c>
      <c r="T8" s="107" t="s">
        <v>140</v>
      </c>
      <c r="U8" s="107" t="s">
        <v>147</v>
      </c>
      <c r="V8" s="107" t="s">
        <v>238</v>
      </c>
      <c r="W8" s="107" t="s">
        <v>241</v>
      </c>
      <c r="X8" s="107" t="s">
        <v>244</v>
      </c>
      <c r="Y8" s="107" t="s">
        <v>1072</v>
      </c>
      <c r="Z8" s="107" t="s">
        <v>1093</v>
      </c>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3393</v>
      </c>
      <c r="B9" s="103" t="s">
        <v>3394</v>
      </c>
      <c r="C9" s="104" t="s">
        <v>3395</v>
      </c>
      <c r="D9" s="104" t="s">
        <v>3396</v>
      </c>
      <c r="E9" s="104" t="s">
        <v>28</v>
      </c>
      <c r="F9" s="105" t="s">
        <v>3397</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3398</v>
      </c>
      <c r="B10" s="103" t="s">
        <v>3399</v>
      </c>
      <c r="C10" s="104" t="s">
        <v>3400</v>
      </c>
      <c r="D10" s="104" t="s">
        <v>3401</v>
      </c>
      <c r="E10" s="104" t="s">
        <v>28</v>
      </c>
      <c r="F10" s="105" t="s">
        <v>3402</v>
      </c>
      <c r="G10" s="106">
        <f>IF(COUNTIF(H10:AU10,"&lt;&gt;")=0,"",SUMPRODUCT(((Recommendations[ImplStatus]="Implemented")+(Recommendations[ImplStatus]="Compensated"))*ISNUMBER(MATCH(Recommendations[Id],H10:AU10,0)))/COUNTIF(H10:AU10,"&lt;&gt;"))</f>
        <v>0</v>
      </c>
      <c r="H10" s="107" t="s">
        <v>1578</v>
      </c>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3403</v>
      </c>
      <c r="B11" s="103" t="s">
        <v>3404</v>
      </c>
      <c r="C11" s="104" t="s">
        <v>3405</v>
      </c>
      <c r="D11" s="104" t="s">
        <v>3406</v>
      </c>
      <c r="E11" s="104" t="s">
        <v>28</v>
      </c>
      <c r="F11" s="105" t="s">
        <v>3407</v>
      </c>
      <c r="G11" s="106">
        <f>IF(COUNTIF(H11:AU11,"&lt;&gt;")=0,"",SUMPRODUCT(((Recommendations[ImplStatus]="Implemented")+(Recommendations[ImplStatus]="Compensated"))*ISNUMBER(MATCH(Recommendations[Id],H11:AU11,0)))/COUNTIF(H11:AU11,"&lt;&gt;"))</f>
        <v>0</v>
      </c>
      <c r="H11" s="107" t="s">
        <v>225</v>
      </c>
      <c r="I11" s="107" t="s">
        <v>1699</v>
      </c>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3408</v>
      </c>
      <c r="B12" s="103" t="s">
        <v>3409</v>
      </c>
      <c r="C12" s="104" t="s">
        <v>3410</v>
      </c>
      <c r="D12" s="104" t="s">
        <v>3411</v>
      </c>
      <c r="E12" s="104" t="s">
        <v>28</v>
      </c>
      <c r="F12" s="105" t="s">
        <v>3412</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3413</v>
      </c>
      <c r="B13" s="103" t="s">
        <v>3414</v>
      </c>
      <c r="C13" s="104" t="s">
        <v>3415</v>
      </c>
      <c r="D13" s="104" t="s">
        <v>3416</v>
      </c>
      <c r="E13" s="104" t="s">
        <v>28</v>
      </c>
      <c r="F13" s="105" t="s">
        <v>3417</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3418</v>
      </c>
      <c r="B14" s="103" t="s">
        <v>3419</v>
      </c>
      <c r="C14" s="104" t="s">
        <v>3420</v>
      </c>
      <c r="D14" s="104" t="s">
        <v>3421</v>
      </c>
      <c r="E14" s="104" t="s">
        <v>28</v>
      </c>
      <c r="F14" s="105" t="s">
        <v>3422</v>
      </c>
      <c r="G14" s="106">
        <f>IF(COUNTIF(H14:AU14,"&lt;&gt;")=0,"",SUMPRODUCT(((Recommendations[ImplStatus]="Implemented")+(Recommendations[ImplStatus]="Compensated"))*ISNUMBER(MATCH(Recommendations[Id],H14:AU14,0)))/COUNTIF(H14:AU14,"&lt;&gt;"))</f>
        <v>0</v>
      </c>
      <c r="H14" s="107" t="s">
        <v>967</v>
      </c>
      <c r="I14" s="107" t="s">
        <v>975</v>
      </c>
      <c r="J14" s="107" t="s">
        <v>983</v>
      </c>
      <c r="K14" s="107" t="s">
        <v>1061</v>
      </c>
      <c r="L14" s="107" t="s">
        <v>1064</v>
      </c>
      <c r="M14" s="107" t="s">
        <v>1190</v>
      </c>
      <c r="N14" s="107" t="s">
        <v>1199</v>
      </c>
      <c r="O14" s="107" t="s">
        <v>1208</v>
      </c>
      <c r="P14" s="107" t="s">
        <v>1968</v>
      </c>
      <c r="Q14" s="107" t="s">
        <v>1976</v>
      </c>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3423</v>
      </c>
      <c r="B15" s="103" t="s">
        <v>3424</v>
      </c>
      <c r="C15" s="104" t="s">
        <v>3425</v>
      </c>
      <c r="D15" s="104" t="s">
        <v>3426</v>
      </c>
      <c r="E15" s="104" t="s">
        <v>28</v>
      </c>
      <c r="F15" s="105" t="s">
        <v>3427</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3428</v>
      </c>
      <c r="B16" s="103" t="s">
        <v>3429</v>
      </c>
      <c r="C16" s="104" t="s">
        <v>3430</v>
      </c>
      <c r="D16" s="104" t="s">
        <v>3431</v>
      </c>
      <c r="E16" s="104" t="s">
        <v>28</v>
      </c>
      <c r="F16" s="105" t="s">
        <v>3432</v>
      </c>
      <c r="G16" s="106">
        <f>IF(COUNTIF(H16:AU16,"&lt;&gt;")=0,"",SUMPRODUCT(((Recommendations[ImplStatus]="Implemented")+(Recommendations[ImplStatus]="Compensated"))*ISNUMBER(MATCH(Recommendations[Id],H16:AU16,0)))/COUNTIF(H16:AU16,"&lt;&gt;"))</f>
        <v>0</v>
      </c>
      <c r="H16" s="107" t="s">
        <v>1114</v>
      </c>
      <c r="I16" s="107" t="s">
        <v>1171</v>
      </c>
      <c r="J16" s="107" t="s">
        <v>1691</v>
      </c>
      <c r="K16" s="107" t="s">
        <v>1707</v>
      </c>
      <c r="L16" s="107" t="s">
        <v>1729</v>
      </c>
      <c r="M16" s="107" t="s">
        <v>1737</v>
      </c>
      <c r="N16" s="107" t="s">
        <v>1745</v>
      </c>
      <c r="O16" s="107" t="s">
        <v>1753</v>
      </c>
      <c r="P16" s="107" t="s">
        <v>1769</v>
      </c>
      <c r="Q16" s="107" t="s">
        <v>2292</v>
      </c>
      <c r="R16" s="107" t="s">
        <v>2299</v>
      </c>
      <c r="S16" s="107" t="s">
        <v>2306</v>
      </c>
      <c r="T16" s="107" t="s">
        <v>2314</v>
      </c>
      <c r="U16" s="107" t="s">
        <v>2316</v>
      </c>
      <c r="V16" s="107" t="s">
        <v>2318</v>
      </c>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3433</v>
      </c>
      <c r="B17" s="103" t="s">
        <v>3434</v>
      </c>
      <c r="C17" s="104" t="s">
        <v>3435</v>
      </c>
      <c r="D17" s="104" t="s">
        <v>3436</v>
      </c>
      <c r="E17" s="104" t="s">
        <v>28</v>
      </c>
      <c r="F17" s="105" t="s">
        <v>3437</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3438</v>
      </c>
      <c r="B18" s="103" t="s">
        <v>3439</v>
      </c>
      <c r="C18" s="104" t="s">
        <v>3440</v>
      </c>
      <c r="D18" s="104" t="s">
        <v>3441</v>
      </c>
      <c r="E18" s="104" t="s">
        <v>28</v>
      </c>
      <c r="F18" s="105" t="s">
        <v>3442</v>
      </c>
      <c r="G18" s="106">
        <f>IF(COUNTIF(H18:AU18,"&lt;&gt;")=0,"",SUMPRODUCT(((Recommendations[ImplStatus]="Implemented")+(Recommendations[ImplStatus]="Compensated"))*ISNUMBER(MATCH(Recommendations[Id],H18:AU18,0)))/COUNTIF(H18:AU18,"&lt;&gt;"))</f>
        <v>0</v>
      </c>
      <c r="H18" s="107" t="s">
        <v>46</v>
      </c>
      <c r="I18" s="107" t="s">
        <v>55</v>
      </c>
      <c r="J18" s="107" t="s">
        <v>61</v>
      </c>
      <c r="K18" s="107" t="s">
        <v>68</v>
      </c>
      <c r="L18" s="107" t="s">
        <v>75</v>
      </c>
      <c r="M18" s="107" t="s">
        <v>81</v>
      </c>
      <c r="N18" s="107" t="s">
        <v>88</v>
      </c>
      <c r="O18" s="107" t="s">
        <v>95</v>
      </c>
      <c r="P18" s="107" t="s">
        <v>101</v>
      </c>
      <c r="Q18" s="107" t="s">
        <v>107</v>
      </c>
      <c r="R18" s="107" t="s">
        <v>114</v>
      </c>
      <c r="S18" s="107" t="s">
        <v>121</v>
      </c>
      <c r="T18" s="107" t="s">
        <v>127</v>
      </c>
      <c r="U18" s="107" t="s">
        <v>134</v>
      </c>
      <c r="V18" s="107" t="s">
        <v>140</v>
      </c>
      <c r="W18" s="107" t="s">
        <v>1053</v>
      </c>
      <c r="X18" s="107" t="s">
        <v>1297</v>
      </c>
      <c r="Y18" s="107" t="s">
        <v>1300</v>
      </c>
      <c r="Z18" s="107" t="s">
        <v>1303</v>
      </c>
      <c r="AA18" s="107" t="s">
        <v>1610</v>
      </c>
      <c r="AB18" s="107" t="s">
        <v>1643</v>
      </c>
      <c r="AC18" s="107" t="s">
        <v>1663</v>
      </c>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3443</v>
      </c>
      <c r="B19" s="103" t="s">
        <v>3444</v>
      </c>
      <c r="C19" s="104" t="s">
        <v>3445</v>
      </c>
      <c r="D19" s="104" t="s">
        <v>3446</v>
      </c>
      <c r="E19" s="104" t="s">
        <v>28</v>
      </c>
      <c r="F19" s="105" t="s">
        <v>3447</v>
      </c>
      <c r="G19" s="106">
        <f>IF(COUNTIF(H19:AU19,"&lt;&gt;")=0,"",SUMPRODUCT(((Recommendations[ImplStatus]="Implemented")+(Recommendations[ImplStatus]="Compensated"))*ISNUMBER(MATCH(Recommendations[Id],H19:AU19,0)))/COUNTIF(H19:AU19,"&lt;&gt;"))</f>
        <v>0</v>
      </c>
      <c r="H19" s="107" t="s">
        <v>389</v>
      </c>
      <c r="I19" s="107" t="s">
        <v>392</v>
      </c>
      <c r="J19" s="107" t="s">
        <v>407</v>
      </c>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3448</v>
      </c>
      <c r="B20" s="103" t="s">
        <v>3449</v>
      </c>
      <c r="C20" s="104" t="s">
        <v>3450</v>
      </c>
      <c r="D20" s="104" t="s">
        <v>3451</v>
      </c>
      <c r="E20" s="104" t="s">
        <v>28</v>
      </c>
      <c r="F20" s="105" t="s">
        <v>3452</v>
      </c>
      <c r="G20" s="106">
        <f>IF(COUNTIF(H20:AU20,"&lt;&gt;")=0,"",SUMPRODUCT(((Recommendations[ImplStatus]="Implemented")+(Recommendations[ImplStatus]="Compensated"))*ISNUMBER(MATCH(Recommendations[Id],H20:AU20,0)))/COUNTIF(H20:AU20,"&lt;&gt;"))</f>
        <v>0</v>
      </c>
      <c r="H20" s="107" t="s">
        <v>1241</v>
      </c>
      <c r="I20" s="107" t="s">
        <v>1340</v>
      </c>
      <c r="J20" s="107" t="s">
        <v>1348</v>
      </c>
      <c r="K20" s="107" t="s">
        <v>1354</v>
      </c>
      <c r="L20" s="107" t="s">
        <v>1834</v>
      </c>
      <c r="M20" s="107" t="s">
        <v>1842</v>
      </c>
      <c r="N20" s="107" t="s">
        <v>1849</v>
      </c>
      <c r="O20" s="107" t="s">
        <v>1945</v>
      </c>
      <c r="P20" s="107" t="s">
        <v>1985</v>
      </c>
      <c r="Q20" s="107" t="s">
        <v>1993</v>
      </c>
      <c r="R20" s="107" t="s">
        <v>2001</v>
      </c>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3453</v>
      </c>
      <c r="B21" s="103" t="s">
        <v>3454</v>
      </c>
      <c r="C21" s="104" t="s">
        <v>3455</v>
      </c>
      <c r="D21" s="104" t="s">
        <v>3456</v>
      </c>
      <c r="E21" s="104" t="s">
        <v>3457</v>
      </c>
      <c r="F21" s="105" t="s">
        <v>3458</v>
      </c>
      <c r="G21" s="106">
        <f>IF(COUNTIF(H21:AU21,"&lt;&gt;")=0,"",SUMPRODUCT(((Recommendations[ImplStatus]="Implemented")+(Recommendations[ImplStatus]="Compensated"))*ISNUMBER(MATCH(Recommendations[Id],H21:AU21,0)))/COUNTIF(H21:AU21,"&lt;&gt;"))</f>
        <v>0</v>
      </c>
      <c r="H21" s="107" t="s">
        <v>1000</v>
      </c>
      <c r="I21" s="107" t="s">
        <v>1008</v>
      </c>
      <c r="J21" s="107" t="s">
        <v>1016</v>
      </c>
      <c r="K21" s="107" t="s">
        <v>1671</v>
      </c>
      <c r="L21" s="107" t="s">
        <v>1678</v>
      </c>
      <c r="M21" s="107" t="s">
        <v>1795</v>
      </c>
      <c r="N21" s="107" t="s">
        <v>1869</v>
      </c>
      <c r="O21" s="107" t="s">
        <v>1877</v>
      </c>
      <c r="P21" s="107" t="s">
        <v>2331</v>
      </c>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3459</v>
      </c>
      <c r="B22" s="103" t="s">
        <v>3460</v>
      </c>
      <c r="C22" s="104" t="s">
        <v>3461</v>
      </c>
      <c r="D22" s="104" t="s">
        <v>3462</v>
      </c>
      <c r="E22" s="104" t="s">
        <v>3463</v>
      </c>
      <c r="F22" s="105" t="s">
        <v>3464</v>
      </c>
      <c r="G22" s="106">
        <f>IF(COUNTIF(H22:AU22,"&lt;&gt;")=0,"",SUMPRODUCT(((Recommendations[ImplStatus]="Implemented")+(Recommendations[ImplStatus]="Compensated"))*ISNUMBER(MATCH(Recommendations[Id],H22:AU22,0)))/COUNTIF(H22:AU22,"&lt;&gt;"))</f>
        <v>0</v>
      </c>
      <c r="H22" s="107" t="s">
        <v>1187</v>
      </c>
      <c r="I22" s="107" t="s">
        <v>1196</v>
      </c>
      <c r="J22" s="107" t="s">
        <v>1205</v>
      </c>
      <c r="K22" s="107" t="s">
        <v>1214</v>
      </c>
      <c r="L22" s="107" t="s">
        <v>1220</v>
      </c>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3465</v>
      </c>
      <c r="B23" s="103" t="s">
        <v>3466</v>
      </c>
      <c r="C23" s="104" t="s">
        <v>3467</v>
      </c>
      <c r="D23" s="104" t="s">
        <v>3468</v>
      </c>
      <c r="E23" s="104" t="s">
        <v>3469</v>
      </c>
      <c r="F23" s="105" t="s">
        <v>3470</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3471</v>
      </c>
      <c r="B24" s="103" t="s">
        <v>3472</v>
      </c>
      <c r="C24" s="104" t="s">
        <v>3473</v>
      </c>
      <c r="D24" s="104" t="s">
        <v>3474</v>
      </c>
      <c r="E24" s="104" t="s">
        <v>28</v>
      </c>
      <c r="F24" s="105" t="s">
        <v>3475</v>
      </c>
      <c r="G24" s="106">
        <f>IF(COUNTIF(H24:AU24,"&lt;&gt;")=0,"",SUMPRODUCT(((Recommendations[ImplStatus]="Implemented")+(Recommendations[ImplStatus]="Compensated"))*ISNUMBER(MATCH(Recommendations[Id],H24:AU24,0)))/COUNTIF(H24:AU24,"&lt;&gt;"))</f>
        <v>0</v>
      </c>
      <c r="H24" s="107" t="s">
        <v>466</v>
      </c>
      <c r="I24" s="107" t="s">
        <v>469</v>
      </c>
      <c r="J24" s="107" t="s">
        <v>472</v>
      </c>
      <c r="K24" s="107" t="s">
        <v>475</v>
      </c>
      <c r="L24" s="107" t="s">
        <v>478</v>
      </c>
      <c r="M24" s="107" t="s">
        <v>481</v>
      </c>
      <c r="N24" s="107" t="s">
        <v>1761</v>
      </c>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3476</v>
      </c>
      <c r="B25" s="103" t="s">
        <v>3477</v>
      </c>
      <c r="C25" s="104" t="s">
        <v>3478</v>
      </c>
      <c r="D25" s="104" t="s">
        <v>28</v>
      </c>
      <c r="E25" s="104" t="s">
        <v>28</v>
      </c>
      <c r="F25" s="105" t="s">
        <v>3479</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3480</v>
      </c>
      <c r="B26" s="103" t="s">
        <v>3481</v>
      </c>
      <c r="C26" s="104" t="s">
        <v>3482</v>
      </c>
      <c r="D26" s="104" t="s">
        <v>3483</v>
      </c>
      <c r="E26" s="104" t="s">
        <v>28</v>
      </c>
      <c r="F26" s="105" t="s">
        <v>3484</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3485</v>
      </c>
      <c r="B27" s="103" t="s">
        <v>3486</v>
      </c>
      <c r="C27" s="104" t="s">
        <v>3487</v>
      </c>
      <c r="D27" s="104" t="s">
        <v>3488</v>
      </c>
      <c r="E27" s="104" t="s">
        <v>3489</v>
      </c>
      <c r="F27" s="105" t="s">
        <v>3490</v>
      </c>
      <c r="G27" s="106">
        <f>IF(COUNTIF(H27:AU27,"&lt;&gt;")=0,"",SUMPRODUCT(((Recommendations[ImplStatus]="Implemented")+(Recommendations[ImplStatus]="Compensated"))*ISNUMBER(MATCH(Recommendations[Id],H27:AU27,0)))/COUNTIF(H27:AU27,"&lt;&gt;"))</f>
        <v>0</v>
      </c>
      <c r="H27" s="107" t="s">
        <v>252</v>
      </c>
      <c r="I27" s="107" t="s">
        <v>260</v>
      </c>
      <c r="J27" s="107" t="s">
        <v>268</v>
      </c>
      <c r="K27" s="107" t="s">
        <v>276</v>
      </c>
      <c r="L27" s="107" t="s">
        <v>283</v>
      </c>
      <c r="M27" s="107" t="s">
        <v>286</v>
      </c>
      <c r="N27" s="107" t="s">
        <v>305</v>
      </c>
      <c r="O27" s="107" t="s">
        <v>568</v>
      </c>
      <c r="P27" s="107" t="s">
        <v>576</v>
      </c>
      <c r="Q27" s="107" t="s">
        <v>582</v>
      </c>
      <c r="R27" s="107" t="s">
        <v>590</v>
      </c>
      <c r="S27" s="107" t="s">
        <v>598</v>
      </c>
      <c r="T27" s="107" t="s">
        <v>605</v>
      </c>
      <c r="U27" s="107" t="s">
        <v>613</v>
      </c>
      <c r="V27" s="107" t="s">
        <v>620</v>
      </c>
      <c r="W27" s="107" t="s">
        <v>1960</v>
      </c>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3491</v>
      </c>
      <c r="B28" s="103" t="s">
        <v>3492</v>
      </c>
      <c r="C28" s="104" t="s">
        <v>3493</v>
      </c>
      <c r="D28" s="104" t="s">
        <v>28</v>
      </c>
      <c r="E28" s="104" t="s">
        <v>28</v>
      </c>
      <c r="F28" s="105" t="s">
        <v>3494</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3495</v>
      </c>
      <c r="B29" s="103" t="s">
        <v>3496</v>
      </c>
      <c r="C29" s="104" t="s">
        <v>3497</v>
      </c>
      <c r="D29" s="104" t="s">
        <v>3498</v>
      </c>
      <c r="E29" s="104" t="s">
        <v>3499</v>
      </c>
      <c r="F29" s="105" t="s">
        <v>3500</v>
      </c>
      <c r="G29" s="106">
        <f>IF(COUNTIF(H29:AU29,"&lt;&gt;")=0,"",SUMPRODUCT(((Recommendations[ImplStatus]="Implemented")+(Recommendations[ImplStatus]="Compensated"))*ISNUMBER(MATCH(Recommendations[Id],H29:AU29,0)))/COUNTIF(H29:AU29,"&lt;&gt;"))</f>
        <v>0</v>
      </c>
      <c r="H29" s="107" t="s">
        <v>159</v>
      </c>
      <c r="I29" s="107" t="s">
        <v>167</v>
      </c>
      <c r="J29" s="107" t="s">
        <v>175</v>
      </c>
      <c r="K29" s="107" t="s">
        <v>1380</v>
      </c>
      <c r="L29" s="107" t="s">
        <v>1388</v>
      </c>
      <c r="M29" s="107" t="s">
        <v>1396</v>
      </c>
      <c r="N29" s="107" t="s">
        <v>1414</v>
      </c>
      <c r="O29" s="107" t="s">
        <v>1710</v>
      </c>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3501</v>
      </c>
      <c r="B30" s="103" t="s">
        <v>3502</v>
      </c>
      <c r="C30" s="104" t="s">
        <v>3503</v>
      </c>
      <c r="D30" s="104" t="s">
        <v>3504</v>
      </c>
      <c r="E30" s="104" t="s">
        <v>28</v>
      </c>
      <c r="F30" s="105" t="s">
        <v>3505</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3506</v>
      </c>
      <c r="B31" s="103" t="s">
        <v>3507</v>
      </c>
      <c r="C31" s="104" t="s">
        <v>3508</v>
      </c>
      <c r="D31" s="104" t="s">
        <v>3509</v>
      </c>
      <c r="E31" s="104" t="s">
        <v>3510</v>
      </c>
      <c r="F31" s="105" t="s">
        <v>3511</v>
      </c>
      <c r="G31" s="106">
        <f>IF(COUNTIF(H31:AU31,"&lt;&gt;")=0,"",SUMPRODUCT(((Recommendations[ImplStatus]="Implemented")+(Recommendations[ImplStatus]="Compensated"))*ISNUMBER(MATCH(Recommendations[Id],H31:AU31,0)))/COUNTIF(H31:AU31,"&lt;&gt;"))</f>
        <v>0</v>
      </c>
      <c r="H31" s="107" t="s">
        <v>330</v>
      </c>
      <c r="I31" s="107" t="s">
        <v>338</v>
      </c>
      <c r="J31" s="107" t="s">
        <v>346</v>
      </c>
      <c r="K31" s="107" t="s">
        <v>354</v>
      </c>
      <c r="L31" s="107" t="s">
        <v>362</v>
      </c>
      <c r="M31" s="107" t="s">
        <v>369</v>
      </c>
      <c r="N31" s="107" t="s">
        <v>377</v>
      </c>
      <c r="O31" s="107" t="s">
        <v>415</v>
      </c>
      <c r="P31" s="107" t="s">
        <v>419</v>
      </c>
      <c r="Q31" s="107" t="s">
        <v>427</v>
      </c>
      <c r="R31" s="107" t="s">
        <v>434</v>
      </c>
      <c r="S31" s="107" t="s">
        <v>444</v>
      </c>
      <c r="T31" s="107" t="s">
        <v>1029</v>
      </c>
      <c r="U31" s="107" t="s">
        <v>1270</v>
      </c>
      <c r="V31" s="107" t="s">
        <v>1277</v>
      </c>
      <c r="W31" s="107" t="s">
        <v>1284</v>
      </c>
      <c r="X31" s="107" t="s">
        <v>1640</v>
      </c>
      <c r="Y31" s="107" t="s">
        <v>1776</v>
      </c>
      <c r="Z31" s="107" t="s">
        <v>1783</v>
      </c>
      <c r="AA31" s="107" t="s">
        <v>1826</v>
      </c>
      <c r="AB31" s="107" t="s">
        <v>2172</v>
      </c>
      <c r="AC31" s="107" t="s">
        <v>2177</v>
      </c>
      <c r="AD31" s="107" t="s">
        <v>2182</v>
      </c>
      <c r="AE31" s="107" t="s">
        <v>2193</v>
      </c>
      <c r="AF31" s="107" t="s">
        <v>2199</v>
      </c>
      <c r="AG31" s="107" t="s">
        <v>2224</v>
      </c>
      <c r="AH31" s="107" t="s">
        <v>2229</v>
      </c>
      <c r="AI31" s="107" t="s">
        <v>2235</v>
      </c>
      <c r="AJ31" s="107" t="s">
        <v>2241</v>
      </c>
      <c r="AK31" s="107" t="s">
        <v>2252</v>
      </c>
      <c r="AL31" s="107" t="s">
        <v>2257</v>
      </c>
      <c r="AM31" s="107" t="s">
        <v>2262</v>
      </c>
      <c r="AN31" s="107" t="s">
        <v>2267</v>
      </c>
      <c r="AO31" s="107"/>
      <c r="AP31" s="107"/>
      <c r="AQ31" s="107"/>
      <c r="AR31" s="107"/>
      <c r="AS31" s="107"/>
      <c r="AT31" s="107"/>
      <c r="AU31" s="115"/>
    </row>
    <row r="32" spans="1:47" ht="60" customHeight="1" x14ac:dyDescent="0.35">
      <c r="A32" s="113" t="s">
        <v>3512</v>
      </c>
      <c r="B32" s="103" t="s">
        <v>3513</v>
      </c>
      <c r="C32" s="104" t="s">
        <v>3514</v>
      </c>
      <c r="D32" s="104" t="s">
        <v>3515</v>
      </c>
      <c r="E32" s="104" t="s">
        <v>3516</v>
      </c>
      <c r="F32" s="105" t="s">
        <v>3517</v>
      </c>
      <c r="G32" s="106">
        <f>IF(COUNTIF(H32:AU32,"&lt;&gt;")=0,"",SUMPRODUCT(((Recommendations[ImplStatus]="Implemented")+(Recommendations[ImplStatus]="Compensated"))*ISNUMBER(MATCH(Recommendations[Id],H32:AU32,0)))/COUNTIF(H32:AU32,"&lt;&gt;"))</f>
        <v>0</v>
      </c>
      <c r="H32" s="107" t="s">
        <v>217</v>
      </c>
      <c r="I32" s="107" t="s">
        <v>225</v>
      </c>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3518</v>
      </c>
      <c r="B33" s="103" t="s">
        <v>3519</v>
      </c>
      <c r="C33" s="104" t="s">
        <v>3520</v>
      </c>
      <c r="D33" s="104" t="s">
        <v>3521</v>
      </c>
      <c r="E33" s="104" t="s">
        <v>28</v>
      </c>
      <c r="F33" s="105" t="s">
        <v>3522</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3523</v>
      </c>
      <c r="B34" s="103" t="s">
        <v>3524</v>
      </c>
      <c r="C34" s="104" t="s">
        <v>3525</v>
      </c>
      <c r="D34" s="104" t="s">
        <v>3526</v>
      </c>
      <c r="E34" s="104" t="s">
        <v>28</v>
      </c>
      <c r="F34" s="105" t="s">
        <v>3527</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3528</v>
      </c>
      <c r="B35" s="103" t="s">
        <v>3529</v>
      </c>
      <c r="C35" s="104" t="s">
        <v>3530</v>
      </c>
      <c r="D35" s="104" t="s">
        <v>3531</v>
      </c>
      <c r="E35" s="104" t="s">
        <v>3532</v>
      </c>
      <c r="F35" s="105" t="s">
        <v>3533</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3534</v>
      </c>
      <c r="B36" s="103" t="s">
        <v>3535</v>
      </c>
      <c r="C36" s="104" t="s">
        <v>3536</v>
      </c>
      <c r="D36" s="104" t="s">
        <v>3537</v>
      </c>
      <c r="E36" s="104" t="s">
        <v>3538</v>
      </c>
      <c r="F36" s="105" t="s">
        <v>3539</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3540</v>
      </c>
      <c r="B37" s="103" t="s">
        <v>3541</v>
      </c>
      <c r="C37" s="104" t="s">
        <v>3542</v>
      </c>
      <c r="D37" s="104" t="s">
        <v>3543</v>
      </c>
      <c r="E37" s="104" t="s">
        <v>28</v>
      </c>
      <c r="F37" s="105" t="s">
        <v>3544</v>
      </c>
      <c r="G37" s="106">
        <f>IF(COUNTIF(H37:AU37,"&lt;&gt;")=0,"",SUMPRODUCT(((Recommendations[ImplStatus]="Implemented")+(Recommendations[ImplStatus]="Compensated"))*ISNUMBER(MATCH(Recommendations[Id],H37:AU37,0)))/COUNTIF(H37:AU37,"&lt;&gt;"))</f>
        <v>0</v>
      </c>
      <c r="H37" s="107" t="s">
        <v>1260</v>
      </c>
      <c r="I37" s="107" t="s">
        <v>1268</v>
      </c>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3545</v>
      </c>
      <c r="B38" s="103" t="s">
        <v>3546</v>
      </c>
      <c r="C38" s="104" t="s">
        <v>3547</v>
      </c>
      <c r="D38" s="104" t="s">
        <v>3548</v>
      </c>
      <c r="E38" s="104" t="s">
        <v>3549</v>
      </c>
      <c r="F38" s="105" t="s">
        <v>3550</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3551</v>
      </c>
      <c r="B39" s="103" t="s">
        <v>3552</v>
      </c>
      <c r="C39" s="104" t="s">
        <v>3553</v>
      </c>
      <c r="D39" s="104" t="s">
        <v>3554</v>
      </c>
      <c r="E39" s="104" t="s">
        <v>28</v>
      </c>
      <c r="F39" s="105" t="s">
        <v>3555</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3556</v>
      </c>
      <c r="B40" s="103" t="s">
        <v>3557</v>
      </c>
      <c r="C40" s="104" t="s">
        <v>3558</v>
      </c>
      <c r="D40" s="104" t="s">
        <v>3559</v>
      </c>
      <c r="E40" s="104" t="s">
        <v>3560</v>
      </c>
      <c r="F40" s="105" t="s">
        <v>3561</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3562</v>
      </c>
      <c r="B41" s="103" t="s">
        <v>3563</v>
      </c>
      <c r="C41" s="104" t="s">
        <v>3564</v>
      </c>
      <c r="D41" s="104" t="s">
        <v>3565</v>
      </c>
      <c r="E41" s="104" t="s">
        <v>3566</v>
      </c>
      <c r="F41" s="105" t="s">
        <v>3567</v>
      </c>
      <c r="G41" s="106">
        <f>IF(COUNTIF(H41:AU41,"&lt;&gt;")=0,"",SUMPRODUCT(((Recommendations[ImplStatus]="Implemented")+(Recommendations[ImplStatus]="Compensated"))*ISNUMBER(MATCH(Recommendations[Id],H41:AU41,0)))/COUNTIF(H41:AU41,"&lt;&gt;"))</f>
        <v>0</v>
      </c>
      <c r="H41" s="107" t="s">
        <v>494</v>
      </c>
      <c r="I41" s="107" t="s">
        <v>508</v>
      </c>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3568</v>
      </c>
      <c r="B42" s="103" t="s">
        <v>3569</v>
      </c>
      <c r="C42" s="104" t="s">
        <v>3570</v>
      </c>
      <c r="D42" s="104" t="s">
        <v>3571</v>
      </c>
      <c r="E42" s="104" t="s">
        <v>3572</v>
      </c>
      <c r="F42" s="105" t="s">
        <v>3573</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3574</v>
      </c>
      <c r="B43" s="103" t="s">
        <v>3575</v>
      </c>
      <c r="C43" s="104" t="s">
        <v>3576</v>
      </c>
      <c r="D43" s="104" t="s">
        <v>3577</v>
      </c>
      <c r="E43" s="104" t="s">
        <v>3578</v>
      </c>
      <c r="F43" s="105" t="s">
        <v>3579</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3580</v>
      </c>
      <c r="B44" s="103" t="s">
        <v>3581</v>
      </c>
      <c r="C44" s="104" t="s">
        <v>3582</v>
      </c>
      <c r="D44" s="104" t="s">
        <v>3583</v>
      </c>
      <c r="E44" s="104" t="s">
        <v>28</v>
      </c>
      <c r="F44" s="105" t="s">
        <v>3584</v>
      </c>
      <c r="G44" s="106">
        <f>IF(COUNTIF(H44:AU44,"&lt;&gt;")=0,"",SUMPRODUCT(((Recommendations[ImplStatus]="Implemented")+(Recommendations[ImplStatus]="Compensated"))*ISNUMBER(MATCH(Recommendations[Id],H44:AU44,0)))/COUNTIF(H44:AU44,"&lt;&gt;"))</f>
        <v>0</v>
      </c>
      <c r="H44" s="107" t="s">
        <v>797</v>
      </c>
      <c r="I44" s="107" t="s">
        <v>804</v>
      </c>
      <c r="J44" s="107" t="s">
        <v>2052</v>
      </c>
      <c r="K44" s="107" t="s">
        <v>2353</v>
      </c>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3585</v>
      </c>
      <c r="B45" s="108" t="s">
        <v>3586</v>
      </c>
      <c r="C45" s="109" t="s">
        <v>3587</v>
      </c>
      <c r="D45" s="109" t="s">
        <v>3588</v>
      </c>
      <c r="E45" s="109" t="s">
        <v>3589</v>
      </c>
      <c r="F45" s="110" t="s">
        <v>3590</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2415</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IFERROR(INDEX('Recommendations'!$J$2:$J$419, MATCH(H2,'Recommendations'!$B$2:$B$419,0))="Implemented", FALSE))</xm:f>
            <x14:dxf>
              <font>
                <color rgb="FF000000"/>
              </font>
              <fill>
                <patternFill>
                  <bgColor rgb="FF3C7D22"/>
                </patternFill>
              </fill>
            </x14:dxf>
          </x14:cfRule>
          <x14:cfRule type="expression" priority="2" id="{00000000-000E-0000-0500-000002000000}">
            <xm:f>AND(H2&lt;&gt;"", IFERROR(INDEX('Recommendations'!$J$2:$J$419, MATCH(H2,'Recommendations'!$B$2:$B$419,0))="Compensated", FALSE))</xm:f>
            <x14:dxf>
              <font>
                <color rgb="FF000000"/>
              </font>
              <fill>
                <patternFill>
                  <bgColor rgb="FFC6E0B4"/>
                </patternFill>
              </fill>
            </x14:dxf>
          </x14:cfRule>
          <x14:cfRule type="expression" priority="3" id="{00000000-000E-0000-0500-000003000000}">
            <xm:f>AND(H2&lt;&gt;"", IFERROR(INDEX('Recommendations'!$J$2:$J$419, MATCH(H2,'Recommendations'!$B$2:$B$419,0))="Testing", FALSE))</xm:f>
            <x14:dxf>
              <font>
                <color rgb="FF000000"/>
              </font>
              <fill>
                <patternFill>
                  <bgColor rgb="FFFFC000"/>
                </patternFill>
              </fill>
            </x14:dxf>
          </x14:cfRule>
          <x14:cfRule type="expression" priority="4" id="{00000000-000E-0000-0500-000004000000}">
            <xm:f>AND(H2&lt;&gt;"", IFERROR(INDEX('Recommendations'!$J$2:$J$419, MATCH(H2,'Recommendations'!$B$2:$B$419,0))="Failed", FALSE))</xm:f>
            <x14:dxf>
              <font>
                <color rgb="FF000000"/>
              </font>
              <fill>
                <patternFill>
                  <bgColor rgb="FFD82891"/>
                </patternFill>
              </fill>
            </x14:dxf>
          </x14:cfRule>
          <x14:cfRule type="expression" priority="5" id="{00000000-000E-0000-0500-000005000000}">
            <xm:f>AND(H2&lt;&gt;"", IFERROR(INDEX('Recommendations'!$J$2:$J$419, MATCH(H2,'Recommendations'!$B$2:$B$419,0))="Risk Accepted", FALSE))</xm:f>
            <x14:dxf>
              <font>
                <color rgb="FF000000"/>
              </font>
              <fill>
                <patternFill>
                  <bgColor rgb="FFD9D9D9"/>
                </patternFill>
              </fill>
            </x14:dxf>
          </x14:cfRule>
          <x14:cfRule type="expression" priority="6" id="{00000000-000E-0000-0500-000006000000}">
            <xm:f>AND(H2&lt;&gt;"", IFERROR(INDEX('Recommendations'!$J$2:$J$419, MATCH(H2,'Recommendations'!$B$2:$B$419,0))="N/A",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3591</v>
      </c>
      <c r="B1" s="142" t="s">
        <v>2645</v>
      </c>
      <c r="C1" s="142" t="s">
        <v>1</v>
      </c>
      <c r="D1" s="142" t="s">
        <v>2646</v>
      </c>
      <c r="E1" s="142" t="s">
        <v>3592</v>
      </c>
      <c r="F1" s="142" t="s">
        <v>3593</v>
      </c>
      <c r="G1" s="142" t="s">
        <v>3594</v>
      </c>
      <c r="H1" s="142" t="s">
        <v>3595</v>
      </c>
      <c r="I1" s="142" t="s">
        <v>2651</v>
      </c>
      <c r="J1" s="142" t="s">
        <v>2652</v>
      </c>
      <c r="K1" s="142" t="s">
        <v>2653</v>
      </c>
      <c r="L1" s="142" t="s">
        <v>2654</v>
      </c>
      <c r="M1" s="142" t="s">
        <v>2655</v>
      </c>
      <c r="N1" s="142" t="s">
        <v>2656</v>
      </c>
      <c r="O1" s="142" t="s">
        <v>2657</v>
      </c>
      <c r="P1" s="142" t="s">
        <v>2658</v>
      </c>
      <c r="Q1" s="142" t="s">
        <v>2659</v>
      </c>
      <c r="R1" s="142" t="s">
        <v>2660</v>
      </c>
      <c r="S1" s="142" t="s">
        <v>2661</v>
      </c>
      <c r="T1" s="142" t="s">
        <v>2662</v>
      </c>
      <c r="U1" s="142" t="s">
        <v>2663</v>
      </c>
      <c r="V1" s="142" t="s">
        <v>2664</v>
      </c>
      <c r="W1" s="142" t="s">
        <v>2665</v>
      </c>
      <c r="X1" s="142" t="s">
        <v>2666</v>
      </c>
      <c r="Y1" s="142" t="s">
        <v>2667</v>
      </c>
      <c r="Z1" s="142" t="s">
        <v>2668</v>
      </c>
      <c r="AA1" s="142" t="s">
        <v>2669</v>
      </c>
      <c r="AB1" s="142" t="s">
        <v>2670</v>
      </c>
      <c r="AC1" s="142" t="s">
        <v>2671</v>
      </c>
      <c r="AD1" s="142" t="s">
        <v>2672</v>
      </c>
      <c r="AE1" s="142" t="s">
        <v>2673</v>
      </c>
      <c r="AF1" s="142" t="s">
        <v>2674</v>
      </c>
      <c r="AG1" s="142" t="s">
        <v>2675</v>
      </c>
      <c r="AH1" s="142" t="s">
        <v>2676</v>
      </c>
      <c r="AI1" s="142" t="s">
        <v>2677</v>
      </c>
      <c r="AJ1" s="142" t="s">
        <v>2678</v>
      </c>
      <c r="AK1" s="142" t="s">
        <v>2679</v>
      </c>
      <c r="AL1" s="142" t="s">
        <v>2680</v>
      </c>
      <c r="AM1" s="142" t="s">
        <v>2681</v>
      </c>
      <c r="AN1" s="142" t="s">
        <v>2682</v>
      </c>
      <c r="AO1" s="142" t="s">
        <v>2683</v>
      </c>
      <c r="AP1" s="142" t="s">
        <v>2684</v>
      </c>
      <c r="AQ1" s="142" t="s">
        <v>2685</v>
      </c>
      <c r="AR1" s="142" t="s">
        <v>2686</v>
      </c>
      <c r="AS1" s="142" t="s">
        <v>2687</v>
      </c>
      <c r="AT1" s="142" t="s">
        <v>2688</v>
      </c>
      <c r="AU1" s="142" t="s">
        <v>2689</v>
      </c>
      <c r="AV1" s="142" t="s">
        <v>2690</v>
      </c>
      <c r="AW1" s="143" t="s">
        <v>2691</v>
      </c>
    </row>
    <row r="2" spans="1:49" ht="60" customHeight="1" outlineLevel="1" x14ac:dyDescent="0.35">
      <c r="A2" s="135" t="s">
        <v>3596</v>
      </c>
      <c r="B2" s="121"/>
      <c r="C2" s="120" t="s">
        <v>3597</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3596</v>
      </c>
      <c r="B3" s="122" t="s">
        <v>2862</v>
      </c>
      <c r="C3" s="123" t="s">
        <v>3598</v>
      </c>
      <c r="D3" s="125" t="s">
        <v>3599</v>
      </c>
      <c r="E3" s="125" t="s">
        <v>3600</v>
      </c>
      <c r="F3" s="125" t="s">
        <v>3601</v>
      </c>
      <c r="G3" s="125" t="s">
        <v>3602</v>
      </c>
      <c r="H3" s="125" t="s">
        <v>3603</v>
      </c>
      <c r="I3" s="127">
        <f>IF(COUNTIF(J3:AW3,"&lt;&gt;")=0,"",SUMPRODUCT(((Recommendations[ImplStatus]="Implemented")+(Recommendations[ImplStatus]="Compensated"))*ISNUMBER(MATCH(Recommendations[Id],J3:AW3,0)))/COUNTIF(J3:AW3,"&lt;&gt;"))</f>
        <v>0</v>
      </c>
      <c r="J3" s="129" t="s">
        <v>2152</v>
      </c>
      <c r="K3" s="129" t="s">
        <v>2165</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3596</v>
      </c>
      <c r="B4" s="122" t="s">
        <v>3604</v>
      </c>
      <c r="C4" s="123" t="s">
        <v>3605</v>
      </c>
      <c r="D4" s="125" t="s">
        <v>3606</v>
      </c>
      <c r="E4" s="125" t="s">
        <v>3607</v>
      </c>
      <c r="F4" s="125" t="s">
        <v>3608</v>
      </c>
      <c r="G4" s="125" t="s">
        <v>3609</v>
      </c>
      <c r="H4" s="125" t="s">
        <v>3610</v>
      </c>
      <c r="I4" s="127">
        <f>IF(COUNTIF(J4:AW4,"&lt;&gt;")=0,"",SUMPRODUCT(((Recommendations[ImplStatus]="Implemented")+(Recommendations[ImplStatus]="Compensated"))*ISNUMBER(MATCH(Recommendations[Id],J4:AW4,0)))/COUNTIF(J4:AW4,"&lt;&gt;"))</f>
        <v>0</v>
      </c>
      <c r="J4" s="129" t="s">
        <v>444</v>
      </c>
      <c r="K4" s="129" t="s">
        <v>568</v>
      </c>
      <c r="L4" s="129" t="s">
        <v>576</v>
      </c>
      <c r="M4" s="129" t="s">
        <v>582</v>
      </c>
      <c r="N4" s="129" t="s">
        <v>590</v>
      </c>
      <c r="O4" s="129" t="s">
        <v>598</v>
      </c>
      <c r="P4" s="129" t="s">
        <v>605</v>
      </c>
      <c r="Q4" s="129" t="s">
        <v>613</v>
      </c>
      <c r="R4" s="129" t="s">
        <v>620</v>
      </c>
      <c r="S4" s="129" t="s">
        <v>1718</v>
      </c>
      <c r="T4" s="129" t="s">
        <v>1729</v>
      </c>
      <c r="U4" s="129" t="s">
        <v>1737</v>
      </c>
      <c r="V4" s="129" t="s">
        <v>1745</v>
      </c>
      <c r="W4" s="129" t="s">
        <v>1776</v>
      </c>
      <c r="X4" s="129" t="s">
        <v>1783</v>
      </c>
      <c r="Y4" s="129" t="s">
        <v>1795</v>
      </c>
      <c r="Z4" s="129" t="s">
        <v>1953</v>
      </c>
      <c r="AA4" s="129" t="s">
        <v>1960</v>
      </c>
      <c r="AB4" s="129" t="s">
        <v>2147</v>
      </c>
      <c r="AC4" s="129" t="s">
        <v>2159</v>
      </c>
      <c r="AD4" s="129" t="s">
        <v>2199</v>
      </c>
      <c r="AE4" s="129" t="s">
        <v>2206</v>
      </c>
      <c r="AF4" s="129" t="s">
        <v>2212</v>
      </c>
      <c r="AG4" s="129" t="s">
        <v>2218</v>
      </c>
      <c r="AH4" s="129"/>
      <c r="AI4" s="129"/>
      <c r="AJ4" s="129"/>
      <c r="AK4" s="129"/>
      <c r="AL4" s="129"/>
      <c r="AM4" s="129"/>
      <c r="AN4" s="129"/>
      <c r="AO4" s="129"/>
      <c r="AP4" s="129"/>
      <c r="AQ4" s="129"/>
      <c r="AR4" s="129"/>
      <c r="AS4" s="129"/>
      <c r="AT4" s="129"/>
      <c r="AU4" s="129"/>
      <c r="AV4" s="129"/>
      <c r="AW4" s="139"/>
    </row>
    <row r="5" spans="1:49" ht="60" customHeight="1" x14ac:dyDescent="0.35">
      <c r="A5" s="136" t="s">
        <v>3596</v>
      </c>
      <c r="B5" s="122" t="s">
        <v>3611</v>
      </c>
      <c r="C5" s="123" t="s">
        <v>3612</v>
      </c>
      <c r="D5" s="125" t="s">
        <v>3613</v>
      </c>
      <c r="E5" s="125" t="s">
        <v>3614</v>
      </c>
      <c r="F5" s="125" t="s">
        <v>3615</v>
      </c>
      <c r="G5" s="125" t="s">
        <v>3616</v>
      </c>
      <c r="H5" s="125" t="s">
        <v>3617</v>
      </c>
      <c r="I5" s="127">
        <f>IF(COUNTIF(J5:AW5,"&lt;&gt;")=0,"",SUMPRODUCT(((Recommendations[ImplStatus]="Implemented")+(Recommendations[ImplStatus]="Compensated"))*ISNUMBER(MATCH(Recommendations[Id],J5:AW5,0)))/COUNTIF(J5:AW5,"&lt;&gt;"))</f>
        <v>0</v>
      </c>
      <c r="J5" s="129" t="s">
        <v>1228</v>
      </c>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3596</v>
      </c>
      <c r="B6" s="122" t="s">
        <v>3618</v>
      </c>
      <c r="C6" s="123" t="s">
        <v>3619</v>
      </c>
      <c r="D6" s="125" t="s">
        <v>3620</v>
      </c>
      <c r="E6" s="125" t="s">
        <v>3621</v>
      </c>
      <c r="F6" s="125" t="s">
        <v>3622</v>
      </c>
      <c r="G6" s="125" t="s">
        <v>3623</v>
      </c>
      <c r="H6" s="125" t="s">
        <v>3624</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3596</v>
      </c>
      <c r="B7" s="122" t="s">
        <v>3625</v>
      </c>
      <c r="C7" s="123" t="s">
        <v>3626</v>
      </c>
      <c r="D7" s="125" t="s">
        <v>3627</v>
      </c>
      <c r="E7" s="125" t="s">
        <v>3628</v>
      </c>
      <c r="F7" s="125" t="s">
        <v>3629</v>
      </c>
      <c r="G7" s="125" t="s">
        <v>3630</v>
      </c>
      <c r="H7" s="125" t="s">
        <v>3631</v>
      </c>
      <c r="I7" s="127">
        <f>IF(COUNTIF(J7:AW7,"&lt;&gt;")=0,"",SUMPRODUCT(((Recommendations[ImplStatus]="Implemented")+(Recommendations[ImplStatus]="Compensated"))*ISNUMBER(MATCH(Recommendations[Id],J7:AW7,0)))/COUNTIF(J7:AW7,"&lt;&gt;"))</f>
        <v>0</v>
      </c>
      <c r="J7" s="129" t="s">
        <v>252</v>
      </c>
      <c r="K7" s="129" t="s">
        <v>260</v>
      </c>
      <c r="L7" s="129" t="s">
        <v>268</v>
      </c>
      <c r="M7" s="129" t="s">
        <v>276</v>
      </c>
      <c r="N7" s="129" t="s">
        <v>283</v>
      </c>
      <c r="O7" s="129" t="s">
        <v>286</v>
      </c>
      <c r="P7" s="129" t="s">
        <v>305</v>
      </c>
      <c r="Q7" s="129" t="s">
        <v>330</v>
      </c>
      <c r="R7" s="129" t="s">
        <v>338</v>
      </c>
      <c r="S7" s="129" t="s">
        <v>346</v>
      </c>
      <c r="T7" s="129" t="s">
        <v>354</v>
      </c>
      <c r="U7" s="129" t="s">
        <v>362</v>
      </c>
      <c r="V7" s="129" t="s">
        <v>369</v>
      </c>
      <c r="W7" s="129" t="s">
        <v>377</v>
      </c>
      <c r="X7" s="129" t="s">
        <v>444</v>
      </c>
      <c r="Y7" s="129" t="s">
        <v>1053</v>
      </c>
      <c r="Z7" s="129" t="s">
        <v>1270</v>
      </c>
      <c r="AA7" s="129" t="s">
        <v>1277</v>
      </c>
      <c r="AB7" s="129" t="s">
        <v>1284</v>
      </c>
      <c r="AC7" s="129" t="s">
        <v>1640</v>
      </c>
      <c r="AD7" s="129" t="s">
        <v>1663</v>
      </c>
      <c r="AE7" s="129" t="s">
        <v>1826</v>
      </c>
      <c r="AF7" s="129" t="s">
        <v>2108</v>
      </c>
      <c r="AG7" s="129" t="s">
        <v>2115</v>
      </c>
      <c r="AH7" s="129" t="s">
        <v>2172</v>
      </c>
      <c r="AI7" s="129" t="s">
        <v>2177</v>
      </c>
      <c r="AJ7" s="129" t="s">
        <v>2182</v>
      </c>
      <c r="AK7" s="129" t="s">
        <v>2188</v>
      </c>
      <c r="AL7" s="129" t="s">
        <v>2193</v>
      </c>
      <c r="AM7" s="129" t="s">
        <v>2229</v>
      </c>
      <c r="AN7" s="129" t="s">
        <v>2235</v>
      </c>
      <c r="AO7" s="129" t="s">
        <v>2241</v>
      </c>
      <c r="AP7" s="129" t="s">
        <v>2247</v>
      </c>
      <c r="AQ7" s="129" t="s">
        <v>2252</v>
      </c>
      <c r="AR7" s="129" t="s">
        <v>2257</v>
      </c>
      <c r="AS7" s="129" t="s">
        <v>2262</v>
      </c>
      <c r="AT7" s="129" t="s">
        <v>2267</v>
      </c>
      <c r="AU7" s="129" t="s">
        <v>2361</v>
      </c>
      <c r="AV7" s="129" t="s">
        <v>2412</v>
      </c>
      <c r="AW7" s="139"/>
    </row>
    <row r="8" spans="1:49" ht="60" customHeight="1" x14ac:dyDescent="0.35">
      <c r="A8" s="136" t="s">
        <v>3596</v>
      </c>
      <c r="B8" s="122" t="s">
        <v>3632</v>
      </c>
      <c r="C8" s="123" t="s">
        <v>3633</v>
      </c>
      <c r="D8" s="125" t="s">
        <v>3634</v>
      </c>
      <c r="E8" s="125" t="s">
        <v>3635</v>
      </c>
      <c r="F8" s="125" t="s">
        <v>3636</v>
      </c>
      <c r="G8" s="125" t="s">
        <v>3630</v>
      </c>
      <c r="H8" s="125" t="s">
        <v>3637</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3596</v>
      </c>
      <c r="B9" s="122" t="s">
        <v>3638</v>
      </c>
      <c r="C9" s="123" t="s">
        <v>3639</v>
      </c>
      <c r="D9" s="125" t="s">
        <v>3640</v>
      </c>
      <c r="E9" s="125" t="s">
        <v>3641</v>
      </c>
      <c r="F9" s="125" t="s">
        <v>3642</v>
      </c>
      <c r="G9" s="125" t="s">
        <v>3643</v>
      </c>
      <c r="H9" s="125" t="s">
        <v>3644</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3596</v>
      </c>
      <c r="B10" s="122" t="s">
        <v>3645</v>
      </c>
      <c r="C10" s="123" t="s">
        <v>3646</v>
      </c>
      <c r="D10" s="125" t="s">
        <v>3647</v>
      </c>
      <c r="E10" s="125" t="s">
        <v>3648</v>
      </c>
      <c r="F10" s="125" t="s">
        <v>3649</v>
      </c>
      <c r="G10" s="125" t="s">
        <v>3650</v>
      </c>
      <c r="H10" s="125" t="s">
        <v>3651</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3596</v>
      </c>
      <c r="B11" s="122" t="s">
        <v>3652</v>
      </c>
      <c r="C11" s="123" t="s">
        <v>3653</v>
      </c>
      <c r="D11" s="125" t="s">
        <v>3654</v>
      </c>
      <c r="E11" s="125" t="s">
        <v>3655</v>
      </c>
      <c r="F11" s="125" t="s">
        <v>3656</v>
      </c>
      <c r="G11" s="125" t="s">
        <v>3657</v>
      </c>
      <c r="H11" s="125" t="s">
        <v>3658</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3596</v>
      </c>
      <c r="B12" s="122" t="s">
        <v>3659</v>
      </c>
      <c r="C12" s="123" t="s">
        <v>3660</v>
      </c>
      <c r="D12" s="125" t="s">
        <v>3661</v>
      </c>
      <c r="E12" s="125" t="s">
        <v>3662</v>
      </c>
      <c r="F12" s="125" t="s">
        <v>3663</v>
      </c>
      <c r="G12" s="125" t="s">
        <v>3650</v>
      </c>
      <c r="H12" s="125" t="s">
        <v>3664</v>
      </c>
      <c r="I12" s="127">
        <f>IF(COUNTIF(J12:AW12,"&lt;&gt;")=0,"",SUMPRODUCT(((Recommendations[ImplStatus]="Implemented")+(Recommendations[ImplStatus]="Compensated"))*ISNUMBER(MATCH(Recommendations[Id],J12:AW12,0)))/COUNTIF(J12:AW12,"&lt;&gt;"))</f>
        <v>0</v>
      </c>
      <c r="J12" s="129" t="s">
        <v>289</v>
      </c>
      <c r="K12" s="129" t="s">
        <v>297</v>
      </c>
      <c r="L12" s="129" t="s">
        <v>1499</v>
      </c>
      <c r="M12" s="129" t="s">
        <v>1507</v>
      </c>
      <c r="N12" s="129" t="s">
        <v>1512</v>
      </c>
      <c r="O12" s="129" t="s">
        <v>1519</v>
      </c>
      <c r="P12" s="129" t="s">
        <v>1524</v>
      </c>
      <c r="Q12" s="129" t="s">
        <v>1527</v>
      </c>
      <c r="R12" s="129" t="s">
        <v>1530</v>
      </c>
      <c r="S12" s="129" t="s">
        <v>1533</v>
      </c>
      <c r="T12" s="129" t="s">
        <v>1536</v>
      </c>
      <c r="U12" s="129" t="s">
        <v>1539</v>
      </c>
      <c r="V12" s="129" t="s">
        <v>1542</v>
      </c>
      <c r="W12" s="129" t="s">
        <v>1545</v>
      </c>
      <c r="X12" s="129" t="s">
        <v>1548</v>
      </c>
      <c r="Y12" s="129" t="s">
        <v>1551</v>
      </c>
      <c r="Z12" s="129" t="s">
        <v>2012</v>
      </c>
      <c r="AA12" s="129" t="s">
        <v>2020</v>
      </c>
      <c r="AB12" s="129" t="s">
        <v>2028</v>
      </c>
      <c r="AC12" s="129" t="s">
        <v>2036</v>
      </c>
      <c r="AD12" s="129" t="s">
        <v>2044</v>
      </c>
      <c r="AE12" s="129" t="s">
        <v>2052</v>
      </c>
      <c r="AF12" s="129" t="s">
        <v>2060</v>
      </c>
      <c r="AG12" s="129" t="s">
        <v>2063</v>
      </c>
      <c r="AH12" s="129" t="s">
        <v>2066</v>
      </c>
      <c r="AI12" s="129" t="s">
        <v>2069</v>
      </c>
      <c r="AJ12" s="129"/>
      <c r="AK12" s="129"/>
      <c r="AL12" s="129"/>
      <c r="AM12" s="129"/>
      <c r="AN12" s="129"/>
      <c r="AO12" s="129"/>
      <c r="AP12" s="129"/>
      <c r="AQ12" s="129"/>
      <c r="AR12" s="129"/>
      <c r="AS12" s="129"/>
      <c r="AT12" s="129"/>
      <c r="AU12" s="129"/>
      <c r="AV12" s="129"/>
      <c r="AW12" s="139"/>
    </row>
    <row r="13" spans="1:49" ht="60" customHeight="1" x14ac:dyDescent="0.35">
      <c r="A13" s="136" t="s">
        <v>3596</v>
      </c>
      <c r="B13" s="122" t="s">
        <v>3665</v>
      </c>
      <c r="C13" s="123" t="s">
        <v>3666</v>
      </c>
      <c r="D13" s="125" t="s">
        <v>3667</v>
      </c>
      <c r="E13" s="125" t="s">
        <v>3668</v>
      </c>
      <c r="F13" s="125" t="s">
        <v>3669</v>
      </c>
      <c r="G13" s="125" t="s">
        <v>3650</v>
      </c>
      <c r="H13" s="125" t="s">
        <v>3670</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3596</v>
      </c>
      <c r="B14" s="122" t="s">
        <v>3671</v>
      </c>
      <c r="C14" s="123" t="s">
        <v>3672</v>
      </c>
      <c r="D14" s="125" t="s">
        <v>3673</v>
      </c>
      <c r="E14" s="125" t="s">
        <v>3674</v>
      </c>
      <c r="F14" s="125" t="s">
        <v>3675</v>
      </c>
      <c r="G14" s="125" t="s">
        <v>3676</v>
      </c>
      <c r="H14" s="125" t="s">
        <v>3677</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3596</v>
      </c>
      <c r="B15" s="122" t="s">
        <v>3678</v>
      </c>
      <c r="C15" s="123" t="s">
        <v>3679</v>
      </c>
      <c r="D15" s="125" t="s">
        <v>3680</v>
      </c>
      <c r="E15" s="125" t="s">
        <v>3681</v>
      </c>
      <c r="F15" s="125" t="s">
        <v>3682</v>
      </c>
      <c r="G15" s="125" t="s">
        <v>3683</v>
      </c>
      <c r="H15" s="125" t="s">
        <v>3684</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3596</v>
      </c>
      <c r="B16" s="122" t="s">
        <v>3685</v>
      </c>
      <c r="C16" s="123" t="s">
        <v>3686</v>
      </c>
      <c r="D16" s="125" t="s">
        <v>3687</v>
      </c>
      <c r="E16" s="125" t="s">
        <v>3688</v>
      </c>
      <c r="F16" s="125" t="s">
        <v>3689</v>
      </c>
      <c r="G16" s="125" t="s">
        <v>3690</v>
      </c>
      <c r="H16" s="125" t="s">
        <v>3691</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3596</v>
      </c>
      <c r="B17" s="122" t="s">
        <v>3692</v>
      </c>
      <c r="C17" s="123" t="s">
        <v>3693</v>
      </c>
      <c r="D17" s="125" t="s">
        <v>3694</v>
      </c>
      <c r="E17" s="125" t="s">
        <v>3695</v>
      </c>
      <c r="F17" s="125" t="s">
        <v>3696</v>
      </c>
      <c r="G17" s="125" t="s">
        <v>3697</v>
      </c>
      <c r="H17" s="125" t="s">
        <v>3698</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3596</v>
      </c>
      <c r="B18" s="122" t="s">
        <v>3699</v>
      </c>
      <c r="C18" s="123" t="s">
        <v>3700</v>
      </c>
      <c r="D18" s="125" t="s">
        <v>3701</v>
      </c>
      <c r="E18" s="125" t="s">
        <v>3702</v>
      </c>
      <c r="F18" s="125" t="s">
        <v>28</v>
      </c>
      <c r="G18" s="125" t="s">
        <v>28</v>
      </c>
      <c r="H18" s="125" t="s">
        <v>28</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3703</v>
      </c>
      <c r="B19" s="121"/>
      <c r="C19" s="120" t="s">
        <v>3704</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3703</v>
      </c>
      <c r="B20" s="122" t="s">
        <v>3705</v>
      </c>
      <c r="C20" s="123" t="s">
        <v>3706</v>
      </c>
      <c r="D20" s="125" t="s">
        <v>3707</v>
      </c>
      <c r="E20" s="125" t="s">
        <v>3708</v>
      </c>
      <c r="F20" s="125" t="s">
        <v>3709</v>
      </c>
      <c r="G20" s="125" t="s">
        <v>3710</v>
      </c>
      <c r="H20" s="125" t="s">
        <v>3711</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3703</v>
      </c>
      <c r="B21" s="122" t="s">
        <v>3712</v>
      </c>
      <c r="C21" s="123" t="s">
        <v>3713</v>
      </c>
      <c r="D21" s="125" t="s">
        <v>3714</v>
      </c>
      <c r="E21" s="125" t="s">
        <v>3715</v>
      </c>
      <c r="F21" s="125" t="s">
        <v>3716</v>
      </c>
      <c r="G21" s="125" t="s">
        <v>3717</v>
      </c>
      <c r="H21" s="125" t="s">
        <v>3718</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3719</v>
      </c>
      <c r="B22" s="121"/>
      <c r="C22" s="120" t="s">
        <v>3720</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3719</v>
      </c>
      <c r="B23" s="122" t="s">
        <v>3721</v>
      </c>
      <c r="C23" s="123" t="s">
        <v>3722</v>
      </c>
      <c r="D23" s="125" t="s">
        <v>3723</v>
      </c>
      <c r="E23" s="125" t="s">
        <v>3724</v>
      </c>
      <c r="F23" s="125" t="s">
        <v>3725</v>
      </c>
      <c r="G23" s="125" t="s">
        <v>3726</v>
      </c>
      <c r="H23" s="125" t="s">
        <v>3727</v>
      </c>
      <c r="I23" s="127">
        <f>IF(COUNTIF(J23:AW23,"&lt;&gt;")=0,"",SUMPRODUCT(((Recommendations[ImplStatus]="Implemented")+(Recommendations[ImplStatus]="Compensated"))*ISNUMBER(MATCH(Recommendations[Id],J23:AW23,0)))/COUNTIF(J23:AW23,"&lt;&gt;"))</f>
        <v>0</v>
      </c>
      <c r="J23" s="129" t="s">
        <v>813</v>
      </c>
      <c r="K23" s="129" t="s">
        <v>824</v>
      </c>
      <c r="L23" s="129" t="s">
        <v>832</v>
      </c>
      <c r="M23" s="129" t="s">
        <v>835</v>
      </c>
      <c r="N23" s="129" t="s">
        <v>838</v>
      </c>
      <c r="O23" s="129" t="s">
        <v>844</v>
      </c>
      <c r="P23" s="129" t="s">
        <v>852</v>
      </c>
      <c r="Q23" s="129" t="s">
        <v>855</v>
      </c>
      <c r="R23" s="129" t="s">
        <v>858</v>
      </c>
      <c r="S23" s="129" t="s">
        <v>866</v>
      </c>
      <c r="T23" s="129" t="s">
        <v>871</v>
      </c>
      <c r="U23" s="129" t="s">
        <v>877</v>
      </c>
      <c r="V23" s="129" t="s">
        <v>880</v>
      </c>
      <c r="W23" s="129" t="s">
        <v>885</v>
      </c>
      <c r="X23" s="129" t="s">
        <v>890</v>
      </c>
      <c r="Y23" s="129" t="s">
        <v>895</v>
      </c>
      <c r="Z23" s="129" t="s">
        <v>900</v>
      </c>
      <c r="AA23" s="129" t="s">
        <v>905</v>
      </c>
      <c r="AB23" s="129" t="s">
        <v>910</v>
      </c>
      <c r="AC23" s="129" t="s">
        <v>916</v>
      </c>
      <c r="AD23" s="129" t="s">
        <v>919</v>
      </c>
      <c r="AE23" s="129" t="s">
        <v>922</v>
      </c>
      <c r="AF23" s="129" t="s">
        <v>928</v>
      </c>
      <c r="AG23" s="129" t="s">
        <v>931</v>
      </c>
      <c r="AH23" s="129" t="s">
        <v>936</v>
      </c>
      <c r="AI23" s="129" t="s">
        <v>942</v>
      </c>
      <c r="AJ23" s="129" t="s">
        <v>948</v>
      </c>
      <c r="AK23" s="129" t="s">
        <v>1403</v>
      </c>
      <c r="AL23" s="129" t="s">
        <v>1406</v>
      </c>
      <c r="AM23" s="129" t="s">
        <v>1559</v>
      </c>
      <c r="AN23" s="129" t="s">
        <v>1562</v>
      </c>
      <c r="AO23" s="129" t="s">
        <v>1570</v>
      </c>
      <c r="AP23" s="129" t="s">
        <v>1982</v>
      </c>
      <c r="AQ23" s="129"/>
      <c r="AR23" s="129"/>
      <c r="AS23" s="129"/>
      <c r="AT23" s="129"/>
      <c r="AU23" s="129"/>
      <c r="AV23" s="129"/>
      <c r="AW23" s="139"/>
    </row>
    <row r="24" spans="1:49" ht="60" customHeight="1" x14ac:dyDescent="0.35">
      <c r="A24" s="136" t="s">
        <v>3719</v>
      </c>
      <c r="B24" s="122" t="s">
        <v>3728</v>
      </c>
      <c r="C24" s="123" t="s">
        <v>3729</v>
      </c>
      <c r="D24" s="125" t="s">
        <v>3730</v>
      </c>
      <c r="E24" s="125" t="s">
        <v>3731</v>
      </c>
      <c r="F24" s="125" t="s">
        <v>3732</v>
      </c>
      <c r="G24" s="125" t="s">
        <v>3733</v>
      </c>
      <c r="H24" s="125" t="s">
        <v>3734</v>
      </c>
      <c r="I24" s="127">
        <f>IF(COUNTIF(J24:AW24,"&lt;&gt;")=0,"",SUMPRODUCT(((Recommendations[ImplStatus]="Implemented")+(Recommendations[ImplStatus]="Compensated"))*ISNUMBER(MATCH(Recommendations[Id],J24:AW24,0)))/COUNTIF(J24:AW24,"&lt;&gt;"))</f>
        <v>0</v>
      </c>
      <c r="J24" s="129" t="s">
        <v>838</v>
      </c>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3719</v>
      </c>
      <c r="B25" s="122" t="s">
        <v>3735</v>
      </c>
      <c r="C25" s="123" t="s">
        <v>3736</v>
      </c>
      <c r="D25" s="125" t="s">
        <v>3737</v>
      </c>
      <c r="E25" s="125" t="s">
        <v>3738</v>
      </c>
      <c r="F25" s="125" t="s">
        <v>3739</v>
      </c>
      <c r="G25" s="125" t="s">
        <v>3740</v>
      </c>
      <c r="H25" s="125" t="s">
        <v>3741</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3719</v>
      </c>
      <c r="B26" s="122" t="s">
        <v>3742</v>
      </c>
      <c r="C26" s="123" t="s">
        <v>3743</v>
      </c>
      <c r="D26" s="125" t="s">
        <v>3744</v>
      </c>
      <c r="E26" s="125" t="s">
        <v>3745</v>
      </c>
      <c r="F26" s="125" t="s">
        <v>3746</v>
      </c>
      <c r="G26" s="125" t="s">
        <v>3733</v>
      </c>
      <c r="H26" s="125" t="s">
        <v>3747</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3719</v>
      </c>
      <c r="B27" s="122" t="s">
        <v>3748</v>
      </c>
      <c r="C27" s="123" t="s">
        <v>3749</v>
      </c>
      <c r="D27" s="125" t="s">
        <v>3750</v>
      </c>
      <c r="E27" s="125" t="s">
        <v>3751</v>
      </c>
      <c r="F27" s="125" t="s">
        <v>3752</v>
      </c>
      <c r="G27" s="125" t="s">
        <v>3753</v>
      </c>
      <c r="H27" s="125" t="s">
        <v>3754</v>
      </c>
      <c r="I27" s="127">
        <f>IF(COUNTIF(J27:AW27,"&lt;&gt;")=0,"",SUMPRODUCT(((Recommendations[ImplStatus]="Implemented")+(Recommendations[ImplStatus]="Compensated"))*ISNUMBER(MATCH(Recommendations[Id],J27:AW27,0)))/COUNTIF(J27:AW27,"&lt;&gt;"))</f>
        <v>0</v>
      </c>
      <c r="J27" s="129" t="s">
        <v>821</v>
      </c>
      <c r="K27" s="129" t="s">
        <v>955</v>
      </c>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3719</v>
      </c>
      <c r="B28" s="122" t="s">
        <v>3755</v>
      </c>
      <c r="C28" s="123" t="s">
        <v>3756</v>
      </c>
      <c r="D28" s="125" t="s">
        <v>3757</v>
      </c>
      <c r="E28" s="125" t="s">
        <v>3758</v>
      </c>
      <c r="F28" s="125" t="s">
        <v>3759</v>
      </c>
      <c r="G28" s="125" t="s">
        <v>3760</v>
      </c>
      <c r="H28" s="125" t="s">
        <v>3761</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3719</v>
      </c>
      <c r="B29" s="122" t="s">
        <v>3762</v>
      </c>
      <c r="C29" s="123" t="s">
        <v>3763</v>
      </c>
      <c r="D29" s="125" t="s">
        <v>3764</v>
      </c>
      <c r="E29" s="125" t="s">
        <v>3765</v>
      </c>
      <c r="F29" s="125" t="s">
        <v>3766</v>
      </c>
      <c r="G29" s="125" t="s">
        <v>3650</v>
      </c>
      <c r="H29" s="125" t="s">
        <v>3767</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3719</v>
      </c>
      <c r="B30" s="122" t="s">
        <v>3768</v>
      </c>
      <c r="C30" s="123" t="s">
        <v>3769</v>
      </c>
      <c r="D30" s="125" t="s">
        <v>3770</v>
      </c>
      <c r="E30" s="125" t="s">
        <v>3771</v>
      </c>
      <c r="F30" s="125" t="s">
        <v>3772</v>
      </c>
      <c r="G30" s="125" t="s">
        <v>3733</v>
      </c>
      <c r="H30" s="125" t="s">
        <v>3773</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3774</v>
      </c>
      <c r="B31" s="121"/>
      <c r="C31" s="120" t="s">
        <v>3775</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3774</v>
      </c>
      <c r="B32" s="122" t="s">
        <v>3776</v>
      </c>
      <c r="C32" s="123" t="s">
        <v>3777</v>
      </c>
      <c r="D32" s="125" t="s">
        <v>3778</v>
      </c>
      <c r="E32" s="125" t="s">
        <v>3779</v>
      </c>
      <c r="F32" s="125" t="s">
        <v>3780</v>
      </c>
      <c r="G32" s="125" t="s">
        <v>3781</v>
      </c>
      <c r="H32" s="125" t="s">
        <v>3782</v>
      </c>
      <c r="I32" s="127">
        <f>IF(COUNTIF(J32:AW32,"&lt;&gt;")=0,"",SUMPRODUCT(((Recommendations[ImplStatus]="Implemented")+(Recommendations[ImplStatus]="Compensated"))*ISNUMBER(MATCH(Recommendations[Id],J32:AW32,0)))/COUNTIF(J32:AW32,"&lt;&gt;"))</f>
        <v>0</v>
      </c>
      <c r="J32" s="129" t="s">
        <v>1249</v>
      </c>
      <c r="K32" s="129" t="s">
        <v>1252</v>
      </c>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3774</v>
      </c>
      <c r="B33" s="122" t="s">
        <v>3783</v>
      </c>
      <c r="C33" s="123" t="s">
        <v>3784</v>
      </c>
      <c r="D33" s="125" t="s">
        <v>3785</v>
      </c>
      <c r="E33" s="125" t="s">
        <v>3786</v>
      </c>
      <c r="F33" s="125" t="s">
        <v>3787</v>
      </c>
      <c r="G33" s="125" t="s">
        <v>3788</v>
      </c>
      <c r="H33" s="125" t="s">
        <v>3789</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3774</v>
      </c>
      <c r="B34" s="122" t="s">
        <v>3790</v>
      </c>
      <c r="C34" s="123" t="s">
        <v>3791</v>
      </c>
      <c r="D34" s="125" t="s">
        <v>3792</v>
      </c>
      <c r="E34" s="125" t="s">
        <v>3793</v>
      </c>
      <c r="F34" s="125" t="s">
        <v>3794</v>
      </c>
      <c r="G34" s="125" t="s">
        <v>3795</v>
      </c>
      <c r="H34" s="125" t="s">
        <v>3796</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3774</v>
      </c>
      <c r="B35" s="122" t="s">
        <v>3797</v>
      </c>
      <c r="C35" s="123" t="s">
        <v>3798</v>
      </c>
      <c r="D35" s="125" t="s">
        <v>3799</v>
      </c>
      <c r="E35" s="125" t="s">
        <v>3800</v>
      </c>
      <c r="F35" s="125" t="s">
        <v>3801</v>
      </c>
      <c r="G35" s="125" t="s">
        <v>3802</v>
      </c>
      <c r="H35" s="125" t="s">
        <v>3803</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3774</v>
      </c>
      <c r="B36" s="122" t="s">
        <v>3804</v>
      </c>
      <c r="C36" s="123" t="s">
        <v>3805</v>
      </c>
      <c r="D36" s="125" t="s">
        <v>3806</v>
      </c>
      <c r="E36" s="125" t="s">
        <v>3807</v>
      </c>
      <c r="F36" s="125" t="s">
        <v>3808</v>
      </c>
      <c r="G36" s="125" t="s">
        <v>3809</v>
      </c>
      <c r="H36" s="125" t="s">
        <v>3810</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3774</v>
      </c>
      <c r="B37" s="122" t="s">
        <v>3811</v>
      </c>
      <c r="C37" s="123" t="s">
        <v>3812</v>
      </c>
      <c r="D37" s="125" t="s">
        <v>3813</v>
      </c>
      <c r="E37" s="125" t="s">
        <v>3814</v>
      </c>
      <c r="F37" s="125" t="s">
        <v>3815</v>
      </c>
      <c r="G37" s="125" t="s">
        <v>3816</v>
      </c>
      <c r="H37" s="125" t="s">
        <v>3817</v>
      </c>
      <c r="I37" s="127">
        <f>IF(COUNTIF(J37:AW37,"&lt;&gt;")=0,"",SUMPRODUCT(((Recommendations[ImplStatus]="Implemented")+(Recommendations[ImplStatus]="Compensated"))*ISNUMBER(MATCH(Recommendations[Id],J37:AW37,0)))/COUNTIF(J37:AW37,"&lt;&gt;"))</f>
        <v>0</v>
      </c>
      <c r="J37" s="129" t="s">
        <v>967</v>
      </c>
      <c r="K37" s="129" t="s">
        <v>975</v>
      </c>
      <c r="L37" s="129" t="s">
        <v>983</v>
      </c>
      <c r="M37" s="129" t="s">
        <v>1061</v>
      </c>
      <c r="N37" s="129" t="s">
        <v>1064</v>
      </c>
      <c r="O37" s="129" t="s">
        <v>1187</v>
      </c>
      <c r="P37" s="129" t="s">
        <v>1190</v>
      </c>
      <c r="Q37" s="129" t="s">
        <v>1199</v>
      </c>
      <c r="R37" s="129" t="s">
        <v>1208</v>
      </c>
      <c r="S37" s="129" t="s">
        <v>1270</v>
      </c>
      <c r="T37" s="129" t="s">
        <v>1277</v>
      </c>
      <c r="U37" s="129" t="s">
        <v>1284</v>
      </c>
      <c r="V37" s="129" t="s">
        <v>1286</v>
      </c>
      <c r="W37" s="129" t="s">
        <v>1289</v>
      </c>
      <c r="X37" s="129" t="s">
        <v>1297</v>
      </c>
      <c r="Y37" s="129" t="s">
        <v>1300</v>
      </c>
      <c r="Z37" s="129" t="s">
        <v>1303</v>
      </c>
      <c r="AA37" s="129" t="s">
        <v>1578</v>
      </c>
      <c r="AB37" s="129" t="s">
        <v>1922</v>
      </c>
      <c r="AC37" s="129" t="s">
        <v>1968</v>
      </c>
      <c r="AD37" s="129" t="s">
        <v>1976</v>
      </c>
      <c r="AE37" s="129" t="s">
        <v>2095</v>
      </c>
      <c r="AF37" s="129" t="s">
        <v>2388</v>
      </c>
      <c r="AG37" s="129" t="s">
        <v>2396</v>
      </c>
      <c r="AH37" s="129" t="s">
        <v>2404</v>
      </c>
      <c r="AI37" s="129"/>
      <c r="AJ37" s="129"/>
      <c r="AK37" s="129"/>
      <c r="AL37" s="129"/>
      <c r="AM37" s="129"/>
      <c r="AN37" s="129"/>
      <c r="AO37" s="129"/>
      <c r="AP37" s="129"/>
      <c r="AQ37" s="129"/>
      <c r="AR37" s="129"/>
      <c r="AS37" s="129"/>
      <c r="AT37" s="129"/>
      <c r="AU37" s="129"/>
      <c r="AV37" s="129"/>
      <c r="AW37" s="139"/>
    </row>
    <row r="38" spans="1:49" ht="60" customHeight="1" x14ac:dyDescent="0.35">
      <c r="A38" s="136" t="s">
        <v>3774</v>
      </c>
      <c r="B38" s="122" t="s">
        <v>3818</v>
      </c>
      <c r="C38" s="123" t="s">
        <v>3819</v>
      </c>
      <c r="D38" s="125" t="s">
        <v>3820</v>
      </c>
      <c r="E38" s="125" t="s">
        <v>3821</v>
      </c>
      <c r="F38" s="125" t="s">
        <v>3822</v>
      </c>
      <c r="G38" s="125" t="s">
        <v>3823</v>
      </c>
      <c r="H38" s="125" t="s">
        <v>3824</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3774</v>
      </c>
      <c r="B39" s="122" t="s">
        <v>3825</v>
      </c>
      <c r="C39" s="123" t="s">
        <v>3826</v>
      </c>
      <c r="D39" s="125" t="s">
        <v>3827</v>
      </c>
      <c r="E39" s="125" t="s">
        <v>3828</v>
      </c>
      <c r="F39" s="125" t="s">
        <v>3829</v>
      </c>
      <c r="G39" s="125" t="s">
        <v>3830</v>
      </c>
      <c r="H39" s="125" t="s">
        <v>3831</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3774</v>
      </c>
      <c r="B40" s="122" t="s">
        <v>3832</v>
      </c>
      <c r="C40" s="123" t="s">
        <v>3833</v>
      </c>
      <c r="D40" s="125" t="s">
        <v>3834</v>
      </c>
      <c r="E40" s="125" t="s">
        <v>3835</v>
      </c>
      <c r="F40" s="125" t="s">
        <v>3836</v>
      </c>
      <c r="G40" s="125" t="s">
        <v>3837</v>
      </c>
      <c r="H40" s="125" t="s">
        <v>3838</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3774</v>
      </c>
      <c r="B41" s="122" t="s">
        <v>3839</v>
      </c>
      <c r="C41" s="123" t="s">
        <v>3840</v>
      </c>
      <c r="D41" s="125" t="s">
        <v>3841</v>
      </c>
      <c r="E41" s="125" t="s">
        <v>3842</v>
      </c>
      <c r="F41" s="125" t="s">
        <v>3843</v>
      </c>
      <c r="G41" s="125" t="s">
        <v>3781</v>
      </c>
      <c r="H41" s="125" t="s">
        <v>3844</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3845</v>
      </c>
      <c r="B42" s="121"/>
      <c r="C42" s="120" t="s">
        <v>3846</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3845</v>
      </c>
      <c r="B43" s="122" t="s">
        <v>3847</v>
      </c>
      <c r="C43" s="123" t="s">
        <v>3848</v>
      </c>
      <c r="D43" s="125" t="s">
        <v>3849</v>
      </c>
      <c r="E43" s="125" t="s">
        <v>3850</v>
      </c>
      <c r="F43" s="125" t="s">
        <v>3851</v>
      </c>
      <c r="G43" s="125" t="s">
        <v>3852</v>
      </c>
      <c r="H43" s="125" t="s">
        <v>3853</v>
      </c>
      <c r="I43" s="127">
        <f>IF(COUNTIF(J43:AW43,"&lt;&gt;")=0,"",SUMPRODUCT(((Recommendations[ImplStatus]="Implemented")+(Recommendations[ImplStatus]="Compensated"))*ISNUMBER(MATCH(Recommendations[Id],J43:AW43,0)))/COUNTIF(J43:AW43,"&lt;&gt;"))</f>
        <v>0</v>
      </c>
      <c r="J43" s="129" t="s">
        <v>159</v>
      </c>
      <c r="K43" s="129" t="s">
        <v>167</v>
      </c>
      <c r="L43" s="129" t="s">
        <v>175</v>
      </c>
      <c r="M43" s="129" t="s">
        <v>415</v>
      </c>
      <c r="N43" s="129" t="s">
        <v>419</v>
      </c>
      <c r="O43" s="129" t="s">
        <v>427</v>
      </c>
      <c r="P43" s="129" t="s">
        <v>434</v>
      </c>
      <c r="Q43" s="129" t="s">
        <v>437</v>
      </c>
      <c r="R43" s="129" t="s">
        <v>1029</v>
      </c>
      <c r="S43" s="129" t="s">
        <v>1311</v>
      </c>
      <c r="T43" s="129" t="s">
        <v>1319</v>
      </c>
      <c r="U43" s="129" t="s">
        <v>1699</v>
      </c>
      <c r="V43" s="129" t="s">
        <v>1930</v>
      </c>
      <c r="W43" s="129" t="s">
        <v>1938</v>
      </c>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3845</v>
      </c>
      <c r="B44" s="122" t="s">
        <v>3854</v>
      </c>
      <c r="C44" s="123" t="s">
        <v>3855</v>
      </c>
      <c r="D44" s="125" t="s">
        <v>3856</v>
      </c>
      <c r="E44" s="125" t="s">
        <v>3857</v>
      </c>
      <c r="F44" s="125" t="s">
        <v>3858</v>
      </c>
      <c r="G44" s="125" t="s">
        <v>3859</v>
      </c>
      <c r="H44" s="125" t="s">
        <v>3860</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3845</v>
      </c>
      <c r="B45" s="122" t="s">
        <v>3861</v>
      </c>
      <c r="C45" s="123" t="s">
        <v>3862</v>
      </c>
      <c r="D45" s="125" t="s">
        <v>3863</v>
      </c>
      <c r="E45" s="125" t="s">
        <v>3864</v>
      </c>
      <c r="F45" s="125" t="s">
        <v>3865</v>
      </c>
      <c r="G45" s="125" t="s">
        <v>3866</v>
      </c>
      <c r="H45" s="125" t="s">
        <v>3867</v>
      </c>
      <c r="I45" s="127">
        <f>IF(COUNTIF(J45:AW45,"&lt;&gt;")=0,"",SUMPRODUCT(((Recommendations[ImplStatus]="Implemented")+(Recommendations[ImplStatus]="Compensated"))*ISNUMBER(MATCH(Recommendations[Id],J45:AW45,0)))/COUNTIF(J45:AW45,"&lt;&gt;"))</f>
        <v>0</v>
      </c>
      <c r="J45" s="129" t="s">
        <v>466</v>
      </c>
      <c r="K45" s="129" t="s">
        <v>469</v>
      </c>
      <c r="L45" s="129" t="s">
        <v>475</v>
      </c>
      <c r="M45" s="129" t="s">
        <v>478</v>
      </c>
      <c r="N45" s="129" t="s">
        <v>481</v>
      </c>
      <c r="O45" s="129" t="s">
        <v>1761</v>
      </c>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3845</v>
      </c>
      <c r="B46" s="122" t="s">
        <v>3868</v>
      </c>
      <c r="C46" s="123" t="s">
        <v>3869</v>
      </c>
      <c r="D46" s="125" t="s">
        <v>3870</v>
      </c>
      <c r="E46" s="125" t="s">
        <v>3871</v>
      </c>
      <c r="F46" s="125" t="s">
        <v>3872</v>
      </c>
      <c r="G46" s="125" t="s">
        <v>3866</v>
      </c>
      <c r="H46" s="125" t="s">
        <v>3873</v>
      </c>
      <c r="I46" s="127">
        <f>IF(COUNTIF(J46:AW46,"&lt;&gt;")=0,"",SUMPRODUCT(((Recommendations[ImplStatus]="Implemented")+(Recommendations[ImplStatus]="Compensated"))*ISNUMBER(MATCH(Recommendations[Id],J46:AW46,0)))/COUNTIF(J46:AW46,"&lt;&gt;"))</f>
        <v>0</v>
      </c>
      <c r="J46" s="129" t="s">
        <v>2224</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3845</v>
      </c>
      <c r="B47" s="122" t="s">
        <v>3874</v>
      </c>
      <c r="C47" s="123" t="s">
        <v>3875</v>
      </c>
      <c r="D47" s="125" t="s">
        <v>3876</v>
      </c>
      <c r="E47" s="125" t="s">
        <v>3877</v>
      </c>
      <c r="F47" s="125" t="s">
        <v>3878</v>
      </c>
      <c r="G47" s="125" t="s">
        <v>3879</v>
      </c>
      <c r="H47" s="125" t="s">
        <v>3880</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3845</v>
      </c>
      <c r="B48" s="122" t="s">
        <v>3881</v>
      </c>
      <c r="C48" s="123" t="s">
        <v>3882</v>
      </c>
      <c r="D48" s="125" t="s">
        <v>3883</v>
      </c>
      <c r="E48" s="125" t="s">
        <v>3884</v>
      </c>
      <c r="F48" s="125" t="s">
        <v>3885</v>
      </c>
      <c r="G48" s="125" t="s">
        <v>3886</v>
      </c>
      <c r="H48" s="125" t="s">
        <v>3887</v>
      </c>
      <c r="I48" s="127">
        <f>IF(COUNTIF(J48:AW48,"&lt;&gt;")=0,"",SUMPRODUCT(((Recommendations[ImplStatus]="Implemented")+(Recommendations[ImplStatus]="Compensated"))*ISNUMBER(MATCH(Recommendations[Id],J48:AW48,0)))/COUNTIF(J48:AW48,"&lt;&gt;"))</f>
        <v>0</v>
      </c>
      <c r="J48" s="129" t="s">
        <v>437</v>
      </c>
      <c r="K48" s="129" t="s">
        <v>535</v>
      </c>
      <c r="L48" s="129" t="s">
        <v>543</v>
      </c>
      <c r="M48" s="129" t="s">
        <v>550</v>
      </c>
      <c r="N48" s="129" t="s">
        <v>557</v>
      </c>
      <c r="O48" s="129" t="s">
        <v>1179</v>
      </c>
      <c r="P48" s="129" t="s">
        <v>1438</v>
      </c>
      <c r="Q48" s="129" t="s">
        <v>1446</v>
      </c>
      <c r="R48" s="129" t="s">
        <v>1453</v>
      </c>
      <c r="S48" s="129" t="s">
        <v>1460</v>
      </c>
      <c r="T48" s="129" t="s">
        <v>1467</v>
      </c>
      <c r="U48" s="129" t="s">
        <v>1475</v>
      </c>
      <c r="V48" s="129" t="s">
        <v>1482</v>
      </c>
      <c r="W48" s="129" t="s">
        <v>1488</v>
      </c>
      <c r="X48" s="129" t="s">
        <v>1710</v>
      </c>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3845</v>
      </c>
      <c r="B49" s="122" t="s">
        <v>3888</v>
      </c>
      <c r="C49" s="123" t="s">
        <v>3889</v>
      </c>
      <c r="D49" s="125" t="s">
        <v>3890</v>
      </c>
      <c r="E49" s="125" t="s">
        <v>3891</v>
      </c>
      <c r="F49" s="125" t="s">
        <v>3892</v>
      </c>
      <c r="G49" s="125" t="s">
        <v>3650</v>
      </c>
      <c r="H49" s="125" t="s">
        <v>3893</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3845</v>
      </c>
      <c r="B50" s="122" t="s">
        <v>3894</v>
      </c>
      <c r="C50" s="123" t="s">
        <v>3895</v>
      </c>
      <c r="D50" s="125" t="s">
        <v>3896</v>
      </c>
      <c r="E50" s="125" t="s">
        <v>3897</v>
      </c>
      <c r="F50" s="125" t="s">
        <v>3898</v>
      </c>
      <c r="G50" s="125" t="s">
        <v>3899</v>
      </c>
      <c r="H50" s="125" t="s">
        <v>3900</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3901</v>
      </c>
      <c r="B51" s="121"/>
      <c r="C51" s="120" t="s">
        <v>3902</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3901</v>
      </c>
      <c r="B52" s="122" t="s">
        <v>3903</v>
      </c>
      <c r="C52" s="123" t="s">
        <v>3904</v>
      </c>
      <c r="D52" s="125" t="s">
        <v>3905</v>
      </c>
      <c r="E52" s="125" t="s">
        <v>3906</v>
      </c>
      <c r="F52" s="125" t="s">
        <v>3907</v>
      </c>
      <c r="G52" s="125" t="s">
        <v>3908</v>
      </c>
      <c r="H52" s="125" t="s">
        <v>3909</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3901</v>
      </c>
      <c r="B53" s="122" t="s">
        <v>3910</v>
      </c>
      <c r="C53" s="123" t="s">
        <v>3911</v>
      </c>
      <c r="D53" s="125" t="s">
        <v>3912</v>
      </c>
      <c r="E53" s="125" t="s">
        <v>3913</v>
      </c>
      <c r="F53" s="125" t="s">
        <v>3914</v>
      </c>
      <c r="G53" s="125" t="s">
        <v>3915</v>
      </c>
      <c r="H53" s="125" t="s">
        <v>3916</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3901</v>
      </c>
      <c r="B54" s="122" t="s">
        <v>3917</v>
      </c>
      <c r="C54" s="123" t="s">
        <v>3918</v>
      </c>
      <c r="D54" s="125" t="s">
        <v>3919</v>
      </c>
      <c r="E54" s="125" t="s">
        <v>3920</v>
      </c>
      <c r="F54" s="125" t="s">
        <v>3921</v>
      </c>
      <c r="G54" s="125" t="s">
        <v>3922</v>
      </c>
      <c r="H54" s="125" t="s">
        <v>28</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3901</v>
      </c>
      <c r="B55" s="122" t="s">
        <v>3923</v>
      </c>
      <c r="C55" s="123" t="s">
        <v>3924</v>
      </c>
      <c r="D55" s="125" t="s">
        <v>3925</v>
      </c>
      <c r="E55" s="125" t="s">
        <v>3926</v>
      </c>
      <c r="F55" s="125" t="s">
        <v>3927</v>
      </c>
      <c r="G55" s="125" t="s">
        <v>3928</v>
      </c>
      <c r="H55" s="125" t="s">
        <v>28</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3901</v>
      </c>
      <c r="B56" s="122" t="s">
        <v>3929</v>
      </c>
      <c r="C56" s="123" t="s">
        <v>3930</v>
      </c>
      <c r="D56" s="125" t="s">
        <v>3931</v>
      </c>
      <c r="E56" s="125" t="s">
        <v>3932</v>
      </c>
      <c r="F56" s="125" t="s">
        <v>3933</v>
      </c>
      <c r="G56" s="125" t="s">
        <v>3934</v>
      </c>
      <c r="H56" s="125" t="s">
        <v>3935</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3936</v>
      </c>
      <c r="B57" s="121"/>
      <c r="C57" s="120" t="s">
        <v>3937</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3936</v>
      </c>
      <c r="B58" s="122" t="s">
        <v>3938</v>
      </c>
      <c r="C58" s="123" t="s">
        <v>3939</v>
      </c>
      <c r="D58" s="125" t="s">
        <v>3940</v>
      </c>
      <c r="E58" s="125" t="s">
        <v>3941</v>
      </c>
      <c r="F58" s="125" t="s">
        <v>3942</v>
      </c>
      <c r="G58" s="125" t="s">
        <v>3943</v>
      </c>
      <c r="H58" s="125" t="s">
        <v>3944</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3936</v>
      </c>
      <c r="B59" s="122" t="s">
        <v>3945</v>
      </c>
      <c r="C59" s="123" t="s">
        <v>3946</v>
      </c>
      <c r="D59" s="125" t="s">
        <v>3947</v>
      </c>
      <c r="E59" s="125" t="s">
        <v>3948</v>
      </c>
      <c r="F59" s="125" t="s">
        <v>3949</v>
      </c>
      <c r="G59" s="125" t="s">
        <v>3950</v>
      </c>
      <c r="H59" s="125" t="s">
        <v>3951</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3936</v>
      </c>
      <c r="B60" s="122" t="s">
        <v>3952</v>
      </c>
      <c r="C60" s="123" t="s">
        <v>3953</v>
      </c>
      <c r="D60" s="125" t="s">
        <v>3954</v>
      </c>
      <c r="E60" s="125" t="s">
        <v>3955</v>
      </c>
      <c r="F60" s="125" t="s">
        <v>3956</v>
      </c>
      <c r="G60" s="125" t="s">
        <v>3957</v>
      </c>
      <c r="H60" s="125" t="s">
        <v>3958</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3959</v>
      </c>
      <c r="B61" s="121"/>
      <c r="C61" s="120" t="s">
        <v>3960</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3959</v>
      </c>
      <c r="B62" s="122" t="s">
        <v>3961</v>
      </c>
      <c r="C62" s="123" t="s">
        <v>3962</v>
      </c>
      <c r="D62" s="125" t="s">
        <v>3963</v>
      </c>
      <c r="E62" s="125" t="s">
        <v>3964</v>
      </c>
      <c r="F62" s="125" t="s">
        <v>3965</v>
      </c>
      <c r="G62" s="125" t="s">
        <v>3966</v>
      </c>
      <c r="H62" s="125" t="s">
        <v>3967</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3959</v>
      </c>
      <c r="B63" s="122" t="s">
        <v>3968</v>
      </c>
      <c r="C63" s="123" t="s">
        <v>3969</v>
      </c>
      <c r="D63" s="125" t="s">
        <v>3970</v>
      </c>
      <c r="E63" s="125" t="s">
        <v>3971</v>
      </c>
      <c r="F63" s="125" t="s">
        <v>3972</v>
      </c>
      <c r="G63" s="125" t="s">
        <v>3973</v>
      </c>
      <c r="H63" s="125" t="s">
        <v>3974</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3959</v>
      </c>
      <c r="B64" s="122" t="s">
        <v>3975</v>
      </c>
      <c r="C64" s="123" t="s">
        <v>3976</v>
      </c>
      <c r="D64" s="125" t="s">
        <v>3977</v>
      </c>
      <c r="E64" s="125" t="s">
        <v>3978</v>
      </c>
      <c r="F64" s="125" t="s">
        <v>3979</v>
      </c>
      <c r="G64" s="125" t="s">
        <v>3980</v>
      </c>
      <c r="H64" s="125" t="s">
        <v>3981</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3959</v>
      </c>
      <c r="B65" s="122" t="s">
        <v>3982</v>
      </c>
      <c r="C65" s="123" t="s">
        <v>3983</v>
      </c>
      <c r="D65" s="125" t="s">
        <v>3984</v>
      </c>
      <c r="E65" s="125" t="s">
        <v>3985</v>
      </c>
      <c r="F65" s="125" t="s">
        <v>3986</v>
      </c>
      <c r="G65" s="125" t="s">
        <v>3987</v>
      </c>
      <c r="H65" s="125" t="s">
        <v>3988</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3959</v>
      </c>
      <c r="B66" s="122" t="s">
        <v>3989</v>
      </c>
      <c r="C66" s="123" t="s">
        <v>3990</v>
      </c>
      <c r="D66" s="125" t="s">
        <v>3991</v>
      </c>
      <c r="E66" s="125" t="s">
        <v>3992</v>
      </c>
      <c r="F66" s="125" t="s">
        <v>3993</v>
      </c>
      <c r="G66" s="125" t="s">
        <v>3994</v>
      </c>
      <c r="H66" s="125" t="s">
        <v>3995</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3959</v>
      </c>
      <c r="B67" s="122" t="s">
        <v>3996</v>
      </c>
      <c r="C67" s="123" t="s">
        <v>3997</v>
      </c>
      <c r="D67" s="125" t="s">
        <v>3998</v>
      </c>
      <c r="E67" s="125" t="s">
        <v>3999</v>
      </c>
      <c r="F67" s="125" t="s">
        <v>4000</v>
      </c>
      <c r="G67" s="125" t="s">
        <v>4001</v>
      </c>
      <c r="H67" s="125" t="s">
        <v>4002</v>
      </c>
      <c r="I67" s="127">
        <f>IF(COUNTIF(J67:AW67,"&lt;&gt;")=0,"",SUMPRODUCT(((Recommendations[ImplStatus]="Implemented")+(Recommendations[ImplStatus]="Compensated"))*ISNUMBER(MATCH(Recommendations[Id],J67:AW67,0)))/COUNTIF(J67:AW67,"&lt;&gt;"))</f>
        <v>0</v>
      </c>
      <c r="J67" s="129" t="s">
        <v>1040</v>
      </c>
      <c r="K67" s="129" t="s">
        <v>1187</v>
      </c>
      <c r="L67" s="129" t="s">
        <v>1196</v>
      </c>
      <c r="M67" s="129" t="s">
        <v>1205</v>
      </c>
      <c r="N67" s="129" t="s">
        <v>1214</v>
      </c>
      <c r="O67" s="129" t="s">
        <v>1220</v>
      </c>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3959</v>
      </c>
      <c r="B68" s="122" t="s">
        <v>4003</v>
      </c>
      <c r="C68" s="123" t="s">
        <v>4004</v>
      </c>
      <c r="D68" s="125" t="s">
        <v>4005</v>
      </c>
      <c r="E68" s="125" t="s">
        <v>4006</v>
      </c>
      <c r="F68" s="125" t="s">
        <v>4007</v>
      </c>
      <c r="G68" s="125" t="s">
        <v>4008</v>
      </c>
      <c r="H68" s="125" t="s">
        <v>4009</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4010</v>
      </c>
      <c r="B69" s="121"/>
      <c r="C69" s="120" t="s">
        <v>4011</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4010</v>
      </c>
      <c r="B70" s="122" t="s">
        <v>4012</v>
      </c>
      <c r="C70" s="123" t="s">
        <v>4013</v>
      </c>
      <c r="D70" s="125" t="s">
        <v>4014</v>
      </c>
      <c r="E70" s="125" t="s">
        <v>4015</v>
      </c>
      <c r="F70" s="125" t="s">
        <v>4016</v>
      </c>
      <c r="G70" s="125" t="s">
        <v>4017</v>
      </c>
      <c r="H70" s="125" t="s">
        <v>4018</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4010</v>
      </c>
      <c r="B71" s="122" t="s">
        <v>4019</v>
      </c>
      <c r="C71" s="123" t="s">
        <v>4020</v>
      </c>
      <c r="D71" s="125" t="s">
        <v>4021</v>
      </c>
      <c r="E71" s="125" t="s">
        <v>4022</v>
      </c>
      <c r="F71" s="125" t="s">
        <v>4023</v>
      </c>
      <c r="G71" s="125" t="s">
        <v>4024</v>
      </c>
      <c r="H71" s="125" t="s">
        <v>4025</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4026</v>
      </c>
      <c r="B72" s="121"/>
      <c r="C72" s="120" t="s">
        <v>4027</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4026</v>
      </c>
      <c r="B73" s="122" t="s">
        <v>4028</v>
      </c>
      <c r="C73" s="123" t="s">
        <v>4029</v>
      </c>
      <c r="D73" s="125" t="s">
        <v>4030</v>
      </c>
      <c r="E73" s="125" t="s">
        <v>4031</v>
      </c>
      <c r="F73" s="125" t="s">
        <v>4032</v>
      </c>
      <c r="G73" s="125" t="s">
        <v>4033</v>
      </c>
      <c r="H73" s="125" t="s">
        <v>4034</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4026</v>
      </c>
      <c r="B74" s="122" t="s">
        <v>4035</v>
      </c>
      <c r="C74" s="123" t="s">
        <v>4036</v>
      </c>
      <c r="D74" s="125" t="s">
        <v>4037</v>
      </c>
      <c r="E74" s="125" t="s">
        <v>4038</v>
      </c>
      <c r="F74" s="125" t="s">
        <v>4039</v>
      </c>
      <c r="G74" s="125" t="s">
        <v>4040</v>
      </c>
      <c r="H74" s="125" t="s">
        <v>4041</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4026</v>
      </c>
      <c r="B75" s="122" t="s">
        <v>4042</v>
      </c>
      <c r="C75" s="123" t="s">
        <v>4043</v>
      </c>
      <c r="D75" s="125" t="s">
        <v>4044</v>
      </c>
      <c r="E75" s="125" t="s">
        <v>4045</v>
      </c>
      <c r="F75" s="125" t="s">
        <v>4046</v>
      </c>
      <c r="G75" s="125" t="s">
        <v>4047</v>
      </c>
      <c r="H75" s="125" t="s">
        <v>4048</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4026</v>
      </c>
      <c r="B76" s="122" t="s">
        <v>4049</v>
      </c>
      <c r="C76" s="123" t="s">
        <v>4050</v>
      </c>
      <c r="D76" s="125" t="s">
        <v>4051</v>
      </c>
      <c r="E76" s="125" t="s">
        <v>4052</v>
      </c>
      <c r="F76" s="125" t="s">
        <v>4053</v>
      </c>
      <c r="G76" s="125" t="s">
        <v>4054</v>
      </c>
      <c r="H76" s="125" t="s">
        <v>4055</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4026</v>
      </c>
      <c r="B77" s="122" t="s">
        <v>4056</v>
      </c>
      <c r="C77" s="123" t="s">
        <v>4057</v>
      </c>
      <c r="D77" s="125" t="s">
        <v>4058</v>
      </c>
      <c r="E77" s="125" t="s">
        <v>4059</v>
      </c>
      <c r="F77" s="125" t="s">
        <v>4060</v>
      </c>
      <c r="G77" s="125" t="s">
        <v>4054</v>
      </c>
      <c r="H77" s="125" t="s">
        <v>4061</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4062</v>
      </c>
      <c r="B78" s="121"/>
      <c r="C78" s="120" t="s">
        <v>4063</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4062</v>
      </c>
      <c r="B79" s="122" t="s">
        <v>4062</v>
      </c>
      <c r="C79" s="123" t="s">
        <v>4064</v>
      </c>
      <c r="D79" s="125" t="s">
        <v>4065</v>
      </c>
      <c r="E79" s="125" t="s">
        <v>4066</v>
      </c>
      <c r="F79" s="125" t="s">
        <v>4067</v>
      </c>
      <c r="G79" s="125" t="s">
        <v>4068</v>
      </c>
      <c r="H79" s="125" t="s">
        <v>4069</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4062</v>
      </c>
      <c r="B80" s="122" t="s">
        <v>4070</v>
      </c>
      <c r="C80" s="123" t="s">
        <v>4071</v>
      </c>
      <c r="D80" s="125" t="s">
        <v>4072</v>
      </c>
      <c r="E80" s="125" t="s">
        <v>4073</v>
      </c>
      <c r="F80" s="125" t="s">
        <v>4074</v>
      </c>
      <c r="G80" s="125" t="s">
        <v>4075</v>
      </c>
      <c r="H80" s="125" t="s">
        <v>4076</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4062</v>
      </c>
      <c r="B81" s="122" t="s">
        <v>4077</v>
      </c>
      <c r="C81" s="123" t="s">
        <v>4078</v>
      </c>
      <c r="D81" s="125" t="s">
        <v>4079</v>
      </c>
      <c r="E81" s="125" t="s">
        <v>4080</v>
      </c>
      <c r="F81" s="125" t="s">
        <v>4081</v>
      </c>
      <c r="G81" s="125" t="s">
        <v>4082</v>
      </c>
      <c r="H81" s="125" t="s">
        <v>4083</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4084</v>
      </c>
      <c r="B82" s="121"/>
      <c r="C82" s="120" t="s">
        <v>4085</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4084</v>
      </c>
      <c r="B83" s="122" t="s">
        <v>4086</v>
      </c>
      <c r="C83" s="123" t="s">
        <v>4087</v>
      </c>
      <c r="D83" s="125" t="s">
        <v>4088</v>
      </c>
      <c r="E83" s="125" t="s">
        <v>4089</v>
      </c>
      <c r="F83" s="125" t="s">
        <v>4090</v>
      </c>
      <c r="G83" s="125" t="s">
        <v>4091</v>
      </c>
      <c r="H83" s="125" t="s">
        <v>4092</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4084</v>
      </c>
      <c r="B84" s="122" t="s">
        <v>4093</v>
      </c>
      <c r="C84" s="123" t="s">
        <v>4094</v>
      </c>
      <c r="D84" s="125" t="s">
        <v>4095</v>
      </c>
      <c r="E84" s="125" t="s">
        <v>4096</v>
      </c>
      <c r="F84" s="125" t="s">
        <v>4097</v>
      </c>
      <c r="G84" s="125" t="s">
        <v>4098</v>
      </c>
      <c r="H84" s="125" t="s">
        <v>4099</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4084</v>
      </c>
      <c r="B85" s="122" t="s">
        <v>4100</v>
      </c>
      <c r="C85" s="123" t="s">
        <v>4101</v>
      </c>
      <c r="D85" s="125" t="s">
        <v>4102</v>
      </c>
      <c r="E85" s="125" t="s">
        <v>4103</v>
      </c>
      <c r="F85" s="125" t="s">
        <v>4104</v>
      </c>
      <c r="G85" s="125" t="s">
        <v>4105</v>
      </c>
      <c r="H85" s="125" t="s">
        <v>4106</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4084</v>
      </c>
      <c r="B86" s="122" t="s">
        <v>4107</v>
      </c>
      <c r="C86" s="123" t="s">
        <v>4108</v>
      </c>
      <c r="D86" s="125" t="s">
        <v>4109</v>
      </c>
      <c r="E86" s="125" t="s">
        <v>4110</v>
      </c>
      <c r="F86" s="125" t="s">
        <v>4111</v>
      </c>
      <c r="G86" s="125" t="s">
        <v>4112</v>
      </c>
      <c r="H86" s="125" t="s">
        <v>28</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4113</v>
      </c>
      <c r="B87" s="121"/>
      <c r="C87" s="120" t="s">
        <v>4114</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4113</v>
      </c>
      <c r="B88" s="122" t="s">
        <v>4115</v>
      </c>
      <c r="C88" s="123" t="s">
        <v>4116</v>
      </c>
      <c r="D88" s="125" t="s">
        <v>4117</v>
      </c>
      <c r="E88" s="125" t="s">
        <v>4118</v>
      </c>
      <c r="F88" s="125" t="s">
        <v>4119</v>
      </c>
      <c r="G88" s="125" t="s">
        <v>4120</v>
      </c>
      <c r="H88" s="125" t="s">
        <v>4121</v>
      </c>
      <c r="I88" s="127">
        <f>IF(COUNTIF(J88:AW88,"&lt;&gt;")=0,"",SUMPRODUCT(((Recommendations[ImplStatus]="Implemented")+(Recommendations[ImplStatus]="Compensated"))*ISNUMBER(MATCH(Recommendations[Id],J88:AW88,0)))/COUNTIF(J88:AW88,"&lt;&gt;"))</f>
        <v>0</v>
      </c>
      <c r="J88" s="129" t="s">
        <v>1000</v>
      </c>
      <c r="K88" s="129" t="s">
        <v>1008</v>
      </c>
      <c r="L88" s="129" t="s">
        <v>1016</v>
      </c>
      <c r="M88" s="129" t="s">
        <v>1340</v>
      </c>
      <c r="N88" s="129" t="s">
        <v>1348</v>
      </c>
      <c r="O88" s="129" t="s">
        <v>1354</v>
      </c>
      <c r="P88" s="129" t="s">
        <v>1617</v>
      </c>
      <c r="Q88" s="129" t="s">
        <v>1625</v>
      </c>
      <c r="R88" s="129" t="s">
        <v>1632</v>
      </c>
      <c r="S88" s="129" t="s">
        <v>1869</v>
      </c>
      <c r="T88" s="129" t="s">
        <v>1877</v>
      </c>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4113</v>
      </c>
      <c r="B89" s="122" t="s">
        <v>4122</v>
      </c>
      <c r="C89" s="123" t="s">
        <v>4123</v>
      </c>
      <c r="D89" s="125" t="s">
        <v>4124</v>
      </c>
      <c r="E89" s="125" t="s">
        <v>4125</v>
      </c>
      <c r="F89" s="125" t="s">
        <v>4126</v>
      </c>
      <c r="G89" s="125" t="s">
        <v>3650</v>
      </c>
      <c r="H89" s="125" t="s">
        <v>4127</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4113</v>
      </c>
      <c r="B90" s="122" t="s">
        <v>4128</v>
      </c>
      <c r="C90" s="123" t="s">
        <v>4129</v>
      </c>
      <c r="D90" s="125" t="s">
        <v>4130</v>
      </c>
      <c r="E90" s="125" t="s">
        <v>4131</v>
      </c>
      <c r="F90" s="125" t="s">
        <v>4132</v>
      </c>
      <c r="G90" s="125" t="s">
        <v>4120</v>
      </c>
      <c r="H90" s="125" t="s">
        <v>4133</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4113</v>
      </c>
      <c r="B91" s="122" t="s">
        <v>4134</v>
      </c>
      <c r="C91" s="123" t="s">
        <v>4135</v>
      </c>
      <c r="D91" s="125" t="s">
        <v>4136</v>
      </c>
      <c r="E91" s="125" t="s">
        <v>4137</v>
      </c>
      <c r="F91" s="125" t="s">
        <v>4138</v>
      </c>
      <c r="G91" s="125" t="s">
        <v>3650</v>
      </c>
      <c r="H91" s="125" t="s">
        <v>4139</v>
      </c>
      <c r="I91" s="127">
        <f>IF(COUNTIF(J91:AW91,"&lt;&gt;")=0,"",SUMPRODUCT(((Recommendations[ImplStatus]="Implemented")+(Recommendations[ImplStatus]="Compensated"))*ISNUMBER(MATCH(Recommendations[Id],J91:AW91,0)))/COUNTIF(J91:AW91,"&lt;&gt;"))</f>
        <v>0</v>
      </c>
      <c r="J91" s="129" t="s">
        <v>175</v>
      </c>
      <c r="K91" s="129" t="s">
        <v>1241</v>
      </c>
      <c r="L91" s="129" t="s">
        <v>1372</v>
      </c>
      <c r="M91" s="129" t="s">
        <v>1380</v>
      </c>
      <c r="N91" s="129" t="s">
        <v>1388</v>
      </c>
      <c r="O91" s="129" t="s">
        <v>1396</v>
      </c>
      <c r="P91" s="129" t="s">
        <v>1414</v>
      </c>
      <c r="Q91" s="129" t="s">
        <v>1586</v>
      </c>
      <c r="R91" s="129" t="s">
        <v>1594</v>
      </c>
      <c r="S91" s="129" t="s">
        <v>1602</v>
      </c>
      <c r="T91" s="129" t="s">
        <v>1691</v>
      </c>
      <c r="U91" s="129" t="s">
        <v>1707</v>
      </c>
      <c r="V91" s="129" t="s">
        <v>1729</v>
      </c>
      <c r="W91" s="129" t="s">
        <v>1737</v>
      </c>
      <c r="X91" s="129" t="s">
        <v>1745</v>
      </c>
      <c r="Y91" s="129" t="s">
        <v>1753</v>
      </c>
      <c r="Z91" s="129" t="s">
        <v>1769</v>
      </c>
      <c r="AA91" s="129" t="s">
        <v>1834</v>
      </c>
      <c r="AB91" s="129" t="s">
        <v>1842</v>
      </c>
      <c r="AC91" s="129" t="s">
        <v>1849</v>
      </c>
      <c r="AD91" s="129" t="s">
        <v>1856</v>
      </c>
      <c r="AE91" s="129" t="s">
        <v>1945</v>
      </c>
      <c r="AF91" s="129" t="s">
        <v>1968</v>
      </c>
      <c r="AG91" s="129" t="s">
        <v>1976</v>
      </c>
      <c r="AH91" s="129" t="s">
        <v>1985</v>
      </c>
      <c r="AI91" s="129" t="s">
        <v>1993</v>
      </c>
      <c r="AJ91" s="129" t="s">
        <v>2001</v>
      </c>
      <c r="AK91" s="129" t="s">
        <v>2126</v>
      </c>
      <c r="AL91" s="129" t="s">
        <v>2134</v>
      </c>
      <c r="AM91" s="129" t="s">
        <v>2292</v>
      </c>
      <c r="AN91" s="129" t="s">
        <v>2299</v>
      </c>
      <c r="AO91" s="129" t="s">
        <v>2306</v>
      </c>
      <c r="AP91" s="129" t="s">
        <v>2314</v>
      </c>
      <c r="AQ91" s="129" t="s">
        <v>2316</v>
      </c>
      <c r="AR91" s="129" t="s">
        <v>2318</v>
      </c>
      <c r="AS91" s="129"/>
      <c r="AT91" s="129"/>
      <c r="AU91" s="129"/>
      <c r="AV91" s="129"/>
      <c r="AW91" s="139"/>
    </row>
    <row r="92" spans="1:49" ht="60" customHeight="1" x14ac:dyDescent="0.35">
      <c r="A92" s="136" t="s">
        <v>4113</v>
      </c>
      <c r="B92" s="122" t="s">
        <v>4140</v>
      </c>
      <c r="C92" s="123" t="s">
        <v>4141</v>
      </c>
      <c r="D92" s="125" t="s">
        <v>4142</v>
      </c>
      <c r="E92" s="125" t="s">
        <v>4143</v>
      </c>
      <c r="F92" s="125" t="s">
        <v>4144</v>
      </c>
      <c r="G92" s="125" t="s">
        <v>3650</v>
      </c>
      <c r="H92" s="125" t="s">
        <v>4145</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4113</v>
      </c>
      <c r="B93" s="122" t="s">
        <v>4146</v>
      </c>
      <c r="C93" s="123" t="s">
        <v>4147</v>
      </c>
      <c r="D93" s="125" t="s">
        <v>4148</v>
      </c>
      <c r="E93" s="125" t="s">
        <v>4149</v>
      </c>
      <c r="F93" s="125" t="s">
        <v>4150</v>
      </c>
      <c r="G93" s="125" t="s">
        <v>4151</v>
      </c>
      <c r="H93" s="125" t="s">
        <v>4152</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4113</v>
      </c>
      <c r="B94" s="122" t="s">
        <v>4153</v>
      </c>
      <c r="C94" s="123" t="s">
        <v>4154</v>
      </c>
      <c r="D94" s="125" t="s">
        <v>4155</v>
      </c>
      <c r="E94" s="125" t="s">
        <v>4156</v>
      </c>
      <c r="F94" s="125" t="s">
        <v>4157</v>
      </c>
      <c r="G94" s="125" t="s">
        <v>4158</v>
      </c>
      <c r="H94" s="125" t="s">
        <v>4159</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4113</v>
      </c>
      <c r="B95" s="122" t="s">
        <v>4160</v>
      </c>
      <c r="C95" s="123" t="s">
        <v>4161</v>
      </c>
      <c r="D95" s="125" t="s">
        <v>4162</v>
      </c>
      <c r="E95" s="125" t="s">
        <v>4163</v>
      </c>
      <c r="F95" s="125" t="s">
        <v>4164</v>
      </c>
      <c r="G95" s="125" t="s">
        <v>4165</v>
      </c>
      <c r="H95" s="125" t="s">
        <v>4166</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4113</v>
      </c>
      <c r="B96" s="122" t="s">
        <v>4167</v>
      </c>
      <c r="C96" s="123" t="s">
        <v>4168</v>
      </c>
      <c r="D96" s="125" t="s">
        <v>4169</v>
      </c>
      <c r="E96" s="125" t="s">
        <v>4170</v>
      </c>
      <c r="F96" s="125" t="s">
        <v>4171</v>
      </c>
      <c r="G96" s="125" t="s">
        <v>4172</v>
      </c>
      <c r="H96" s="125" t="s">
        <v>4173</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4113</v>
      </c>
      <c r="B97" s="122" t="s">
        <v>4174</v>
      </c>
      <c r="C97" s="123" t="s">
        <v>4175</v>
      </c>
      <c r="D97" s="125" t="s">
        <v>4176</v>
      </c>
      <c r="E97" s="125" t="s">
        <v>4177</v>
      </c>
      <c r="F97" s="125" t="s">
        <v>4178</v>
      </c>
      <c r="G97" s="125" t="s">
        <v>4179</v>
      </c>
      <c r="H97" s="125" t="s">
        <v>4180</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4181</v>
      </c>
      <c r="B98" s="121"/>
      <c r="C98" s="120" t="s">
        <v>4182</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4181</v>
      </c>
      <c r="B99" s="122" t="s">
        <v>4183</v>
      </c>
      <c r="C99" s="123" t="s">
        <v>4184</v>
      </c>
      <c r="D99" s="125" t="s">
        <v>4185</v>
      </c>
      <c r="E99" s="125" t="s">
        <v>4186</v>
      </c>
      <c r="F99" s="125" t="s">
        <v>4187</v>
      </c>
      <c r="G99" s="125" t="s">
        <v>4188</v>
      </c>
      <c r="H99" s="125" t="s">
        <v>4189</v>
      </c>
      <c r="I99" s="127">
        <f>IF(COUNTIF(J99:AW99,"&lt;&gt;")=0,"",SUMPRODUCT(((Recommendations[ImplStatus]="Implemented")+(Recommendations[ImplStatus]="Compensated"))*ISNUMBER(MATCH(Recommendations[Id],J99:AW99,0)))/COUNTIF(J99:AW99,"&lt;&gt;"))</f>
        <v>0</v>
      </c>
      <c r="J99" s="129" t="s">
        <v>46</v>
      </c>
      <c r="K99" s="129" t="s">
        <v>55</v>
      </c>
      <c r="L99" s="129" t="s">
        <v>61</v>
      </c>
      <c r="M99" s="129" t="s">
        <v>68</v>
      </c>
      <c r="N99" s="129" t="s">
        <v>75</v>
      </c>
      <c r="O99" s="129" t="s">
        <v>81</v>
      </c>
      <c r="P99" s="129" t="s">
        <v>88</v>
      </c>
      <c r="Q99" s="129" t="s">
        <v>95</v>
      </c>
      <c r="R99" s="129" t="s">
        <v>101</v>
      </c>
      <c r="S99" s="129" t="s">
        <v>107</v>
      </c>
      <c r="T99" s="129" t="s">
        <v>114</v>
      </c>
      <c r="U99" s="129" t="s">
        <v>121</v>
      </c>
      <c r="V99" s="129" t="s">
        <v>127</v>
      </c>
      <c r="W99" s="129" t="s">
        <v>134</v>
      </c>
      <c r="X99" s="129" t="s">
        <v>140</v>
      </c>
      <c r="Y99" s="129" t="s">
        <v>147</v>
      </c>
      <c r="Z99" s="129" t="s">
        <v>238</v>
      </c>
      <c r="AA99" s="129" t="s">
        <v>241</v>
      </c>
      <c r="AB99" s="129" t="s">
        <v>244</v>
      </c>
      <c r="AC99" s="129" t="s">
        <v>318</v>
      </c>
      <c r="AD99" s="129" t="s">
        <v>633</v>
      </c>
      <c r="AE99" s="129" t="s">
        <v>641</v>
      </c>
      <c r="AF99" s="129" t="s">
        <v>644</v>
      </c>
      <c r="AG99" s="129" t="s">
        <v>652</v>
      </c>
      <c r="AH99" s="129" t="s">
        <v>655</v>
      </c>
      <c r="AI99" s="129" t="s">
        <v>662</v>
      </c>
      <c r="AJ99" s="129" t="s">
        <v>669</v>
      </c>
      <c r="AK99" s="129" t="s">
        <v>676</v>
      </c>
      <c r="AL99" s="129" t="s">
        <v>684</v>
      </c>
      <c r="AM99" s="129" t="s">
        <v>692</v>
      </c>
      <c r="AN99" s="129" t="s">
        <v>695</v>
      </c>
      <c r="AO99" s="129" t="s">
        <v>703</v>
      </c>
      <c r="AP99" s="129" t="s">
        <v>711</v>
      </c>
      <c r="AQ99" s="129" t="s">
        <v>714</v>
      </c>
      <c r="AR99" s="129" t="s">
        <v>721</v>
      </c>
      <c r="AS99" s="129" t="s">
        <v>728</v>
      </c>
      <c r="AT99" s="129" t="s">
        <v>734</v>
      </c>
      <c r="AU99" s="129" t="s">
        <v>740</v>
      </c>
      <c r="AV99" s="129" t="s">
        <v>745</v>
      </c>
      <c r="AW99" s="139" t="s">
        <v>751</v>
      </c>
    </row>
    <row r="100" spans="1:49" ht="60" customHeight="1" x14ac:dyDescent="0.35">
      <c r="A100" s="136" t="s">
        <v>4181</v>
      </c>
      <c r="B100" s="122" t="s">
        <v>4190</v>
      </c>
      <c r="C100" s="123" t="s">
        <v>4191</v>
      </c>
      <c r="D100" s="125" t="s">
        <v>4192</v>
      </c>
      <c r="E100" s="125" t="s">
        <v>4193</v>
      </c>
      <c r="F100" s="125" t="s">
        <v>4194</v>
      </c>
      <c r="G100" s="125" t="s">
        <v>4195</v>
      </c>
      <c r="H100" s="125" t="s">
        <v>4196</v>
      </c>
      <c r="I100" s="127">
        <f>IF(COUNTIF(J100:AW100,"&lt;&gt;")=0,"",SUMPRODUCT(((Recommendations[ImplStatus]="Implemented")+(Recommendations[ImplStatus]="Compensated"))*ISNUMBER(MATCH(Recommendations[Id],J100:AW100,0)))/COUNTIF(J100:AW100,"&lt;&gt;"))</f>
        <v>0</v>
      </c>
      <c r="J100" s="129" t="s">
        <v>217</v>
      </c>
      <c r="K100" s="129" t="s">
        <v>225</v>
      </c>
      <c r="L100" s="129" t="s">
        <v>389</v>
      </c>
      <c r="M100" s="129" t="s">
        <v>392</v>
      </c>
      <c r="N100" s="129" t="s">
        <v>407</v>
      </c>
      <c r="O100" s="129" t="s">
        <v>942</v>
      </c>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4181</v>
      </c>
      <c r="B101" s="122" t="s">
        <v>4197</v>
      </c>
      <c r="C101" s="123" t="s">
        <v>4198</v>
      </c>
      <c r="D101" s="125" t="s">
        <v>4199</v>
      </c>
      <c r="E101" s="125" t="s">
        <v>4200</v>
      </c>
      <c r="F101" s="125" t="s">
        <v>28</v>
      </c>
      <c r="G101" s="125" t="s">
        <v>28</v>
      </c>
      <c r="H101" s="125" t="s">
        <v>28</v>
      </c>
      <c r="I101" s="127">
        <f>IF(COUNTIF(J101:AW101,"&lt;&gt;")=0,"",SUMPRODUCT(((Recommendations[ImplStatus]="Implemented")+(Recommendations[ImplStatus]="Compensated"))*ISNUMBER(MATCH(Recommendations[Id],J101:AW101,0)))/COUNTIF(J101:AW101,"&lt;&gt;"))</f>
        <v>0</v>
      </c>
      <c r="J101" s="129" t="s">
        <v>797</v>
      </c>
      <c r="K101" s="129" t="s">
        <v>804</v>
      </c>
      <c r="L101" s="129" t="s">
        <v>1260</v>
      </c>
      <c r="M101" s="129" t="s">
        <v>1268</v>
      </c>
      <c r="N101" s="129" t="s">
        <v>1907</v>
      </c>
      <c r="O101" s="129" t="s">
        <v>2353</v>
      </c>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4181</v>
      </c>
      <c r="B102" s="122" t="s">
        <v>4201</v>
      </c>
      <c r="C102" s="123" t="s">
        <v>4202</v>
      </c>
      <c r="D102" s="125" t="s">
        <v>4203</v>
      </c>
      <c r="E102" s="125" t="s">
        <v>4204</v>
      </c>
      <c r="F102" s="125" t="s">
        <v>4205</v>
      </c>
      <c r="G102" s="125" t="s">
        <v>4206</v>
      </c>
      <c r="H102" s="125" t="s">
        <v>4207</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4181</v>
      </c>
      <c r="B103" s="122" t="s">
        <v>4208</v>
      </c>
      <c r="C103" s="123" t="s">
        <v>4209</v>
      </c>
      <c r="D103" s="125" t="s">
        <v>4210</v>
      </c>
      <c r="E103" s="125" t="s">
        <v>4211</v>
      </c>
      <c r="F103" s="125" t="s">
        <v>4212</v>
      </c>
      <c r="G103" s="125" t="s">
        <v>4213</v>
      </c>
      <c r="H103" s="125" t="s">
        <v>4214</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4215</v>
      </c>
      <c r="B104" s="121"/>
      <c r="C104" s="120" t="s">
        <v>4216</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4215</v>
      </c>
      <c r="B105" s="122" t="s">
        <v>4217</v>
      </c>
      <c r="C105" s="123" t="s">
        <v>4218</v>
      </c>
      <c r="D105" s="125" t="s">
        <v>4219</v>
      </c>
      <c r="E105" s="125" t="s">
        <v>4220</v>
      </c>
      <c r="F105" s="125" t="s">
        <v>4221</v>
      </c>
      <c r="G105" s="125" t="s">
        <v>4222</v>
      </c>
      <c r="H105" s="125" t="s">
        <v>28</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4215</v>
      </c>
      <c r="B106" s="122" t="s">
        <v>4223</v>
      </c>
      <c r="C106" s="123" t="s">
        <v>4224</v>
      </c>
      <c r="D106" s="125" t="s">
        <v>4225</v>
      </c>
      <c r="E106" s="125" t="s">
        <v>4226</v>
      </c>
      <c r="F106" s="125" t="s">
        <v>4227</v>
      </c>
      <c r="G106" s="125" t="s">
        <v>4228</v>
      </c>
      <c r="H106" s="125" t="s">
        <v>4229</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4215</v>
      </c>
      <c r="B107" s="122" t="s">
        <v>4230</v>
      </c>
      <c r="C107" s="123" t="s">
        <v>4231</v>
      </c>
      <c r="D107" s="125" t="s">
        <v>4232</v>
      </c>
      <c r="E107" s="125" t="s">
        <v>4233</v>
      </c>
      <c r="F107" s="125" t="s">
        <v>4234</v>
      </c>
      <c r="G107" s="125" t="s">
        <v>4235</v>
      </c>
      <c r="H107" s="125" t="s">
        <v>4236</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4237</v>
      </c>
      <c r="B108" s="121"/>
      <c r="C108" s="120" t="s">
        <v>4238</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4237</v>
      </c>
      <c r="B109" s="122" t="s">
        <v>4239</v>
      </c>
      <c r="C109" s="123" t="s">
        <v>4240</v>
      </c>
      <c r="D109" s="125" t="s">
        <v>4241</v>
      </c>
      <c r="E109" s="125" t="s">
        <v>4242</v>
      </c>
      <c r="F109" s="125" t="s">
        <v>4243</v>
      </c>
      <c r="G109" s="125" t="s">
        <v>4244</v>
      </c>
      <c r="H109" s="125" t="s">
        <v>4245</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4237</v>
      </c>
      <c r="B110" s="122" t="s">
        <v>4246</v>
      </c>
      <c r="C110" s="123" t="s">
        <v>4247</v>
      </c>
      <c r="D110" s="125" t="s">
        <v>4248</v>
      </c>
      <c r="E110" s="125" t="s">
        <v>4249</v>
      </c>
      <c r="F110" s="125" t="s">
        <v>4250</v>
      </c>
      <c r="G110" s="125" t="s">
        <v>4251</v>
      </c>
      <c r="H110" s="125" t="s">
        <v>4252</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4237</v>
      </c>
      <c r="B111" s="122" t="s">
        <v>4253</v>
      </c>
      <c r="C111" s="123" t="s">
        <v>4254</v>
      </c>
      <c r="D111" s="125" t="s">
        <v>4255</v>
      </c>
      <c r="E111" s="125" t="s">
        <v>4256</v>
      </c>
      <c r="F111" s="125" t="s">
        <v>4257</v>
      </c>
      <c r="G111" s="125" t="s">
        <v>4258</v>
      </c>
      <c r="H111" s="125" t="s">
        <v>4259</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4260</v>
      </c>
      <c r="B112" s="121"/>
      <c r="C112" s="120" t="s">
        <v>4261</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4260</v>
      </c>
      <c r="B113" s="122" t="s">
        <v>4262</v>
      </c>
      <c r="C113" s="123" t="s">
        <v>4263</v>
      </c>
      <c r="D113" s="125" t="s">
        <v>4264</v>
      </c>
      <c r="E113" s="125" t="s">
        <v>4265</v>
      </c>
      <c r="F113" s="125" t="s">
        <v>4266</v>
      </c>
      <c r="G113" s="125" t="s">
        <v>4267</v>
      </c>
      <c r="H113" s="125" t="s">
        <v>4268</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4260</v>
      </c>
      <c r="B114" s="122" t="s">
        <v>4269</v>
      </c>
      <c r="C114" s="123" t="s">
        <v>4270</v>
      </c>
      <c r="D114" s="125" t="s">
        <v>4271</v>
      </c>
      <c r="E114" s="125" t="s">
        <v>4272</v>
      </c>
      <c r="F114" s="125" t="s">
        <v>4273</v>
      </c>
      <c r="G114" s="125" t="s">
        <v>4267</v>
      </c>
      <c r="H114" s="125" t="s">
        <v>4274</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4260</v>
      </c>
      <c r="B115" s="130" t="s">
        <v>4275</v>
      </c>
      <c r="C115" s="131" t="s">
        <v>4276</v>
      </c>
      <c r="D115" s="132" t="s">
        <v>4277</v>
      </c>
      <c r="E115" s="132" t="s">
        <v>4278</v>
      </c>
      <c r="F115" s="132" t="s">
        <v>4279</v>
      </c>
      <c r="G115" s="132" t="s">
        <v>4280</v>
      </c>
      <c r="H115" s="132" t="s">
        <v>4281</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2415</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IFERROR(INDEX('Recommendations'!$J$2:$J$419, MATCH(J2,'Recommendations'!$B$2:$B$419,0))="Implemented", FALSE))</xm:f>
            <x14:dxf>
              <font>
                <color rgb="FF000000"/>
              </font>
              <fill>
                <patternFill>
                  <bgColor rgb="FF3C7D22"/>
                </patternFill>
              </fill>
            </x14:dxf>
          </x14:cfRule>
          <x14:cfRule type="expression" priority="2" id="{00000000-000E-0000-0600-000002000000}">
            <xm:f>AND(J2&lt;&gt;"", IFERROR(INDEX('Recommendations'!$J$2:$J$419, MATCH(J2,'Recommendations'!$B$2:$B$419,0))="Compensated", FALSE))</xm:f>
            <x14:dxf>
              <font>
                <color rgb="FF000000"/>
              </font>
              <fill>
                <patternFill>
                  <bgColor rgb="FFC6E0B4"/>
                </patternFill>
              </fill>
            </x14:dxf>
          </x14:cfRule>
          <x14:cfRule type="expression" priority="3" id="{00000000-000E-0000-0600-000003000000}">
            <xm:f>AND(J2&lt;&gt;"", IFERROR(INDEX('Recommendations'!$J$2:$J$419, MATCH(J2,'Recommendations'!$B$2:$B$419,0))="Testing", FALSE))</xm:f>
            <x14:dxf>
              <font>
                <color rgb="FF000000"/>
              </font>
              <fill>
                <patternFill>
                  <bgColor rgb="FFFFC000"/>
                </patternFill>
              </fill>
            </x14:dxf>
          </x14:cfRule>
          <x14:cfRule type="expression" priority="4" id="{00000000-000E-0000-0600-000004000000}">
            <xm:f>AND(J2&lt;&gt;"", IFERROR(INDEX('Recommendations'!$J$2:$J$419, MATCH(J2,'Recommendations'!$B$2:$B$419,0))="Failed", FALSE))</xm:f>
            <x14:dxf>
              <font>
                <color rgb="FF000000"/>
              </font>
              <fill>
                <patternFill>
                  <bgColor rgb="FFD82891"/>
                </patternFill>
              </fill>
            </x14:dxf>
          </x14:cfRule>
          <x14:cfRule type="expression" priority="5" id="{00000000-000E-0000-0600-000005000000}">
            <xm:f>AND(J2&lt;&gt;"", IFERROR(INDEX('Recommendations'!$J$2:$J$419, MATCH(J2,'Recommendations'!$B$2:$B$419,0))="Risk Accepted", FALSE))</xm:f>
            <x14:dxf>
              <font>
                <color rgb="FF000000"/>
              </font>
              <fill>
                <patternFill>
                  <bgColor rgb="FFD9D9D9"/>
                </patternFill>
              </fill>
            </x14:dxf>
          </x14:cfRule>
          <x14:cfRule type="expression" priority="6" id="{00000000-000E-0000-0600-000006000000}">
            <xm:f>AND(J2&lt;&gt;"", IFERROR(INDEX('Recommendations'!$J$2:$J$419, MATCH(J2,'Recommendations'!$B$2:$B$419,0))="N/A",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4282</v>
      </c>
      <c r="B1" s="181" t="s">
        <v>4283</v>
      </c>
      <c r="C1" s="181" t="s">
        <v>1</v>
      </c>
      <c r="D1" s="181" t="s">
        <v>4284</v>
      </c>
      <c r="E1" s="181" t="s">
        <v>4285</v>
      </c>
      <c r="F1" s="181" t="s">
        <v>4286</v>
      </c>
      <c r="G1" s="181" t="s">
        <v>2651</v>
      </c>
      <c r="H1" s="181" t="s">
        <v>2652</v>
      </c>
      <c r="I1" s="181" t="s">
        <v>2653</v>
      </c>
      <c r="J1" s="181" t="s">
        <v>2654</v>
      </c>
      <c r="K1" s="181" t="s">
        <v>2655</v>
      </c>
      <c r="L1" s="181" t="s">
        <v>2656</v>
      </c>
      <c r="M1" s="181" t="s">
        <v>2657</v>
      </c>
      <c r="N1" s="181" t="s">
        <v>2658</v>
      </c>
      <c r="O1" s="181" t="s">
        <v>2659</v>
      </c>
      <c r="P1" s="181" t="s">
        <v>2660</v>
      </c>
      <c r="Q1" s="181" t="s">
        <v>2661</v>
      </c>
      <c r="R1" s="181" t="s">
        <v>2662</v>
      </c>
      <c r="S1" s="181" t="s">
        <v>2663</v>
      </c>
      <c r="T1" s="181" t="s">
        <v>2664</v>
      </c>
      <c r="U1" s="181" t="s">
        <v>2665</v>
      </c>
      <c r="V1" s="181" t="s">
        <v>2666</v>
      </c>
      <c r="W1" s="181" t="s">
        <v>2667</v>
      </c>
      <c r="X1" s="181" t="s">
        <v>2668</v>
      </c>
      <c r="Y1" s="181" t="s">
        <v>2669</v>
      </c>
      <c r="Z1" s="181" t="s">
        <v>2670</v>
      </c>
      <c r="AA1" s="181" t="s">
        <v>2671</v>
      </c>
      <c r="AB1" s="181" t="s">
        <v>2672</v>
      </c>
      <c r="AC1" s="181" t="s">
        <v>2673</v>
      </c>
      <c r="AD1" s="181" t="s">
        <v>2674</v>
      </c>
      <c r="AE1" s="181" t="s">
        <v>2675</v>
      </c>
      <c r="AF1" s="181" t="s">
        <v>2676</v>
      </c>
      <c r="AG1" s="181" t="s">
        <v>2677</v>
      </c>
      <c r="AH1" s="181" t="s">
        <v>2678</v>
      </c>
      <c r="AI1" s="181" t="s">
        <v>2679</v>
      </c>
      <c r="AJ1" s="181" t="s">
        <v>2680</v>
      </c>
      <c r="AK1" s="181" t="s">
        <v>2681</v>
      </c>
      <c r="AL1" s="181" t="s">
        <v>2682</v>
      </c>
      <c r="AM1" s="181" t="s">
        <v>2683</v>
      </c>
      <c r="AN1" s="181" t="s">
        <v>2684</v>
      </c>
      <c r="AO1" s="181" t="s">
        <v>2685</v>
      </c>
      <c r="AP1" s="181" t="s">
        <v>2686</v>
      </c>
      <c r="AQ1" s="181" t="s">
        <v>2687</v>
      </c>
      <c r="AR1" s="181" t="s">
        <v>2688</v>
      </c>
      <c r="AS1" s="181" t="s">
        <v>2689</v>
      </c>
      <c r="AT1" s="181" t="s">
        <v>2690</v>
      </c>
      <c r="AU1" s="182" t="s">
        <v>2691</v>
      </c>
    </row>
    <row r="2" spans="1:47" ht="60" customHeight="1" outlineLevel="1" x14ac:dyDescent="0.35">
      <c r="A2" s="172" t="s">
        <v>4287</v>
      </c>
      <c r="B2" s="146" t="s">
        <v>28</v>
      </c>
      <c r="C2" s="144" t="s">
        <v>4288</v>
      </c>
      <c r="D2" s="150" t="s">
        <v>4289</v>
      </c>
      <c r="E2" s="153" t="s">
        <v>28</v>
      </c>
      <c r="F2" s="156" t="s">
        <v>28</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4287</v>
      </c>
      <c r="B3" s="147" t="s">
        <v>4290</v>
      </c>
      <c r="C3" s="145" t="s">
        <v>4291</v>
      </c>
      <c r="D3" s="151" t="s">
        <v>4292</v>
      </c>
      <c r="E3" s="154" t="s">
        <v>28</v>
      </c>
      <c r="F3" s="157" t="s">
        <v>28</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4287</v>
      </c>
      <c r="B4" s="148" t="s">
        <v>4290</v>
      </c>
      <c r="C4" s="149" t="s">
        <v>4293</v>
      </c>
      <c r="D4" s="152" t="s">
        <v>4294</v>
      </c>
      <c r="E4" s="155" t="s">
        <v>4295</v>
      </c>
      <c r="F4" s="158" t="s">
        <v>4296</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4287</v>
      </c>
      <c r="B5" s="148" t="s">
        <v>4290</v>
      </c>
      <c r="C5" s="149" t="s">
        <v>4297</v>
      </c>
      <c r="D5" s="152" t="s">
        <v>4298</v>
      </c>
      <c r="E5" s="155" t="s">
        <v>4299</v>
      </c>
      <c r="F5" s="158" t="s">
        <v>4300</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4287</v>
      </c>
      <c r="B6" s="148" t="s">
        <v>4290</v>
      </c>
      <c r="C6" s="149" t="s">
        <v>4301</v>
      </c>
      <c r="D6" s="152" t="s">
        <v>4302</v>
      </c>
      <c r="E6" s="155" t="s">
        <v>4303</v>
      </c>
      <c r="F6" s="158" t="s">
        <v>4300</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4287</v>
      </c>
      <c r="B7" s="148" t="s">
        <v>4290</v>
      </c>
      <c r="C7" s="149" t="s">
        <v>4304</v>
      </c>
      <c r="D7" s="152" t="s">
        <v>4305</v>
      </c>
      <c r="E7" s="155" t="s">
        <v>4306</v>
      </c>
      <c r="F7" s="158" t="s">
        <v>4300</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4287</v>
      </c>
      <c r="B8" s="148" t="s">
        <v>4290</v>
      </c>
      <c r="C8" s="149" t="s">
        <v>4307</v>
      </c>
      <c r="D8" s="152" t="s">
        <v>4308</v>
      </c>
      <c r="E8" s="155" t="s">
        <v>4309</v>
      </c>
      <c r="F8" s="158" t="s">
        <v>4310</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4287</v>
      </c>
      <c r="B9" s="147" t="s">
        <v>4311</v>
      </c>
      <c r="C9" s="145" t="s">
        <v>4312</v>
      </c>
      <c r="D9" s="151" t="s">
        <v>4313</v>
      </c>
      <c r="E9" s="154" t="s">
        <v>28</v>
      </c>
      <c r="F9" s="157" t="s">
        <v>28</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4287</v>
      </c>
      <c r="B10" s="148" t="s">
        <v>4311</v>
      </c>
      <c r="C10" s="149" t="s">
        <v>4314</v>
      </c>
      <c r="D10" s="152" t="s">
        <v>4315</v>
      </c>
      <c r="E10" s="155" t="s">
        <v>4316</v>
      </c>
      <c r="F10" s="158" t="s">
        <v>4296</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4287</v>
      </c>
      <c r="B11" s="148" t="s">
        <v>4311</v>
      </c>
      <c r="C11" s="149" t="s">
        <v>4317</v>
      </c>
      <c r="D11" s="152" t="s">
        <v>4318</v>
      </c>
      <c r="E11" s="155" t="s">
        <v>4319</v>
      </c>
      <c r="F11" s="158" t="s">
        <v>4296</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4287</v>
      </c>
      <c r="B12" s="148" t="s">
        <v>4311</v>
      </c>
      <c r="C12" s="149" t="s">
        <v>4320</v>
      </c>
      <c r="D12" s="152" t="s">
        <v>4321</v>
      </c>
      <c r="E12" s="155" t="s">
        <v>4322</v>
      </c>
      <c r="F12" s="158" t="s">
        <v>4296</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4287</v>
      </c>
      <c r="B13" s="147" t="s">
        <v>4323</v>
      </c>
      <c r="C13" s="145" t="s">
        <v>4324</v>
      </c>
      <c r="D13" s="151" t="s">
        <v>4325</v>
      </c>
      <c r="E13" s="154" t="s">
        <v>28</v>
      </c>
      <c r="F13" s="157" t="s">
        <v>28</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4287</v>
      </c>
      <c r="B14" s="148" t="s">
        <v>4323</v>
      </c>
      <c r="C14" s="149" t="s">
        <v>4326</v>
      </c>
      <c r="D14" s="152" t="s">
        <v>4327</v>
      </c>
      <c r="E14" s="155" t="s">
        <v>4328</v>
      </c>
      <c r="F14" s="158" t="s">
        <v>4296</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4287</v>
      </c>
      <c r="B15" s="148" t="s">
        <v>4323</v>
      </c>
      <c r="C15" s="149" t="s">
        <v>4329</v>
      </c>
      <c r="D15" s="152" t="s">
        <v>4330</v>
      </c>
      <c r="E15" s="155" t="s">
        <v>4331</v>
      </c>
      <c r="F15" s="158" t="s">
        <v>4296</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4287</v>
      </c>
      <c r="B16" s="147" t="s">
        <v>4332</v>
      </c>
      <c r="C16" s="145" t="s">
        <v>4333</v>
      </c>
      <c r="D16" s="151" t="s">
        <v>4334</v>
      </c>
      <c r="E16" s="154" t="s">
        <v>28</v>
      </c>
      <c r="F16" s="157" t="s">
        <v>28</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4287</v>
      </c>
      <c r="B17" s="148" t="s">
        <v>4332</v>
      </c>
      <c r="C17" s="149" t="s">
        <v>4335</v>
      </c>
      <c r="D17" s="152" t="s">
        <v>4336</v>
      </c>
      <c r="E17" s="155" t="s">
        <v>4337</v>
      </c>
      <c r="F17" s="158" t="s">
        <v>4296</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4287</v>
      </c>
      <c r="B18" s="148" t="s">
        <v>4332</v>
      </c>
      <c r="C18" s="149" t="s">
        <v>4338</v>
      </c>
      <c r="D18" s="152" t="s">
        <v>4339</v>
      </c>
      <c r="E18" s="155" t="s">
        <v>4340</v>
      </c>
      <c r="F18" s="158" t="s">
        <v>4300</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4287</v>
      </c>
      <c r="B19" s="148" t="s">
        <v>4332</v>
      </c>
      <c r="C19" s="149" t="s">
        <v>4341</v>
      </c>
      <c r="D19" s="152" t="s">
        <v>4342</v>
      </c>
      <c r="E19" s="155" t="s">
        <v>4343</v>
      </c>
      <c r="F19" s="158" t="s">
        <v>4296</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4287</v>
      </c>
      <c r="B20" s="148" t="s">
        <v>4332</v>
      </c>
      <c r="C20" s="149" t="s">
        <v>4344</v>
      </c>
      <c r="D20" s="152" t="s">
        <v>4345</v>
      </c>
      <c r="E20" s="155" t="s">
        <v>4346</v>
      </c>
      <c r="F20" s="158" t="s">
        <v>4296</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4287</v>
      </c>
      <c r="B21" s="148" t="s">
        <v>4332</v>
      </c>
      <c r="C21" s="149" t="s">
        <v>4347</v>
      </c>
      <c r="D21" s="152" t="s">
        <v>4348</v>
      </c>
      <c r="E21" s="155" t="s">
        <v>4349</v>
      </c>
      <c r="F21" s="158" t="s">
        <v>4300</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4287</v>
      </c>
      <c r="B22" s="148" t="s">
        <v>4332</v>
      </c>
      <c r="C22" s="149" t="s">
        <v>4350</v>
      </c>
      <c r="D22" s="152" t="s">
        <v>4351</v>
      </c>
      <c r="E22" s="155" t="s">
        <v>4352</v>
      </c>
      <c r="F22" s="158" t="s">
        <v>4296</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4287</v>
      </c>
      <c r="B23" s="148" t="s">
        <v>4332</v>
      </c>
      <c r="C23" s="149" t="s">
        <v>4353</v>
      </c>
      <c r="D23" s="152" t="s">
        <v>4354</v>
      </c>
      <c r="E23" s="155" t="s">
        <v>4355</v>
      </c>
      <c r="F23" s="158" t="s">
        <v>4296</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4287</v>
      </c>
      <c r="B24" s="147" t="s">
        <v>4356</v>
      </c>
      <c r="C24" s="145" t="s">
        <v>4357</v>
      </c>
      <c r="D24" s="151" t="s">
        <v>4358</v>
      </c>
      <c r="E24" s="154" t="s">
        <v>28</v>
      </c>
      <c r="F24" s="157" t="s">
        <v>28</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4287</v>
      </c>
      <c r="B25" s="148" t="s">
        <v>4356</v>
      </c>
      <c r="C25" s="149" t="s">
        <v>4359</v>
      </c>
      <c r="D25" s="152" t="s">
        <v>4360</v>
      </c>
      <c r="E25" s="155" t="s">
        <v>4361</v>
      </c>
      <c r="F25" s="158" t="s">
        <v>4296</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4287</v>
      </c>
      <c r="B26" s="148" t="s">
        <v>4356</v>
      </c>
      <c r="C26" s="149" t="s">
        <v>4362</v>
      </c>
      <c r="D26" s="152" t="s">
        <v>4363</v>
      </c>
      <c r="E26" s="155" t="s">
        <v>4364</v>
      </c>
      <c r="F26" s="158" t="s">
        <v>4296</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4287</v>
      </c>
      <c r="B27" s="148" t="s">
        <v>4356</v>
      </c>
      <c r="C27" s="149" t="s">
        <v>4365</v>
      </c>
      <c r="D27" s="152" t="s">
        <v>4366</v>
      </c>
      <c r="E27" s="155" t="s">
        <v>4367</v>
      </c>
      <c r="F27" s="158" t="s">
        <v>4300</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4287</v>
      </c>
      <c r="B28" s="148" t="s">
        <v>4356</v>
      </c>
      <c r="C28" s="149" t="s">
        <v>4368</v>
      </c>
      <c r="D28" s="152" t="s">
        <v>4369</v>
      </c>
      <c r="E28" s="155" t="s">
        <v>4370</v>
      </c>
      <c r="F28" s="158" t="s">
        <v>4296</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4287</v>
      </c>
      <c r="B29" s="147" t="s">
        <v>4371</v>
      </c>
      <c r="C29" s="145" t="s">
        <v>4372</v>
      </c>
      <c r="D29" s="151" t="s">
        <v>4373</v>
      </c>
      <c r="E29" s="154" t="s">
        <v>28</v>
      </c>
      <c r="F29" s="157" t="s">
        <v>28</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4287</v>
      </c>
      <c r="B30" s="148" t="s">
        <v>4371</v>
      </c>
      <c r="C30" s="149" t="s">
        <v>4374</v>
      </c>
      <c r="D30" s="152" t="s">
        <v>4375</v>
      </c>
      <c r="E30" s="155" t="s">
        <v>4376</v>
      </c>
      <c r="F30" s="158" t="s">
        <v>4310</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4287</v>
      </c>
      <c r="B31" s="148" t="s">
        <v>4371</v>
      </c>
      <c r="C31" s="149" t="s">
        <v>4377</v>
      </c>
      <c r="D31" s="152" t="s">
        <v>4378</v>
      </c>
      <c r="E31" s="155" t="s">
        <v>4379</v>
      </c>
      <c r="F31" s="158" t="s">
        <v>4310</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4287</v>
      </c>
      <c r="B32" s="148" t="s">
        <v>4371</v>
      </c>
      <c r="C32" s="149" t="s">
        <v>4380</v>
      </c>
      <c r="D32" s="152" t="s">
        <v>4381</v>
      </c>
      <c r="E32" s="155" t="s">
        <v>4382</v>
      </c>
      <c r="F32" s="158" t="s">
        <v>4310</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4287</v>
      </c>
      <c r="B33" s="148" t="s">
        <v>4371</v>
      </c>
      <c r="C33" s="149" t="s">
        <v>4383</v>
      </c>
      <c r="D33" s="152" t="s">
        <v>4384</v>
      </c>
      <c r="E33" s="155" t="s">
        <v>4385</v>
      </c>
      <c r="F33" s="158" t="s">
        <v>4310</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4287</v>
      </c>
      <c r="B34" s="148" t="s">
        <v>4371</v>
      </c>
      <c r="C34" s="149" t="s">
        <v>4386</v>
      </c>
      <c r="D34" s="152" t="s">
        <v>4387</v>
      </c>
      <c r="E34" s="155" t="s">
        <v>4388</v>
      </c>
      <c r="F34" s="158" t="s">
        <v>4310</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4287</v>
      </c>
      <c r="B35" s="148" t="s">
        <v>4371</v>
      </c>
      <c r="C35" s="149" t="s">
        <v>4389</v>
      </c>
      <c r="D35" s="152" t="s">
        <v>4390</v>
      </c>
      <c r="E35" s="155" t="s">
        <v>4391</v>
      </c>
      <c r="F35" s="158" t="s">
        <v>4310</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4287</v>
      </c>
      <c r="B36" s="148" t="s">
        <v>4371</v>
      </c>
      <c r="C36" s="149" t="s">
        <v>4392</v>
      </c>
      <c r="D36" s="152" t="s">
        <v>4393</v>
      </c>
      <c r="E36" s="155" t="s">
        <v>4394</v>
      </c>
      <c r="F36" s="158" t="s">
        <v>4310</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4287</v>
      </c>
      <c r="B37" s="148" t="s">
        <v>4371</v>
      </c>
      <c r="C37" s="149" t="s">
        <v>4395</v>
      </c>
      <c r="D37" s="152" t="s">
        <v>4396</v>
      </c>
      <c r="E37" s="155" t="s">
        <v>4397</v>
      </c>
      <c r="F37" s="158" t="s">
        <v>4310</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4287</v>
      </c>
      <c r="B38" s="148" t="s">
        <v>4371</v>
      </c>
      <c r="C38" s="149" t="s">
        <v>4398</v>
      </c>
      <c r="D38" s="152" t="s">
        <v>4399</v>
      </c>
      <c r="E38" s="155" t="s">
        <v>4400</v>
      </c>
      <c r="F38" s="158" t="s">
        <v>4310</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4287</v>
      </c>
      <c r="B39" s="148" t="s">
        <v>4371</v>
      </c>
      <c r="C39" s="149" t="s">
        <v>4401</v>
      </c>
      <c r="D39" s="152" t="s">
        <v>4402</v>
      </c>
      <c r="E39" s="155" t="s">
        <v>4403</v>
      </c>
      <c r="F39" s="158" t="s">
        <v>4310</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4404</v>
      </c>
      <c r="B40" s="146" t="s">
        <v>28</v>
      </c>
      <c r="C40" s="144" t="s">
        <v>4405</v>
      </c>
      <c r="D40" s="150" t="s">
        <v>4406</v>
      </c>
      <c r="E40" s="153" t="s">
        <v>28</v>
      </c>
      <c r="F40" s="156" t="s">
        <v>28</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4404</v>
      </c>
      <c r="B41" s="147" t="s">
        <v>4407</v>
      </c>
      <c r="C41" s="145" t="s">
        <v>4408</v>
      </c>
      <c r="D41" s="151" t="s">
        <v>4409</v>
      </c>
      <c r="E41" s="154" t="s">
        <v>28</v>
      </c>
      <c r="F41" s="157" t="s">
        <v>28</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4404</v>
      </c>
      <c r="B42" s="148" t="s">
        <v>4407</v>
      </c>
      <c r="C42" s="149" t="s">
        <v>4410</v>
      </c>
      <c r="D42" s="152" t="s">
        <v>4411</v>
      </c>
      <c r="E42" s="155" t="s">
        <v>4412</v>
      </c>
      <c r="F42" s="158" t="s">
        <v>4296</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4404</v>
      </c>
      <c r="B43" s="148" t="s">
        <v>4407</v>
      </c>
      <c r="C43" s="149" t="s">
        <v>4413</v>
      </c>
      <c r="D43" s="152" t="s">
        <v>4414</v>
      </c>
      <c r="E43" s="155" t="s">
        <v>4415</v>
      </c>
      <c r="F43" s="158" t="s">
        <v>4296</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4404</v>
      </c>
      <c r="B44" s="148" t="s">
        <v>4407</v>
      </c>
      <c r="C44" s="149" t="s">
        <v>4416</v>
      </c>
      <c r="D44" s="152" t="s">
        <v>4417</v>
      </c>
      <c r="E44" s="155" t="s">
        <v>4418</v>
      </c>
      <c r="F44" s="158" t="s">
        <v>4300</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4404</v>
      </c>
      <c r="B45" s="148" t="s">
        <v>4407</v>
      </c>
      <c r="C45" s="149" t="s">
        <v>4419</v>
      </c>
      <c r="D45" s="152" t="s">
        <v>4420</v>
      </c>
      <c r="E45" s="155" t="s">
        <v>4421</v>
      </c>
      <c r="F45" s="158" t="s">
        <v>4310</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4404</v>
      </c>
      <c r="B46" s="148" t="s">
        <v>4407</v>
      </c>
      <c r="C46" s="149" t="s">
        <v>4422</v>
      </c>
      <c r="D46" s="152" t="s">
        <v>4423</v>
      </c>
      <c r="E46" s="155" t="s">
        <v>4424</v>
      </c>
      <c r="F46" s="158" t="s">
        <v>4296</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4404</v>
      </c>
      <c r="B47" s="148" t="s">
        <v>4407</v>
      </c>
      <c r="C47" s="149" t="s">
        <v>4425</v>
      </c>
      <c r="D47" s="152" t="s">
        <v>4426</v>
      </c>
      <c r="E47" s="155"/>
      <c r="F47" s="158" t="s">
        <v>28</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4404</v>
      </c>
      <c r="B48" s="148" t="s">
        <v>4407</v>
      </c>
      <c r="C48" s="149" t="s">
        <v>4427</v>
      </c>
      <c r="D48" s="152" t="s">
        <v>4428</v>
      </c>
      <c r="E48" s="155" t="s">
        <v>4429</v>
      </c>
      <c r="F48" s="158" t="s">
        <v>4296</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4404</v>
      </c>
      <c r="B49" s="148" t="s">
        <v>4407</v>
      </c>
      <c r="C49" s="149" t="s">
        <v>4430</v>
      </c>
      <c r="D49" s="152" t="s">
        <v>4431</v>
      </c>
      <c r="E49" s="155" t="s">
        <v>4432</v>
      </c>
      <c r="F49" s="158" t="s">
        <v>4300</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4404</v>
      </c>
      <c r="B50" s="147" t="s">
        <v>4433</v>
      </c>
      <c r="C50" s="145" t="s">
        <v>4434</v>
      </c>
      <c r="D50" s="151"/>
      <c r="E50" s="154" t="s">
        <v>28</v>
      </c>
      <c r="F50" s="157" t="s">
        <v>28</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4404</v>
      </c>
      <c r="B51" s="148" t="s">
        <v>4433</v>
      </c>
      <c r="C51" s="149" t="s">
        <v>4435</v>
      </c>
      <c r="D51" s="152" t="s">
        <v>4436</v>
      </c>
      <c r="E51" s="155"/>
      <c r="F51" s="158" t="s">
        <v>28</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4404</v>
      </c>
      <c r="B52" s="148" t="s">
        <v>4433</v>
      </c>
      <c r="C52" s="149" t="s">
        <v>4437</v>
      </c>
      <c r="D52" s="152" t="s">
        <v>4438</v>
      </c>
      <c r="E52" s="155"/>
      <c r="F52" s="158" t="s">
        <v>28</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4404</v>
      </c>
      <c r="B53" s="148" t="s">
        <v>4433</v>
      </c>
      <c r="C53" s="149" t="s">
        <v>4439</v>
      </c>
      <c r="D53" s="152" t="s">
        <v>4440</v>
      </c>
      <c r="E53" s="155"/>
      <c r="F53" s="158" t="s">
        <v>28</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4404</v>
      </c>
      <c r="B54" s="148" t="s">
        <v>4433</v>
      </c>
      <c r="C54" s="149" t="s">
        <v>4441</v>
      </c>
      <c r="D54" s="152" t="s">
        <v>4442</v>
      </c>
      <c r="E54" s="155"/>
      <c r="F54" s="158" t="s">
        <v>28</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4404</v>
      </c>
      <c r="B55" s="148" t="s">
        <v>4433</v>
      </c>
      <c r="C55" s="149" t="s">
        <v>4443</v>
      </c>
      <c r="D55" s="152" t="s">
        <v>4444</v>
      </c>
      <c r="E55" s="155"/>
      <c r="F55" s="158" t="s">
        <v>28</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4404</v>
      </c>
      <c r="B56" s="147" t="s">
        <v>2558</v>
      </c>
      <c r="C56" s="145" t="s">
        <v>4445</v>
      </c>
      <c r="D56" s="151"/>
      <c r="E56" s="154" t="s">
        <v>28</v>
      </c>
      <c r="F56" s="157" t="s">
        <v>28</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4404</v>
      </c>
      <c r="B57" s="148" t="s">
        <v>2558</v>
      </c>
      <c r="C57" s="149" t="s">
        <v>4446</v>
      </c>
      <c r="D57" s="152" t="s">
        <v>4447</v>
      </c>
      <c r="E57" s="155"/>
      <c r="F57" s="158" t="s">
        <v>28</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4404</v>
      </c>
      <c r="B58" s="148" t="s">
        <v>2558</v>
      </c>
      <c r="C58" s="149" t="s">
        <v>4448</v>
      </c>
      <c r="D58" s="152" t="s">
        <v>4449</v>
      </c>
      <c r="E58" s="155"/>
      <c r="F58" s="158" t="s">
        <v>28</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4404</v>
      </c>
      <c r="B59" s="148" t="s">
        <v>2558</v>
      </c>
      <c r="C59" s="149" t="s">
        <v>4450</v>
      </c>
      <c r="D59" s="152" t="s">
        <v>4451</v>
      </c>
      <c r="E59" s="155"/>
      <c r="F59" s="158" t="s">
        <v>28</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4404</v>
      </c>
      <c r="B60" s="148" t="s">
        <v>2558</v>
      </c>
      <c r="C60" s="149" t="s">
        <v>4452</v>
      </c>
      <c r="D60" s="152" t="s">
        <v>4453</v>
      </c>
      <c r="E60" s="155"/>
      <c r="F60" s="158" t="s">
        <v>28</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4404</v>
      </c>
      <c r="B61" s="147" t="s">
        <v>4454</v>
      </c>
      <c r="C61" s="145" t="s">
        <v>4455</v>
      </c>
      <c r="D61" s="151" t="s">
        <v>4456</v>
      </c>
      <c r="E61" s="154" t="s">
        <v>28</v>
      </c>
      <c r="F61" s="157" t="s">
        <v>28</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4404</v>
      </c>
      <c r="B62" s="148" t="s">
        <v>4454</v>
      </c>
      <c r="C62" s="149" t="s">
        <v>4457</v>
      </c>
      <c r="D62" s="152" t="s">
        <v>4458</v>
      </c>
      <c r="E62" s="155" t="s">
        <v>4459</v>
      </c>
      <c r="F62" s="158" t="s">
        <v>4296</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4404</v>
      </c>
      <c r="B63" s="148" t="s">
        <v>4454</v>
      </c>
      <c r="C63" s="149" t="s">
        <v>4460</v>
      </c>
      <c r="D63" s="152" t="s">
        <v>4461</v>
      </c>
      <c r="E63" s="155" t="s">
        <v>4462</v>
      </c>
      <c r="F63" s="158" t="s">
        <v>4300</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4404</v>
      </c>
      <c r="B64" s="148" t="s">
        <v>4454</v>
      </c>
      <c r="C64" s="149" t="s">
        <v>4463</v>
      </c>
      <c r="D64" s="152" t="s">
        <v>4464</v>
      </c>
      <c r="E64" s="155" t="s">
        <v>4465</v>
      </c>
      <c r="F64" s="158" t="s">
        <v>4296</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4404</v>
      </c>
      <c r="B65" s="148" t="s">
        <v>4454</v>
      </c>
      <c r="C65" s="149" t="s">
        <v>4466</v>
      </c>
      <c r="D65" s="152" t="s">
        <v>4467</v>
      </c>
      <c r="E65" s="155" t="s">
        <v>4468</v>
      </c>
      <c r="F65" s="158" t="s">
        <v>4296</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4404</v>
      </c>
      <c r="B66" s="147" t="s">
        <v>4062</v>
      </c>
      <c r="C66" s="145" t="s">
        <v>4469</v>
      </c>
      <c r="D66" s="151" t="s">
        <v>4470</v>
      </c>
      <c r="E66" s="154" t="s">
        <v>28</v>
      </c>
      <c r="F66" s="157" t="s">
        <v>28</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4404</v>
      </c>
      <c r="B67" s="148" t="s">
        <v>4062</v>
      </c>
      <c r="C67" s="149" t="s">
        <v>4471</v>
      </c>
      <c r="D67" s="152" t="s">
        <v>4472</v>
      </c>
      <c r="E67" s="155" t="s">
        <v>4473</v>
      </c>
      <c r="F67" s="158" t="s">
        <v>4296</v>
      </c>
      <c r="G67" s="161">
        <f>IF(COUNTIF(H67:AU67,"&lt;&gt;")=0,"",SUMPRODUCT(((Recommendations[ImplStatus]="Implemented")+(Recommendations[ImplStatus]="Compensated"))*ISNUMBER(MATCH(Recommendations[Id],H67:AU67,0)))/COUNTIF(H67:AU67,"&lt;&gt;"))</f>
        <v>0</v>
      </c>
      <c r="H67" s="164" t="s">
        <v>494</v>
      </c>
      <c r="I67" s="164" t="s">
        <v>502</v>
      </c>
      <c r="J67" s="164" t="s">
        <v>505</v>
      </c>
      <c r="K67" s="164" t="s">
        <v>508</v>
      </c>
      <c r="L67" s="164" t="s">
        <v>511</v>
      </c>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4404</v>
      </c>
      <c r="B68" s="148" t="s">
        <v>4062</v>
      </c>
      <c r="C68" s="149" t="s">
        <v>4474</v>
      </c>
      <c r="D68" s="152" t="s">
        <v>4475</v>
      </c>
      <c r="E68" s="155" t="s">
        <v>4476</v>
      </c>
      <c r="F68" s="158" t="s">
        <v>4296</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4404</v>
      </c>
      <c r="B69" s="148" t="s">
        <v>4062</v>
      </c>
      <c r="C69" s="149" t="s">
        <v>4477</v>
      </c>
      <c r="D69" s="152" t="s">
        <v>4478</v>
      </c>
      <c r="E69" s="155" t="s">
        <v>4479</v>
      </c>
      <c r="F69" s="158" t="s">
        <v>4300</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4404</v>
      </c>
      <c r="B70" s="148" t="s">
        <v>4062</v>
      </c>
      <c r="C70" s="149" t="s">
        <v>4480</v>
      </c>
      <c r="D70" s="152" t="s">
        <v>4481</v>
      </c>
      <c r="E70" s="155" t="s">
        <v>4482</v>
      </c>
      <c r="F70" s="158" t="s">
        <v>4296</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4404</v>
      </c>
      <c r="B71" s="148" t="s">
        <v>4062</v>
      </c>
      <c r="C71" s="149" t="s">
        <v>4483</v>
      </c>
      <c r="D71" s="152" t="s">
        <v>4484</v>
      </c>
      <c r="E71" s="155" t="s">
        <v>4485</v>
      </c>
      <c r="F71" s="158" t="s">
        <v>4296</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4404</v>
      </c>
      <c r="B72" s="148" t="s">
        <v>4062</v>
      </c>
      <c r="C72" s="149" t="s">
        <v>4486</v>
      </c>
      <c r="D72" s="152" t="s">
        <v>4487</v>
      </c>
      <c r="E72" s="155" t="s">
        <v>4488</v>
      </c>
      <c r="F72" s="158" t="s">
        <v>4296</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4404</v>
      </c>
      <c r="B73" s="148" t="s">
        <v>4062</v>
      </c>
      <c r="C73" s="149" t="s">
        <v>4489</v>
      </c>
      <c r="D73" s="152" t="s">
        <v>4490</v>
      </c>
      <c r="E73" s="155" t="s">
        <v>4491</v>
      </c>
      <c r="F73" s="158" t="s">
        <v>28</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4404</v>
      </c>
      <c r="B74" s="148" t="s">
        <v>4062</v>
      </c>
      <c r="C74" s="149" t="s">
        <v>4492</v>
      </c>
      <c r="D74" s="152" t="s">
        <v>4493</v>
      </c>
      <c r="E74" s="155" t="s">
        <v>4494</v>
      </c>
      <c r="F74" s="158" t="s">
        <v>4300</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4404</v>
      </c>
      <c r="B75" s="148" t="s">
        <v>4062</v>
      </c>
      <c r="C75" s="149" t="s">
        <v>4495</v>
      </c>
      <c r="D75" s="152" t="s">
        <v>4496</v>
      </c>
      <c r="E75" s="155" t="s">
        <v>4497</v>
      </c>
      <c r="F75" s="158" t="s">
        <v>4310</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4404</v>
      </c>
      <c r="B76" s="148" t="s">
        <v>4062</v>
      </c>
      <c r="C76" s="149" t="s">
        <v>4498</v>
      </c>
      <c r="D76" s="152" t="s">
        <v>4499</v>
      </c>
      <c r="E76" s="155" t="s">
        <v>4500</v>
      </c>
      <c r="F76" s="158" t="s">
        <v>28</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4404</v>
      </c>
      <c r="B77" s="147" t="s">
        <v>4332</v>
      </c>
      <c r="C77" s="145" t="s">
        <v>4501</v>
      </c>
      <c r="D77" s="151"/>
      <c r="E77" s="154" t="s">
        <v>28</v>
      </c>
      <c r="F77" s="157" t="s">
        <v>28</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4404</v>
      </c>
      <c r="B78" s="148" t="s">
        <v>4332</v>
      </c>
      <c r="C78" s="149" t="s">
        <v>4502</v>
      </c>
      <c r="D78" s="152" t="s">
        <v>4503</v>
      </c>
      <c r="E78" s="155"/>
      <c r="F78" s="158" t="s">
        <v>28</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4404</v>
      </c>
      <c r="B79" s="148" t="s">
        <v>4332</v>
      </c>
      <c r="C79" s="149" t="s">
        <v>4504</v>
      </c>
      <c r="D79" s="152" t="s">
        <v>4505</v>
      </c>
      <c r="E79" s="155"/>
      <c r="F79" s="158" t="s">
        <v>28</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4404</v>
      </c>
      <c r="B80" s="148" t="s">
        <v>4332</v>
      </c>
      <c r="C80" s="149" t="s">
        <v>4506</v>
      </c>
      <c r="D80" s="152" t="s">
        <v>4507</v>
      </c>
      <c r="E80" s="155"/>
      <c r="F80" s="158" t="s">
        <v>28</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4404</v>
      </c>
      <c r="B81" s="147" t="s">
        <v>4260</v>
      </c>
      <c r="C81" s="145" t="s">
        <v>4508</v>
      </c>
      <c r="D81" s="151"/>
      <c r="E81" s="154" t="s">
        <v>28</v>
      </c>
      <c r="F81" s="157" t="s">
        <v>28</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4404</v>
      </c>
      <c r="B82" s="148" t="s">
        <v>4260</v>
      </c>
      <c r="C82" s="149" t="s">
        <v>4509</v>
      </c>
      <c r="D82" s="152" t="s">
        <v>4510</v>
      </c>
      <c r="E82" s="155"/>
      <c r="F82" s="158" t="s">
        <v>28</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4404</v>
      </c>
      <c r="B83" s="148" t="s">
        <v>4260</v>
      </c>
      <c r="C83" s="149" t="s">
        <v>4511</v>
      </c>
      <c r="D83" s="152" t="s">
        <v>4512</v>
      </c>
      <c r="E83" s="155"/>
      <c r="F83" s="158" t="s">
        <v>28</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4404</v>
      </c>
      <c r="B84" s="148" t="s">
        <v>4260</v>
      </c>
      <c r="C84" s="149" t="s">
        <v>4513</v>
      </c>
      <c r="D84" s="152" t="s">
        <v>4514</v>
      </c>
      <c r="E84" s="155"/>
      <c r="F84" s="158" t="s">
        <v>28</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4404</v>
      </c>
      <c r="B85" s="148" t="s">
        <v>4260</v>
      </c>
      <c r="C85" s="149" t="s">
        <v>4515</v>
      </c>
      <c r="D85" s="152" t="s">
        <v>4516</v>
      </c>
      <c r="E85" s="155"/>
      <c r="F85" s="158" t="s">
        <v>28</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4404</v>
      </c>
      <c r="B86" s="148" t="s">
        <v>4260</v>
      </c>
      <c r="C86" s="149" t="s">
        <v>4517</v>
      </c>
      <c r="D86" s="152" t="s">
        <v>4518</v>
      </c>
      <c r="E86" s="155"/>
      <c r="F86" s="158" t="s">
        <v>28</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4519</v>
      </c>
      <c r="B87" s="146" t="s">
        <v>28</v>
      </c>
      <c r="C87" s="144" t="s">
        <v>4520</v>
      </c>
      <c r="D87" s="150" t="s">
        <v>4521</v>
      </c>
      <c r="E87" s="153" t="s">
        <v>28</v>
      </c>
      <c r="F87" s="156" t="s">
        <v>28</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4519</v>
      </c>
      <c r="B88" s="147" t="s">
        <v>4522</v>
      </c>
      <c r="C88" s="145" t="s">
        <v>4523</v>
      </c>
      <c r="D88" s="151" t="s">
        <v>4524</v>
      </c>
      <c r="E88" s="154" t="s">
        <v>28</v>
      </c>
      <c r="F88" s="157" t="s">
        <v>28</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4519</v>
      </c>
      <c r="B89" s="148" t="s">
        <v>4522</v>
      </c>
      <c r="C89" s="149" t="s">
        <v>4525</v>
      </c>
      <c r="D89" s="152" t="s">
        <v>4526</v>
      </c>
      <c r="E89" s="155" t="s">
        <v>4527</v>
      </c>
      <c r="F89" s="158" t="s">
        <v>4296</v>
      </c>
      <c r="G89" s="161">
        <f>IF(COUNTIF(H89:AU89,"&lt;&gt;")=0,"",SUMPRODUCT(((Recommendations[ImplStatus]="Implemented")+(Recommendations[ImplStatus]="Compensated"))*ISNUMBER(MATCH(Recommendations[Id],H89:AU89,0)))/COUNTIF(H89:AU89,"&lt;&gt;"))</f>
        <v>0</v>
      </c>
      <c r="H89" s="164" t="s">
        <v>159</v>
      </c>
      <c r="I89" s="164" t="s">
        <v>167</v>
      </c>
      <c r="J89" s="164" t="s">
        <v>175</v>
      </c>
      <c r="K89" s="164" t="s">
        <v>289</v>
      </c>
      <c r="L89" s="164" t="s">
        <v>297</v>
      </c>
      <c r="M89" s="164" t="s">
        <v>415</v>
      </c>
      <c r="N89" s="164" t="s">
        <v>419</v>
      </c>
      <c r="O89" s="164" t="s">
        <v>427</v>
      </c>
      <c r="P89" s="164" t="s">
        <v>434</v>
      </c>
      <c r="Q89" s="164" t="s">
        <v>437</v>
      </c>
      <c r="R89" s="164" t="s">
        <v>466</v>
      </c>
      <c r="S89" s="164" t="s">
        <v>469</v>
      </c>
      <c r="T89" s="164" t="s">
        <v>472</v>
      </c>
      <c r="U89" s="164" t="s">
        <v>475</v>
      </c>
      <c r="V89" s="164" t="s">
        <v>478</v>
      </c>
      <c r="W89" s="164" t="s">
        <v>481</v>
      </c>
      <c r="X89" s="164" t="s">
        <v>535</v>
      </c>
      <c r="Y89" s="164" t="s">
        <v>543</v>
      </c>
      <c r="Z89" s="164" t="s">
        <v>550</v>
      </c>
      <c r="AA89" s="164" t="s">
        <v>557</v>
      </c>
      <c r="AB89" s="164" t="s">
        <v>568</v>
      </c>
      <c r="AC89" s="164" t="s">
        <v>576</v>
      </c>
      <c r="AD89" s="164" t="s">
        <v>582</v>
      </c>
      <c r="AE89" s="164" t="s">
        <v>590</v>
      </c>
      <c r="AF89" s="164" t="s">
        <v>598</v>
      </c>
      <c r="AG89" s="164" t="s">
        <v>605</v>
      </c>
      <c r="AH89" s="164" t="s">
        <v>613</v>
      </c>
      <c r="AI89" s="164" t="s">
        <v>620</v>
      </c>
      <c r="AJ89" s="164" t="s">
        <v>1029</v>
      </c>
      <c r="AK89" s="164" t="s">
        <v>1123</v>
      </c>
      <c r="AL89" s="164" t="s">
        <v>1149</v>
      </c>
      <c r="AM89" s="164" t="s">
        <v>1179</v>
      </c>
      <c r="AN89" s="164" t="s">
        <v>1311</v>
      </c>
      <c r="AO89" s="164" t="s">
        <v>1319</v>
      </c>
      <c r="AP89" s="164" t="s">
        <v>1438</v>
      </c>
      <c r="AQ89" s="164" t="s">
        <v>1446</v>
      </c>
      <c r="AR89" s="164" t="s">
        <v>1453</v>
      </c>
      <c r="AS89" s="164" t="s">
        <v>1460</v>
      </c>
      <c r="AT89" s="164" t="s">
        <v>1467</v>
      </c>
      <c r="AU89" s="178" t="s">
        <v>1475</v>
      </c>
    </row>
    <row r="90" spans="1:47" ht="60" customHeight="1" x14ac:dyDescent="0.35">
      <c r="A90" s="174" t="s">
        <v>4519</v>
      </c>
      <c r="B90" s="148" t="s">
        <v>4522</v>
      </c>
      <c r="C90" s="149" t="s">
        <v>4528</v>
      </c>
      <c r="D90" s="152" t="s">
        <v>4529</v>
      </c>
      <c r="E90" s="155" t="s">
        <v>4530</v>
      </c>
      <c r="F90" s="158" t="s">
        <v>4300</v>
      </c>
      <c r="G90" s="161">
        <f>IF(COUNTIF(H90:AU90,"&lt;&gt;")=0,"",SUMPRODUCT(((Recommendations[ImplStatus]="Implemented")+(Recommendations[ImplStatus]="Compensated"))*ISNUMBER(MATCH(Recommendations[Id],H90:AU90,0)))/COUNTIF(H90:AU90,"&lt;&gt;"))</f>
        <v>0</v>
      </c>
      <c r="H90" s="164" t="s">
        <v>466</v>
      </c>
      <c r="I90" s="164" t="s">
        <v>469</v>
      </c>
      <c r="J90" s="164" t="s">
        <v>475</v>
      </c>
      <c r="K90" s="164" t="s">
        <v>478</v>
      </c>
      <c r="L90" s="164" t="s">
        <v>481</v>
      </c>
      <c r="M90" s="164" t="s">
        <v>1380</v>
      </c>
      <c r="N90" s="164" t="s">
        <v>2306</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4519</v>
      </c>
      <c r="B91" s="148" t="s">
        <v>4522</v>
      </c>
      <c r="C91" s="149" t="s">
        <v>4531</v>
      </c>
      <c r="D91" s="152" t="s">
        <v>4532</v>
      </c>
      <c r="E91" s="155" t="s">
        <v>4533</v>
      </c>
      <c r="F91" s="158" t="s">
        <v>4296</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4519</v>
      </c>
      <c r="B92" s="148" t="s">
        <v>4522</v>
      </c>
      <c r="C92" s="149" t="s">
        <v>4534</v>
      </c>
      <c r="D92" s="152" t="s">
        <v>4535</v>
      </c>
      <c r="E92" s="155" t="s">
        <v>4536</v>
      </c>
      <c r="F92" s="158" t="s">
        <v>4296</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4519</v>
      </c>
      <c r="B93" s="148" t="s">
        <v>4522</v>
      </c>
      <c r="C93" s="149" t="s">
        <v>4537</v>
      </c>
      <c r="D93" s="152" t="s">
        <v>4538</v>
      </c>
      <c r="E93" s="155" t="s">
        <v>4539</v>
      </c>
      <c r="F93" s="158" t="s">
        <v>4296</v>
      </c>
      <c r="G93" s="161">
        <f>IF(COUNTIF(H93:AU93,"&lt;&gt;")=0,"",SUMPRODUCT(((Recommendations[ImplStatus]="Implemented")+(Recommendations[ImplStatus]="Compensated"))*ISNUMBER(MATCH(Recommendations[Id],H93:AU93,0)))/COUNTIF(H93:AU93,"&lt;&gt;"))</f>
        <v>0</v>
      </c>
      <c r="H93" s="164" t="s">
        <v>252</v>
      </c>
      <c r="I93" s="164" t="s">
        <v>260</v>
      </c>
      <c r="J93" s="164" t="s">
        <v>268</v>
      </c>
      <c r="K93" s="164" t="s">
        <v>276</v>
      </c>
      <c r="L93" s="164" t="s">
        <v>283</v>
      </c>
      <c r="M93" s="164" t="s">
        <v>286</v>
      </c>
      <c r="N93" s="164" t="s">
        <v>305</v>
      </c>
      <c r="O93" s="164" t="s">
        <v>330</v>
      </c>
      <c r="P93" s="164" t="s">
        <v>338</v>
      </c>
      <c r="Q93" s="164" t="s">
        <v>346</v>
      </c>
      <c r="R93" s="164" t="s">
        <v>354</v>
      </c>
      <c r="S93" s="164" t="s">
        <v>362</v>
      </c>
      <c r="T93" s="164" t="s">
        <v>369</v>
      </c>
      <c r="U93" s="164" t="s">
        <v>377</v>
      </c>
      <c r="V93" s="164" t="s">
        <v>444</v>
      </c>
      <c r="W93" s="164" t="s">
        <v>1053</v>
      </c>
      <c r="X93" s="164" t="s">
        <v>1228</v>
      </c>
      <c r="Y93" s="164" t="s">
        <v>1270</v>
      </c>
      <c r="Z93" s="164" t="s">
        <v>1277</v>
      </c>
      <c r="AA93" s="164" t="s">
        <v>1284</v>
      </c>
      <c r="AB93" s="164" t="s">
        <v>1640</v>
      </c>
      <c r="AC93" s="164" t="s">
        <v>1663</v>
      </c>
      <c r="AD93" s="164" t="s">
        <v>1776</v>
      </c>
      <c r="AE93" s="164" t="s">
        <v>1783</v>
      </c>
      <c r="AF93" s="164" t="s">
        <v>1826</v>
      </c>
      <c r="AG93" s="164" t="s">
        <v>1953</v>
      </c>
      <c r="AH93" s="164" t="s">
        <v>2108</v>
      </c>
      <c r="AI93" s="164" t="s">
        <v>2115</v>
      </c>
      <c r="AJ93" s="164" t="s">
        <v>2147</v>
      </c>
      <c r="AK93" s="164" t="s">
        <v>2152</v>
      </c>
      <c r="AL93" s="164" t="s">
        <v>2159</v>
      </c>
      <c r="AM93" s="164" t="s">
        <v>2165</v>
      </c>
      <c r="AN93" s="164" t="s">
        <v>2172</v>
      </c>
      <c r="AO93" s="164" t="s">
        <v>2177</v>
      </c>
      <c r="AP93" s="164" t="s">
        <v>2182</v>
      </c>
      <c r="AQ93" s="164" t="s">
        <v>2188</v>
      </c>
      <c r="AR93" s="164" t="s">
        <v>2193</v>
      </c>
      <c r="AS93" s="164" t="s">
        <v>2199</v>
      </c>
      <c r="AT93" s="164" t="s">
        <v>2206</v>
      </c>
      <c r="AU93" s="178" t="s">
        <v>2212</v>
      </c>
    </row>
    <row r="94" spans="1:47" ht="60" customHeight="1" x14ac:dyDescent="0.35">
      <c r="A94" s="174" t="s">
        <v>4519</v>
      </c>
      <c r="B94" s="148" t="s">
        <v>4522</v>
      </c>
      <c r="C94" s="149" t="s">
        <v>4540</v>
      </c>
      <c r="D94" s="152" t="s">
        <v>4541</v>
      </c>
      <c r="E94" s="155" t="s">
        <v>4542</v>
      </c>
      <c r="F94" s="158" t="s">
        <v>4300</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4519</v>
      </c>
      <c r="B95" s="147" t="s">
        <v>4543</v>
      </c>
      <c r="C95" s="145" t="s">
        <v>4544</v>
      </c>
      <c r="D95" s="151"/>
      <c r="E95" s="154" t="s">
        <v>28</v>
      </c>
      <c r="F95" s="157" t="s">
        <v>28</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4519</v>
      </c>
      <c r="B96" s="148" t="s">
        <v>4543</v>
      </c>
      <c r="C96" s="149" t="s">
        <v>4545</v>
      </c>
      <c r="D96" s="152" t="s">
        <v>4546</v>
      </c>
      <c r="E96" s="155"/>
      <c r="F96" s="158" t="s">
        <v>28</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4519</v>
      </c>
      <c r="B97" s="148" t="s">
        <v>4543</v>
      </c>
      <c r="C97" s="149" t="s">
        <v>4547</v>
      </c>
      <c r="D97" s="152" t="s">
        <v>4548</v>
      </c>
      <c r="E97" s="155"/>
      <c r="F97" s="158" t="s">
        <v>28</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4519</v>
      </c>
      <c r="B98" s="148" t="s">
        <v>4543</v>
      </c>
      <c r="C98" s="149" t="s">
        <v>4549</v>
      </c>
      <c r="D98" s="152" t="s">
        <v>4550</v>
      </c>
      <c r="E98" s="155"/>
      <c r="F98" s="158" t="s">
        <v>28</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4519</v>
      </c>
      <c r="B99" s="148" t="s">
        <v>4543</v>
      </c>
      <c r="C99" s="149" t="s">
        <v>4551</v>
      </c>
      <c r="D99" s="152" t="s">
        <v>4552</v>
      </c>
      <c r="E99" s="155"/>
      <c r="F99" s="158" t="s">
        <v>28</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4519</v>
      </c>
      <c r="B100" s="148" t="s">
        <v>4543</v>
      </c>
      <c r="C100" s="149" t="s">
        <v>4553</v>
      </c>
      <c r="D100" s="152" t="s">
        <v>4554</v>
      </c>
      <c r="E100" s="155"/>
      <c r="F100" s="158" t="s">
        <v>28</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4519</v>
      </c>
      <c r="B101" s="148" t="s">
        <v>4543</v>
      </c>
      <c r="C101" s="149" t="s">
        <v>4555</v>
      </c>
      <c r="D101" s="152" t="s">
        <v>4556</v>
      </c>
      <c r="E101" s="155"/>
      <c r="F101" s="158" t="s">
        <v>28</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4519</v>
      </c>
      <c r="B102" s="148" t="s">
        <v>4543</v>
      </c>
      <c r="C102" s="149" t="s">
        <v>4557</v>
      </c>
      <c r="D102" s="152" t="s">
        <v>4558</v>
      </c>
      <c r="E102" s="155"/>
      <c r="F102" s="158" t="s">
        <v>28</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4519</v>
      </c>
      <c r="B103" s="147" t="s">
        <v>3703</v>
      </c>
      <c r="C103" s="145" t="s">
        <v>4559</v>
      </c>
      <c r="D103" s="151" t="s">
        <v>4560</v>
      </c>
      <c r="E103" s="154" t="s">
        <v>28</v>
      </c>
      <c r="F103" s="157" t="s">
        <v>28</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4519</v>
      </c>
      <c r="B104" s="148" t="s">
        <v>3703</v>
      </c>
      <c r="C104" s="149" t="s">
        <v>4561</v>
      </c>
      <c r="D104" s="152" t="s">
        <v>4562</v>
      </c>
      <c r="E104" s="155" t="s">
        <v>4563</v>
      </c>
      <c r="F104" s="158" t="s">
        <v>4296</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4519</v>
      </c>
      <c r="B105" s="148" t="s">
        <v>3703</v>
      </c>
      <c r="C105" s="149" t="s">
        <v>4564</v>
      </c>
      <c r="D105" s="152" t="s">
        <v>4565</v>
      </c>
      <c r="E105" s="155" t="s">
        <v>4566</v>
      </c>
      <c r="F105" s="158" t="s">
        <v>4300</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4519</v>
      </c>
      <c r="B106" s="148" t="s">
        <v>3703</v>
      </c>
      <c r="C106" s="149" t="s">
        <v>4567</v>
      </c>
      <c r="D106" s="152" t="s">
        <v>4568</v>
      </c>
      <c r="E106" s="155"/>
      <c r="F106" s="158" t="s">
        <v>28</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4519</v>
      </c>
      <c r="B107" s="148" t="s">
        <v>3703</v>
      </c>
      <c r="C107" s="149" t="s">
        <v>4569</v>
      </c>
      <c r="D107" s="152" t="s">
        <v>4570</v>
      </c>
      <c r="E107" s="155"/>
      <c r="F107" s="158" t="s">
        <v>28</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4519</v>
      </c>
      <c r="B108" s="148" t="s">
        <v>3703</v>
      </c>
      <c r="C108" s="149" t="s">
        <v>4571</v>
      </c>
      <c r="D108" s="152" t="s">
        <v>4572</v>
      </c>
      <c r="E108" s="155"/>
      <c r="F108" s="158" t="s">
        <v>28</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4519</v>
      </c>
      <c r="B109" s="147" t="s">
        <v>4573</v>
      </c>
      <c r="C109" s="145" t="s">
        <v>4574</v>
      </c>
      <c r="D109" s="151" t="s">
        <v>4575</v>
      </c>
      <c r="E109" s="154" t="s">
        <v>28</v>
      </c>
      <c r="F109" s="157" t="s">
        <v>28</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4519</v>
      </c>
      <c r="B110" s="148" t="s">
        <v>4573</v>
      </c>
      <c r="C110" s="149" t="s">
        <v>4576</v>
      </c>
      <c r="D110" s="152" t="s">
        <v>4577</v>
      </c>
      <c r="E110" s="155" t="s">
        <v>4578</v>
      </c>
      <c r="F110" s="158" t="s">
        <v>4296</v>
      </c>
      <c r="G110" s="161">
        <f>IF(COUNTIF(H110:AU110,"&lt;&gt;")=0,"",SUMPRODUCT(((Recommendations[ImplStatus]="Implemented")+(Recommendations[ImplStatus]="Compensated"))*ISNUMBER(MATCH(Recommendations[Id],H110:AU110,0)))/COUNTIF(H110:AU110,"&lt;&gt;"))</f>
        <v>0</v>
      </c>
      <c r="H110" s="164" t="s">
        <v>1040</v>
      </c>
      <c r="I110" s="164" t="s">
        <v>1085</v>
      </c>
      <c r="J110" s="164" t="s">
        <v>1096</v>
      </c>
      <c r="K110" s="164" t="s">
        <v>1099</v>
      </c>
      <c r="L110" s="164" t="s">
        <v>1106</v>
      </c>
      <c r="M110" s="164" t="s">
        <v>1114</v>
      </c>
      <c r="N110" s="164" t="s">
        <v>1117</v>
      </c>
      <c r="O110" s="164" t="s">
        <v>1120</v>
      </c>
      <c r="P110" s="164" t="s">
        <v>1123</v>
      </c>
      <c r="Q110" s="164" t="s">
        <v>1131</v>
      </c>
      <c r="R110" s="164" t="s">
        <v>1141</v>
      </c>
      <c r="S110" s="164" t="s">
        <v>1149</v>
      </c>
      <c r="T110" s="164" t="s">
        <v>1152</v>
      </c>
      <c r="U110" s="164" t="s">
        <v>1160</v>
      </c>
      <c r="V110" s="164" t="s">
        <v>1168</v>
      </c>
      <c r="W110" s="164" t="s">
        <v>1171</v>
      </c>
      <c r="X110" s="164" t="s">
        <v>1196</v>
      </c>
      <c r="Y110" s="164" t="s">
        <v>1205</v>
      </c>
      <c r="Z110" s="164" t="s">
        <v>1214</v>
      </c>
      <c r="AA110" s="164" t="s">
        <v>1220</v>
      </c>
      <c r="AB110" s="164" t="s">
        <v>1726</v>
      </c>
      <c r="AC110" s="164" t="s">
        <v>1915</v>
      </c>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4519</v>
      </c>
      <c r="B111" s="148" t="s">
        <v>4573</v>
      </c>
      <c r="C111" s="149" t="s">
        <v>4579</v>
      </c>
      <c r="D111" s="152" t="s">
        <v>4580</v>
      </c>
      <c r="E111" s="155" t="s">
        <v>4581</v>
      </c>
      <c r="F111" s="158" t="s">
        <v>4296</v>
      </c>
      <c r="G111" s="161">
        <f>IF(COUNTIF(H111:AU111,"&lt;&gt;")=0,"",SUMPRODUCT(((Recommendations[ImplStatus]="Implemented")+(Recommendations[ImplStatus]="Compensated"))*ISNUMBER(MATCH(Recommendations[Id],H111:AU111,0)))/COUNTIF(H111:AU111,"&lt;&gt;"))</f>
        <v>0</v>
      </c>
      <c r="H111" s="164" t="s">
        <v>1241</v>
      </c>
      <c r="I111" s="164" t="s">
        <v>1372</v>
      </c>
      <c r="J111" s="164" t="s">
        <v>1388</v>
      </c>
      <c r="K111" s="164" t="s">
        <v>1396</v>
      </c>
      <c r="L111" s="164" t="s">
        <v>1414</v>
      </c>
      <c r="M111" s="164" t="s">
        <v>1586</v>
      </c>
      <c r="N111" s="164" t="s">
        <v>1594</v>
      </c>
      <c r="O111" s="164" t="s">
        <v>1602</v>
      </c>
      <c r="P111" s="164" t="s">
        <v>1691</v>
      </c>
      <c r="Q111" s="164" t="s">
        <v>1707</v>
      </c>
      <c r="R111" s="164" t="s">
        <v>1729</v>
      </c>
      <c r="S111" s="164" t="s">
        <v>1737</v>
      </c>
      <c r="T111" s="164" t="s">
        <v>1745</v>
      </c>
      <c r="U111" s="164" t="s">
        <v>1753</v>
      </c>
      <c r="V111" s="164" t="s">
        <v>1769</v>
      </c>
      <c r="W111" s="164" t="s">
        <v>1834</v>
      </c>
      <c r="X111" s="164" t="s">
        <v>1842</v>
      </c>
      <c r="Y111" s="164" t="s">
        <v>1849</v>
      </c>
      <c r="Z111" s="164" t="s">
        <v>1856</v>
      </c>
      <c r="AA111" s="164" t="s">
        <v>1945</v>
      </c>
      <c r="AB111" s="164" t="s">
        <v>1985</v>
      </c>
      <c r="AC111" s="164" t="s">
        <v>1993</v>
      </c>
      <c r="AD111" s="164" t="s">
        <v>2001</v>
      </c>
      <c r="AE111" s="164" t="s">
        <v>2126</v>
      </c>
      <c r="AF111" s="164" t="s">
        <v>2134</v>
      </c>
      <c r="AG111" s="164" t="s">
        <v>2292</v>
      </c>
      <c r="AH111" s="164" t="s">
        <v>2299</v>
      </c>
      <c r="AI111" s="164" t="s">
        <v>2314</v>
      </c>
      <c r="AJ111" s="164" t="s">
        <v>2316</v>
      </c>
      <c r="AK111" s="164" t="s">
        <v>2318</v>
      </c>
      <c r="AL111" s="164"/>
      <c r="AM111" s="164"/>
      <c r="AN111" s="164"/>
      <c r="AO111" s="164"/>
      <c r="AP111" s="164"/>
      <c r="AQ111" s="164"/>
      <c r="AR111" s="164"/>
      <c r="AS111" s="164"/>
      <c r="AT111" s="164"/>
      <c r="AU111" s="178"/>
    </row>
    <row r="112" spans="1:47" ht="60" customHeight="1" x14ac:dyDescent="0.35">
      <c r="A112" s="174" t="s">
        <v>4519</v>
      </c>
      <c r="B112" s="148" t="s">
        <v>4573</v>
      </c>
      <c r="C112" s="149" t="s">
        <v>4582</v>
      </c>
      <c r="D112" s="152" t="s">
        <v>4583</v>
      </c>
      <c r="E112" s="155"/>
      <c r="F112" s="158" t="s">
        <v>28</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4519</v>
      </c>
      <c r="B113" s="148" t="s">
        <v>4573</v>
      </c>
      <c r="C113" s="149" t="s">
        <v>4584</v>
      </c>
      <c r="D113" s="152" t="s">
        <v>4585</v>
      </c>
      <c r="E113" s="155"/>
      <c r="F113" s="158" t="s">
        <v>28</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4519</v>
      </c>
      <c r="B114" s="148" t="s">
        <v>4573</v>
      </c>
      <c r="C114" s="149" t="s">
        <v>4586</v>
      </c>
      <c r="D114" s="152" t="s">
        <v>4587</v>
      </c>
      <c r="E114" s="155"/>
      <c r="F114" s="158" t="s">
        <v>28</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4519</v>
      </c>
      <c r="B115" s="148" t="s">
        <v>4573</v>
      </c>
      <c r="C115" s="149" t="s">
        <v>4588</v>
      </c>
      <c r="D115" s="152" t="s">
        <v>4589</v>
      </c>
      <c r="E115" s="155"/>
      <c r="F115" s="158" t="s">
        <v>28</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4519</v>
      </c>
      <c r="B116" s="148" t="s">
        <v>4573</v>
      </c>
      <c r="C116" s="149" t="s">
        <v>4590</v>
      </c>
      <c r="D116" s="152" t="s">
        <v>4591</v>
      </c>
      <c r="E116" s="155"/>
      <c r="F116" s="158" t="s">
        <v>28</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4519</v>
      </c>
      <c r="B117" s="148" t="s">
        <v>4573</v>
      </c>
      <c r="C117" s="149" t="s">
        <v>4592</v>
      </c>
      <c r="D117" s="152" t="s">
        <v>4593</v>
      </c>
      <c r="E117" s="155"/>
      <c r="F117" s="158" t="s">
        <v>28</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4519</v>
      </c>
      <c r="B118" s="148" t="s">
        <v>4573</v>
      </c>
      <c r="C118" s="149" t="s">
        <v>4594</v>
      </c>
      <c r="D118" s="152" t="s">
        <v>4595</v>
      </c>
      <c r="E118" s="155" t="s">
        <v>4596</v>
      </c>
      <c r="F118" s="158" t="s">
        <v>4296</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4519</v>
      </c>
      <c r="B119" s="148" t="s">
        <v>4573</v>
      </c>
      <c r="C119" s="149" t="s">
        <v>4597</v>
      </c>
      <c r="D119" s="152" t="s">
        <v>4598</v>
      </c>
      <c r="E119" s="155" t="s">
        <v>4599</v>
      </c>
      <c r="F119" s="158" t="s">
        <v>4296</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4519</v>
      </c>
      <c r="B120" s="147" t="s">
        <v>4600</v>
      </c>
      <c r="C120" s="145" t="s">
        <v>4601</v>
      </c>
      <c r="D120" s="151"/>
      <c r="E120" s="154" t="s">
        <v>28</v>
      </c>
      <c r="F120" s="157" t="s">
        <v>28</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4519</v>
      </c>
      <c r="B121" s="148" t="s">
        <v>4600</v>
      </c>
      <c r="C121" s="149" t="s">
        <v>4602</v>
      </c>
      <c r="D121" s="152" t="s">
        <v>4603</v>
      </c>
      <c r="E121" s="155"/>
      <c r="F121" s="158" t="s">
        <v>28</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4519</v>
      </c>
      <c r="B122" s="148" t="s">
        <v>4600</v>
      </c>
      <c r="C122" s="149" t="s">
        <v>4604</v>
      </c>
      <c r="D122" s="152" t="s">
        <v>4605</v>
      </c>
      <c r="E122" s="155"/>
      <c r="F122" s="158" t="s">
        <v>28</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4519</v>
      </c>
      <c r="B123" s="148" t="s">
        <v>4600</v>
      </c>
      <c r="C123" s="149" t="s">
        <v>4606</v>
      </c>
      <c r="D123" s="152" t="s">
        <v>4607</v>
      </c>
      <c r="E123" s="155"/>
      <c r="F123" s="158" t="s">
        <v>28</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4519</v>
      </c>
      <c r="B124" s="148" t="s">
        <v>4600</v>
      </c>
      <c r="C124" s="149" t="s">
        <v>4608</v>
      </c>
      <c r="D124" s="152" t="s">
        <v>4609</v>
      </c>
      <c r="E124" s="155"/>
      <c r="F124" s="158" t="s">
        <v>28</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4519</v>
      </c>
      <c r="B125" s="148" t="s">
        <v>4600</v>
      </c>
      <c r="C125" s="149" t="s">
        <v>4610</v>
      </c>
      <c r="D125" s="152" t="s">
        <v>4611</v>
      </c>
      <c r="E125" s="155"/>
      <c r="F125" s="158" t="s">
        <v>28</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4519</v>
      </c>
      <c r="B126" s="148" t="s">
        <v>4600</v>
      </c>
      <c r="C126" s="149" t="s">
        <v>4612</v>
      </c>
      <c r="D126" s="152" t="s">
        <v>4613</v>
      </c>
      <c r="E126" s="155"/>
      <c r="F126" s="158" t="s">
        <v>28</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4519</v>
      </c>
      <c r="B127" s="148" t="s">
        <v>4600</v>
      </c>
      <c r="C127" s="149" t="s">
        <v>4614</v>
      </c>
      <c r="D127" s="152" t="s">
        <v>4615</v>
      </c>
      <c r="E127" s="155"/>
      <c r="F127" s="158" t="s">
        <v>28</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4519</v>
      </c>
      <c r="B128" s="148" t="s">
        <v>4600</v>
      </c>
      <c r="C128" s="149" t="s">
        <v>4616</v>
      </c>
      <c r="D128" s="152" t="s">
        <v>4617</v>
      </c>
      <c r="E128" s="155"/>
      <c r="F128" s="158" t="s">
        <v>28</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4519</v>
      </c>
      <c r="B129" s="148" t="s">
        <v>4600</v>
      </c>
      <c r="C129" s="149" t="s">
        <v>4618</v>
      </c>
      <c r="D129" s="152" t="s">
        <v>4619</v>
      </c>
      <c r="E129" s="155"/>
      <c r="F129" s="158" t="s">
        <v>28</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4519</v>
      </c>
      <c r="B130" s="148" t="s">
        <v>4600</v>
      </c>
      <c r="C130" s="149" t="s">
        <v>4620</v>
      </c>
      <c r="D130" s="152" t="s">
        <v>4621</v>
      </c>
      <c r="E130" s="155"/>
      <c r="F130" s="158" t="s">
        <v>28</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4519</v>
      </c>
      <c r="B131" s="148" t="s">
        <v>4600</v>
      </c>
      <c r="C131" s="149" t="s">
        <v>4622</v>
      </c>
      <c r="D131" s="152" t="s">
        <v>4623</v>
      </c>
      <c r="E131" s="155"/>
      <c r="F131" s="158" t="s">
        <v>28</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4519</v>
      </c>
      <c r="B132" s="148" t="s">
        <v>4600</v>
      </c>
      <c r="C132" s="149" t="s">
        <v>4624</v>
      </c>
      <c r="D132" s="152" t="s">
        <v>4625</v>
      </c>
      <c r="E132" s="155"/>
      <c r="F132" s="158" t="s">
        <v>28</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4519</v>
      </c>
      <c r="B133" s="147" t="s">
        <v>4626</v>
      </c>
      <c r="C133" s="145" t="s">
        <v>4627</v>
      </c>
      <c r="D133" s="151" t="s">
        <v>4628</v>
      </c>
      <c r="E133" s="154" t="s">
        <v>28</v>
      </c>
      <c r="F133" s="157" t="s">
        <v>28</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4519</v>
      </c>
      <c r="B134" s="148" t="s">
        <v>4626</v>
      </c>
      <c r="C134" s="149" t="s">
        <v>4629</v>
      </c>
      <c r="D134" s="152" t="s">
        <v>4630</v>
      </c>
      <c r="E134" s="155" t="s">
        <v>4631</v>
      </c>
      <c r="F134" s="158" t="s">
        <v>4300</v>
      </c>
      <c r="G134" s="161">
        <f>IF(COUNTIF(H134:AU134,"&lt;&gt;")=0,"",SUMPRODUCT(((Recommendations[ImplStatus]="Implemented")+(Recommendations[ImplStatus]="Compensated"))*ISNUMBER(MATCH(Recommendations[Id],H134:AU134,0)))/COUNTIF(H134:AU134,"&lt;&gt;"))</f>
        <v>0</v>
      </c>
      <c r="H134" s="164" t="s">
        <v>1000</v>
      </c>
      <c r="I134" s="164" t="s">
        <v>1008</v>
      </c>
      <c r="J134" s="164" t="s">
        <v>1016</v>
      </c>
      <c r="K134" s="164" t="s">
        <v>1340</v>
      </c>
      <c r="L134" s="164" t="s">
        <v>1348</v>
      </c>
      <c r="M134" s="164" t="s">
        <v>1354</v>
      </c>
      <c r="N134" s="164" t="s">
        <v>1617</v>
      </c>
      <c r="O134" s="164" t="s">
        <v>1625</v>
      </c>
      <c r="P134" s="164" t="s">
        <v>1632</v>
      </c>
      <c r="Q134" s="164" t="s">
        <v>1869</v>
      </c>
      <c r="R134" s="164" t="s">
        <v>1877</v>
      </c>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4519</v>
      </c>
      <c r="B135" s="148" t="s">
        <v>4626</v>
      </c>
      <c r="C135" s="149" t="s">
        <v>4632</v>
      </c>
      <c r="D135" s="152" t="s">
        <v>4633</v>
      </c>
      <c r="E135" s="155" t="s">
        <v>4634</v>
      </c>
      <c r="F135" s="158" t="s">
        <v>4300</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4519</v>
      </c>
      <c r="B136" s="148" t="s">
        <v>4626</v>
      </c>
      <c r="C136" s="149" t="s">
        <v>4635</v>
      </c>
      <c r="D136" s="152" t="s">
        <v>4636</v>
      </c>
      <c r="E136" s="155" t="s">
        <v>4637</v>
      </c>
      <c r="F136" s="158" t="s">
        <v>4296</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4519</v>
      </c>
      <c r="B137" s="148" t="s">
        <v>4626</v>
      </c>
      <c r="C137" s="149" t="s">
        <v>4638</v>
      </c>
      <c r="D137" s="152" t="s">
        <v>4639</v>
      </c>
      <c r="E137" s="155" t="s">
        <v>4640</v>
      </c>
      <c r="F137" s="158" t="s">
        <v>28</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4519</v>
      </c>
      <c r="B138" s="147" t="s">
        <v>3936</v>
      </c>
      <c r="C138" s="145" t="s">
        <v>4641</v>
      </c>
      <c r="D138" s="151"/>
      <c r="E138" s="154" t="s">
        <v>28</v>
      </c>
      <c r="F138" s="157" t="s">
        <v>28</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4519</v>
      </c>
      <c r="B139" s="148" t="s">
        <v>3936</v>
      </c>
      <c r="C139" s="149" t="s">
        <v>4642</v>
      </c>
      <c r="D139" s="152" t="s">
        <v>4643</v>
      </c>
      <c r="E139" s="155"/>
      <c r="F139" s="158" t="s">
        <v>28</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4519</v>
      </c>
      <c r="B140" s="148" t="s">
        <v>3936</v>
      </c>
      <c r="C140" s="149" t="s">
        <v>4644</v>
      </c>
      <c r="D140" s="152" t="s">
        <v>4645</v>
      </c>
      <c r="E140" s="155"/>
      <c r="F140" s="158" t="s">
        <v>28</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4519</v>
      </c>
      <c r="B141" s="147" t="s">
        <v>4646</v>
      </c>
      <c r="C141" s="145" t="s">
        <v>4647</v>
      </c>
      <c r="D141" s="151" t="s">
        <v>4648</v>
      </c>
      <c r="E141" s="154" t="s">
        <v>28</v>
      </c>
      <c r="F141" s="157" t="s">
        <v>28</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4519</v>
      </c>
      <c r="B142" s="148" t="s">
        <v>4646</v>
      </c>
      <c r="C142" s="149" t="s">
        <v>4649</v>
      </c>
      <c r="D142" s="152" t="s">
        <v>4650</v>
      </c>
      <c r="E142" s="155" t="s">
        <v>4651</v>
      </c>
      <c r="F142" s="158" t="s">
        <v>4296</v>
      </c>
      <c r="G142" s="161">
        <f>IF(COUNTIF(H142:AU142,"&lt;&gt;")=0,"",SUMPRODUCT(((Recommendations[ImplStatus]="Implemented")+(Recommendations[ImplStatus]="Compensated"))*ISNUMBER(MATCH(Recommendations[Id],H142:AU142,0)))/COUNTIF(H142:AU142,"&lt;&gt;"))</f>
        <v>0</v>
      </c>
      <c r="H142" s="164" t="s">
        <v>46</v>
      </c>
      <c r="I142" s="164" t="s">
        <v>55</v>
      </c>
      <c r="J142" s="164" t="s">
        <v>61</v>
      </c>
      <c r="K142" s="164" t="s">
        <v>68</v>
      </c>
      <c r="L142" s="164" t="s">
        <v>75</v>
      </c>
      <c r="M142" s="164" t="s">
        <v>81</v>
      </c>
      <c r="N142" s="164" t="s">
        <v>88</v>
      </c>
      <c r="O142" s="164" t="s">
        <v>95</v>
      </c>
      <c r="P142" s="164" t="s">
        <v>101</v>
      </c>
      <c r="Q142" s="164" t="s">
        <v>107</v>
      </c>
      <c r="R142" s="164" t="s">
        <v>114</v>
      </c>
      <c r="S142" s="164" t="s">
        <v>121</v>
      </c>
      <c r="T142" s="164" t="s">
        <v>127</v>
      </c>
      <c r="U142" s="164" t="s">
        <v>134</v>
      </c>
      <c r="V142" s="164" t="s">
        <v>140</v>
      </c>
      <c r="W142" s="164" t="s">
        <v>147</v>
      </c>
      <c r="X142" s="164" t="s">
        <v>183</v>
      </c>
      <c r="Y142" s="164" t="s">
        <v>191</v>
      </c>
      <c r="Z142" s="164" t="s">
        <v>199</v>
      </c>
      <c r="AA142" s="164" t="s">
        <v>206</v>
      </c>
      <c r="AB142" s="164" t="s">
        <v>214</v>
      </c>
      <c r="AC142" s="164" t="s">
        <v>217</v>
      </c>
      <c r="AD142" s="164" t="s">
        <v>225</v>
      </c>
      <c r="AE142" s="164" t="s">
        <v>238</v>
      </c>
      <c r="AF142" s="164" t="s">
        <v>241</v>
      </c>
      <c r="AG142" s="164" t="s">
        <v>244</v>
      </c>
      <c r="AH142" s="164" t="s">
        <v>389</v>
      </c>
      <c r="AI142" s="164" t="s">
        <v>392</v>
      </c>
      <c r="AJ142" s="164" t="s">
        <v>400</v>
      </c>
      <c r="AK142" s="164" t="s">
        <v>407</v>
      </c>
      <c r="AL142" s="164" t="s">
        <v>641</v>
      </c>
      <c r="AM142" s="164" t="s">
        <v>644</v>
      </c>
      <c r="AN142" s="164" t="s">
        <v>662</v>
      </c>
      <c r="AO142" s="164" t="s">
        <v>797</v>
      </c>
      <c r="AP142" s="164" t="s">
        <v>804</v>
      </c>
      <c r="AQ142" s="164" t="s">
        <v>967</v>
      </c>
      <c r="AR142" s="164" t="s">
        <v>975</v>
      </c>
      <c r="AS142" s="164" t="s">
        <v>983</v>
      </c>
      <c r="AT142" s="164" t="s">
        <v>1061</v>
      </c>
      <c r="AU142" s="178" t="s">
        <v>1064</v>
      </c>
    </row>
    <row r="143" spans="1:47" ht="60" customHeight="1" x14ac:dyDescent="0.35">
      <c r="A143" s="174" t="s">
        <v>4519</v>
      </c>
      <c r="B143" s="148" t="s">
        <v>4646</v>
      </c>
      <c r="C143" s="149" t="s">
        <v>4652</v>
      </c>
      <c r="D143" s="152" t="s">
        <v>4653</v>
      </c>
      <c r="E143" s="155" t="s">
        <v>4654</v>
      </c>
      <c r="F143" s="158" t="s">
        <v>4296</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4519</v>
      </c>
      <c r="B144" s="148" t="s">
        <v>4646</v>
      </c>
      <c r="C144" s="149" t="s">
        <v>4655</v>
      </c>
      <c r="D144" s="152" t="s">
        <v>4656</v>
      </c>
      <c r="E144" s="155" t="s">
        <v>4657</v>
      </c>
      <c r="F144" s="158" t="s">
        <v>4300</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4519</v>
      </c>
      <c r="B145" s="148" t="s">
        <v>4646</v>
      </c>
      <c r="C145" s="149" t="s">
        <v>4658</v>
      </c>
      <c r="D145" s="152" t="s">
        <v>4659</v>
      </c>
      <c r="E145" s="155" t="s">
        <v>4660</v>
      </c>
      <c r="F145" s="158" t="s">
        <v>4296</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4519</v>
      </c>
      <c r="B146" s="148" t="s">
        <v>4646</v>
      </c>
      <c r="C146" s="149" t="s">
        <v>4661</v>
      </c>
      <c r="D146" s="152" t="s">
        <v>4662</v>
      </c>
      <c r="E146" s="155" t="s">
        <v>4663</v>
      </c>
      <c r="F146" s="158" t="s">
        <v>4296</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4519</v>
      </c>
      <c r="B147" s="148" t="s">
        <v>4646</v>
      </c>
      <c r="C147" s="149" t="s">
        <v>4664</v>
      </c>
      <c r="D147" s="152" t="s">
        <v>4665</v>
      </c>
      <c r="E147" s="155" t="s">
        <v>4666</v>
      </c>
      <c r="F147" s="158" t="s">
        <v>4296</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4519</v>
      </c>
      <c r="B148" s="147" t="s">
        <v>4667</v>
      </c>
      <c r="C148" s="145" t="s">
        <v>4668</v>
      </c>
      <c r="D148" s="151"/>
      <c r="E148" s="154" t="s">
        <v>28</v>
      </c>
      <c r="F148" s="157" t="s">
        <v>28</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4519</v>
      </c>
      <c r="B149" s="148" t="s">
        <v>4667</v>
      </c>
      <c r="C149" s="149" t="s">
        <v>4669</v>
      </c>
      <c r="D149" s="152" t="s">
        <v>4670</v>
      </c>
      <c r="E149" s="155"/>
      <c r="F149" s="158" t="s">
        <v>28</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4519</v>
      </c>
      <c r="B150" s="148" t="s">
        <v>4667</v>
      </c>
      <c r="C150" s="149" t="s">
        <v>4671</v>
      </c>
      <c r="D150" s="152" t="s">
        <v>4672</v>
      </c>
      <c r="E150" s="155"/>
      <c r="F150" s="158" t="s">
        <v>28</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4519</v>
      </c>
      <c r="B151" s="148" t="s">
        <v>4667</v>
      </c>
      <c r="C151" s="149" t="s">
        <v>4673</v>
      </c>
      <c r="D151" s="152" t="s">
        <v>4674</v>
      </c>
      <c r="E151" s="155"/>
      <c r="F151" s="158" t="s">
        <v>28</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4519</v>
      </c>
      <c r="B152" s="148" t="s">
        <v>4667</v>
      </c>
      <c r="C152" s="149" t="s">
        <v>4675</v>
      </c>
      <c r="D152" s="152" t="s">
        <v>4676</v>
      </c>
      <c r="E152" s="155"/>
      <c r="F152" s="158" t="s">
        <v>28</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4519</v>
      </c>
      <c r="B153" s="148" t="s">
        <v>4667</v>
      </c>
      <c r="C153" s="149" t="s">
        <v>4677</v>
      </c>
      <c r="D153" s="152" t="s">
        <v>4678</v>
      </c>
      <c r="E153" s="155"/>
      <c r="F153" s="158" t="s">
        <v>28</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4679</v>
      </c>
      <c r="B154" s="146" t="s">
        <v>28</v>
      </c>
      <c r="C154" s="144" t="s">
        <v>4680</v>
      </c>
      <c r="D154" s="150" t="s">
        <v>4681</v>
      </c>
      <c r="E154" s="153" t="s">
        <v>28</v>
      </c>
      <c r="F154" s="156" t="s">
        <v>28</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4679</v>
      </c>
      <c r="B155" s="147" t="s">
        <v>4682</v>
      </c>
      <c r="C155" s="145" t="s">
        <v>4683</v>
      </c>
      <c r="D155" s="151" t="s">
        <v>4684</v>
      </c>
      <c r="E155" s="154" t="s">
        <v>28</v>
      </c>
      <c r="F155" s="157" t="s">
        <v>28</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4679</v>
      </c>
      <c r="B156" s="148" t="s">
        <v>4682</v>
      </c>
      <c r="C156" s="149" t="s">
        <v>4685</v>
      </c>
      <c r="D156" s="152" t="s">
        <v>4686</v>
      </c>
      <c r="E156" s="155"/>
      <c r="F156" s="158" t="s">
        <v>28</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4679</v>
      </c>
      <c r="B157" s="148" t="s">
        <v>4682</v>
      </c>
      <c r="C157" s="149" t="s">
        <v>4687</v>
      </c>
      <c r="D157" s="152" t="s">
        <v>4688</v>
      </c>
      <c r="E157" s="155" t="s">
        <v>4689</v>
      </c>
      <c r="F157" s="158" t="s">
        <v>4296</v>
      </c>
      <c r="G157" s="161">
        <f>IF(COUNTIF(H157:AU157,"&lt;&gt;")=0,"",SUMPRODUCT(((Recommendations[ImplStatus]="Implemented")+(Recommendations[ImplStatus]="Compensated"))*ISNUMBER(MATCH(Recommendations[Id],H157:AU157,0)))/COUNTIF(H157:AU157,"&lt;&gt;"))</f>
        <v>0</v>
      </c>
      <c r="H157" s="164" t="s">
        <v>871</v>
      </c>
      <c r="I157" s="164" t="s">
        <v>880</v>
      </c>
      <c r="J157" s="164" t="s">
        <v>895</v>
      </c>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4679</v>
      </c>
      <c r="B158" s="148" t="s">
        <v>4682</v>
      </c>
      <c r="C158" s="149" t="s">
        <v>4690</v>
      </c>
      <c r="D158" s="152" t="s">
        <v>4691</v>
      </c>
      <c r="E158" s="155" t="s">
        <v>4692</v>
      </c>
      <c r="F158" s="158" t="s">
        <v>4296</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4679</v>
      </c>
      <c r="B159" s="148" t="s">
        <v>4682</v>
      </c>
      <c r="C159" s="149" t="s">
        <v>4693</v>
      </c>
      <c r="D159" s="152" t="s">
        <v>4694</v>
      </c>
      <c r="E159" s="155" t="s">
        <v>4695</v>
      </c>
      <c r="F159" s="158" t="s">
        <v>4296</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4679</v>
      </c>
      <c r="B160" s="148" t="s">
        <v>4682</v>
      </c>
      <c r="C160" s="149" t="s">
        <v>4696</v>
      </c>
      <c r="D160" s="152" t="s">
        <v>4697</v>
      </c>
      <c r="E160" s="155"/>
      <c r="F160" s="158" t="s">
        <v>28</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4679</v>
      </c>
      <c r="B161" s="148" t="s">
        <v>4682</v>
      </c>
      <c r="C161" s="149" t="s">
        <v>4698</v>
      </c>
      <c r="D161" s="152" t="s">
        <v>4699</v>
      </c>
      <c r="E161" s="155" t="s">
        <v>4700</v>
      </c>
      <c r="F161" s="158" t="s">
        <v>4296</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4679</v>
      </c>
      <c r="B162" s="148" t="s">
        <v>4682</v>
      </c>
      <c r="C162" s="149" t="s">
        <v>4701</v>
      </c>
      <c r="D162" s="152" t="s">
        <v>4702</v>
      </c>
      <c r="E162" s="155" t="s">
        <v>4703</v>
      </c>
      <c r="F162" s="158" t="s">
        <v>4296</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4679</v>
      </c>
      <c r="B163" s="148" t="s">
        <v>4682</v>
      </c>
      <c r="C163" s="149" t="s">
        <v>4704</v>
      </c>
      <c r="D163" s="152" t="s">
        <v>4705</v>
      </c>
      <c r="E163" s="155" t="s">
        <v>4706</v>
      </c>
      <c r="F163" s="158" t="s">
        <v>4296</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4679</v>
      </c>
      <c r="B164" s="147" t="s">
        <v>4100</v>
      </c>
      <c r="C164" s="145" t="s">
        <v>4707</v>
      </c>
      <c r="D164" s="151" t="s">
        <v>4708</v>
      </c>
      <c r="E164" s="154" t="s">
        <v>28</v>
      </c>
      <c r="F164" s="157" t="s">
        <v>28</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4679</v>
      </c>
      <c r="B165" s="148" t="s">
        <v>4100</v>
      </c>
      <c r="C165" s="149" t="s">
        <v>4709</v>
      </c>
      <c r="D165" s="152" t="s">
        <v>4710</v>
      </c>
      <c r="E165" s="155" t="s">
        <v>4711</v>
      </c>
      <c r="F165" s="158" t="s">
        <v>4296</v>
      </c>
      <c r="G165" s="161">
        <f>IF(COUNTIF(H165:AU165,"&lt;&gt;")=0,"",SUMPRODUCT(((Recommendations[ImplStatus]="Implemented")+(Recommendations[ImplStatus]="Compensated"))*ISNUMBER(MATCH(Recommendations[Id],H165:AU165,0)))/COUNTIF(H165:AU165,"&lt;&gt;"))</f>
        <v>0</v>
      </c>
      <c r="H165" s="164" t="s">
        <v>813</v>
      </c>
      <c r="I165" s="164" t="s">
        <v>821</v>
      </c>
      <c r="J165" s="164" t="s">
        <v>824</v>
      </c>
      <c r="K165" s="164" t="s">
        <v>832</v>
      </c>
      <c r="L165" s="164" t="s">
        <v>835</v>
      </c>
      <c r="M165" s="164" t="s">
        <v>838</v>
      </c>
      <c r="N165" s="164" t="s">
        <v>844</v>
      </c>
      <c r="O165" s="164" t="s">
        <v>852</v>
      </c>
      <c r="P165" s="164" t="s">
        <v>855</v>
      </c>
      <c r="Q165" s="164" t="s">
        <v>858</v>
      </c>
      <c r="R165" s="164" t="s">
        <v>866</v>
      </c>
      <c r="S165" s="164" t="s">
        <v>871</v>
      </c>
      <c r="T165" s="164" t="s">
        <v>877</v>
      </c>
      <c r="U165" s="164" t="s">
        <v>880</v>
      </c>
      <c r="V165" s="164" t="s">
        <v>885</v>
      </c>
      <c r="W165" s="164" t="s">
        <v>890</v>
      </c>
      <c r="X165" s="164" t="s">
        <v>895</v>
      </c>
      <c r="Y165" s="164" t="s">
        <v>900</v>
      </c>
      <c r="Z165" s="164" t="s">
        <v>905</v>
      </c>
      <c r="AA165" s="164" t="s">
        <v>910</v>
      </c>
      <c r="AB165" s="164" t="s">
        <v>916</v>
      </c>
      <c r="AC165" s="164" t="s">
        <v>919</v>
      </c>
      <c r="AD165" s="164" t="s">
        <v>922</v>
      </c>
      <c r="AE165" s="164" t="s">
        <v>928</v>
      </c>
      <c r="AF165" s="164" t="s">
        <v>931</v>
      </c>
      <c r="AG165" s="164" t="s">
        <v>936</v>
      </c>
      <c r="AH165" s="164" t="s">
        <v>948</v>
      </c>
      <c r="AI165" s="164" t="s">
        <v>955</v>
      </c>
      <c r="AJ165" s="164" t="s">
        <v>1403</v>
      </c>
      <c r="AK165" s="164" t="s">
        <v>1406</v>
      </c>
      <c r="AL165" s="164" t="s">
        <v>1559</v>
      </c>
      <c r="AM165" s="164" t="s">
        <v>1562</v>
      </c>
      <c r="AN165" s="164" t="s">
        <v>1570</v>
      </c>
      <c r="AO165" s="164" t="s">
        <v>1982</v>
      </c>
      <c r="AP165" s="164"/>
      <c r="AQ165" s="164"/>
      <c r="AR165" s="164"/>
      <c r="AS165" s="164"/>
      <c r="AT165" s="164"/>
      <c r="AU165" s="178"/>
    </row>
    <row r="166" spans="1:47" ht="60" customHeight="1" x14ac:dyDescent="0.35">
      <c r="A166" s="174" t="s">
        <v>4679</v>
      </c>
      <c r="B166" s="148" t="s">
        <v>4100</v>
      </c>
      <c r="C166" s="149" t="s">
        <v>4712</v>
      </c>
      <c r="D166" s="152" t="s">
        <v>4713</v>
      </c>
      <c r="E166" s="155" t="s">
        <v>4714</v>
      </c>
      <c r="F166" s="158" t="s">
        <v>4296</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4679</v>
      </c>
      <c r="B167" s="148" t="s">
        <v>4100</v>
      </c>
      <c r="C167" s="149" t="s">
        <v>4715</v>
      </c>
      <c r="D167" s="152" t="s">
        <v>4716</v>
      </c>
      <c r="E167" s="155" t="s">
        <v>4717</v>
      </c>
      <c r="F167" s="158" t="s">
        <v>4296</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4679</v>
      </c>
      <c r="B168" s="148" t="s">
        <v>4100</v>
      </c>
      <c r="C168" s="149" t="s">
        <v>4718</v>
      </c>
      <c r="D168" s="152" t="s">
        <v>4719</v>
      </c>
      <c r="E168" s="155"/>
      <c r="F168" s="158" t="s">
        <v>28</v>
      </c>
      <c r="G168" s="161">
        <f>IF(COUNTIF(H168:AU168,"&lt;&gt;")=0,"",SUMPRODUCT(((Recommendations[ImplStatus]="Implemented")+(Recommendations[ImplStatus]="Compensated"))*ISNUMBER(MATCH(Recommendations[Id],H168:AU168,0)))/COUNTIF(H168:AU168,"&lt;&gt;"))</f>
        <v>0</v>
      </c>
      <c r="H168" s="164" t="s">
        <v>238</v>
      </c>
      <c r="I168" s="164" t="s">
        <v>241</v>
      </c>
      <c r="J168" s="164" t="s">
        <v>244</v>
      </c>
      <c r="K168" s="164" t="s">
        <v>318</v>
      </c>
      <c r="L168" s="164" t="s">
        <v>633</v>
      </c>
      <c r="M168" s="164" t="s">
        <v>652</v>
      </c>
      <c r="N168" s="164" t="s">
        <v>655</v>
      </c>
      <c r="O168" s="164" t="s">
        <v>669</v>
      </c>
      <c r="P168" s="164" t="s">
        <v>676</v>
      </c>
      <c r="Q168" s="164" t="s">
        <v>684</v>
      </c>
      <c r="R168" s="164" t="s">
        <v>692</v>
      </c>
      <c r="S168" s="164" t="s">
        <v>695</v>
      </c>
      <c r="T168" s="164" t="s">
        <v>703</v>
      </c>
      <c r="U168" s="164" t="s">
        <v>711</v>
      </c>
      <c r="V168" s="164" t="s">
        <v>714</v>
      </c>
      <c r="W168" s="164" t="s">
        <v>721</v>
      </c>
      <c r="X168" s="164" t="s">
        <v>728</v>
      </c>
      <c r="Y168" s="164" t="s">
        <v>734</v>
      </c>
      <c r="Z168" s="164" t="s">
        <v>740</v>
      </c>
      <c r="AA168" s="164" t="s">
        <v>745</v>
      </c>
      <c r="AB168" s="164" t="s">
        <v>751</v>
      </c>
      <c r="AC168" s="164" t="s">
        <v>754</v>
      </c>
      <c r="AD168" s="164" t="s">
        <v>762</v>
      </c>
      <c r="AE168" s="164" t="s">
        <v>768</v>
      </c>
      <c r="AF168" s="164" t="s">
        <v>776</v>
      </c>
      <c r="AG168" s="164" t="s">
        <v>784</v>
      </c>
      <c r="AH168" s="164" t="s">
        <v>942</v>
      </c>
      <c r="AI168" s="164"/>
      <c r="AJ168" s="164"/>
      <c r="AK168" s="164"/>
      <c r="AL168" s="164"/>
      <c r="AM168" s="164"/>
      <c r="AN168" s="164"/>
      <c r="AO168" s="164"/>
      <c r="AP168" s="164"/>
      <c r="AQ168" s="164"/>
      <c r="AR168" s="164"/>
      <c r="AS168" s="164"/>
      <c r="AT168" s="164"/>
      <c r="AU168" s="178"/>
    </row>
    <row r="169" spans="1:47" ht="60" customHeight="1" x14ac:dyDescent="0.35">
      <c r="A169" s="174" t="s">
        <v>4679</v>
      </c>
      <c r="B169" s="148" t="s">
        <v>4100</v>
      </c>
      <c r="C169" s="149" t="s">
        <v>4720</v>
      </c>
      <c r="D169" s="152" t="s">
        <v>4721</v>
      </c>
      <c r="E169" s="155"/>
      <c r="F169" s="158" t="s">
        <v>28</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4679</v>
      </c>
      <c r="B170" s="148" t="s">
        <v>4100</v>
      </c>
      <c r="C170" s="149" t="s">
        <v>4722</v>
      </c>
      <c r="D170" s="152" t="s">
        <v>4723</v>
      </c>
      <c r="E170" s="155" t="s">
        <v>4724</v>
      </c>
      <c r="F170" s="158" t="s">
        <v>4310</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4679</v>
      </c>
      <c r="B171" s="148" t="s">
        <v>4100</v>
      </c>
      <c r="C171" s="149" t="s">
        <v>4725</v>
      </c>
      <c r="D171" s="152" t="s">
        <v>4726</v>
      </c>
      <c r="E171" s="155"/>
      <c r="F171" s="158" t="s">
        <v>28</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4679</v>
      </c>
      <c r="B172" s="148" t="s">
        <v>4100</v>
      </c>
      <c r="C172" s="149" t="s">
        <v>4727</v>
      </c>
      <c r="D172" s="152" t="s">
        <v>4728</v>
      </c>
      <c r="E172" s="155"/>
      <c r="F172" s="158" t="s">
        <v>28</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4679</v>
      </c>
      <c r="B173" s="148" t="s">
        <v>4100</v>
      </c>
      <c r="C173" s="149" t="s">
        <v>4729</v>
      </c>
      <c r="D173" s="152" t="s">
        <v>4730</v>
      </c>
      <c r="E173" s="155" t="s">
        <v>4731</v>
      </c>
      <c r="F173" s="158" t="s">
        <v>4296</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4679</v>
      </c>
      <c r="B174" s="147" t="s">
        <v>4732</v>
      </c>
      <c r="C174" s="145" t="s">
        <v>4733</v>
      </c>
      <c r="D174" s="151"/>
      <c r="E174" s="154" t="s">
        <v>28</v>
      </c>
      <c r="F174" s="157" t="s">
        <v>28</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4679</v>
      </c>
      <c r="B175" s="148" t="s">
        <v>4732</v>
      </c>
      <c r="C175" s="149" t="s">
        <v>4734</v>
      </c>
      <c r="D175" s="152" t="s">
        <v>4735</v>
      </c>
      <c r="E175" s="155"/>
      <c r="F175" s="158" t="s">
        <v>28</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4679</v>
      </c>
      <c r="B176" s="148" t="s">
        <v>4732</v>
      </c>
      <c r="C176" s="149" t="s">
        <v>4736</v>
      </c>
      <c r="D176" s="152" t="s">
        <v>4737</v>
      </c>
      <c r="E176" s="155"/>
      <c r="F176" s="158" t="s">
        <v>28</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4679</v>
      </c>
      <c r="B177" s="148" t="s">
        <v>4732</v>
      </c>
      <c r="C177" s="149" t="s">
        <v>4738</v>
      </c>
      <c r="D177" s="152" t="s">
        <v>4739</v>
      </c>
      <c r="E177" s="155"/>
      <c r="F177" s="158" t="s">
        <v>28</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4679</v>
      </c>
      <c r="B178" s="148" t="s">
        <v>4732</v>
      </c>
      <c r="C178" s="149" t="s">
        <v>4740</v>
      </c>
      <c r="D178" s="152" t="s">
        <v>4741</v>
      </c>
      <c r="E178" s="155"/>
      <c r="F178" s="158" t="s">
        <v>28</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4679</v>
      </c>
      <c r="B179" s="148" t="s">
        <v>4732</v>
      </c>
      <c r="C179" s="149" t="s">
        <v>4742</v>
      </c>
      <c r="D179" s="152" t="s">
        <v>4743</v>
      </c>
      <c r="E179" s="155"/>
      <c r="F179" s="158" t="s">
        <v>28</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4744</v>
      </c>
      <c r="B180" s="146" t="s">
        <v>28</v>
      </c>
      <c r="C180" s="144" t="s">
        <v>4745</v>
      </c>
      <c r="D180" s="150" t="s">
        <v>4746</v>
      </c>
      <c r="E180" s="153" t="s">
        <v>28</v>
      </c>
      <c r="F180" s="156" t="s">
        <v>28</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4744</v>
      </c>
      <c r="B181" s="147" t="s">
        <v>4747</v>
      </c>
      <c r="C181" s="145" t="s">
        <v>4748</v>
      </c>
      <c r="D181" s="151" t="s">
        <v>4749</v>
      </c>
      <c r="E181" s="154" t="s">
        <v>28</v>
      </c>
      <c r="F181" s="157" t="s">
        <v>28</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4744</v>
      </c>
      <c r="B182" s="148" t="s">
        <v>4747</v>
      </c>
      <c r="C182" s="149" t="s">
        <v>4750</v>
      </c>
      <c r="D182" s="152" t="s">
        <v>4751</v>
      </c>
      <c r="E182" s="155"/>
      <c r="F182" s="158" t="s">
        <v>28</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4744</v>
      </c>
      <c r="B183" s="148" t="s">
        <v>4747</v>
      </c>
      <c r="C183" s="149" t="s">
        <v>4752</v>
      </c>
      <c r="D183" s="152" t="s">
        <v>4753</v>
      </c>
      <c r="E183" s="155"/>
      <c r="F183" s="158" t="s">
        <v>28</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4744</v>
      </c>
      <c r="B184" s="148" t="s">
        <v>4747</v>
      </c>
      <c r="C184" s="149" t="s">
        <v>4754</v>
      </c>
      <c r="D184" s="152" t="s">
        <v>4755</v>
      </c>
      <c r="E184" s="155" t="s">
        <v>4756</v>
      </c>
      <c r="F184" s="158" t="s">
        <v>4296</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4744</v>
      </c>
      <c r="B185" s="148" t="s">
        <v>4747</v>
      </c>
      <c r="C185" s="149" t="s">
        <v>4757</v>
      </c>
      <c r="D185" s="152" t="s">
        <v>4758</v>
      </c>
      <c r="E185" s="155"/>
      <c r="F185" s="158" t="s">
        <v>28</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4744</v>
      </c>
      <c r="B186" s="148" t="s">
        <v>4747</v>
      </c>
      <c r="C186" s="149" t="s">
        <v>4759</v>
      </c>
      <c r="D186" s="152" t="s">
        <v>4760</v>
      </c>
      <c r="E186" s="155"/>
      <c r="F186" s="158" t="s">
        <v>28</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4744</v>
      </c>
      <c r="B187" s="148" t="s">
        <v>4747</v>
      </c>
      <c r="C187" s="149" t="s">
        <v>4761</v>
      </c>
      <c r="D187" s="152" t="s">
        <v>4762</v>
      </c>
      <c r="E187" s="155" t="s">
        <v>4763</v>
      </c>
      <c r="F187" s="158" t="s">
        <v>4296</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4744</v>
      </c>
      <c r="B188" s="148" t="s">
        <v>4747</v>
      </c>
      <c r="C188" s="149" t="s">
        <v>4764</v>
      </c>
      <c r="D188" s="152" t="s">
        <v>4765</v>
      </c>
      <c r="E188" s="155" t="s">
        <v>4766</v>
      </c>
      <c r="F188" s="158" t="s">
        <v>4296</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4744</v>
      </c>
      <c r="B189" s="148" t="s">
        <v>4747</v>
      </c>
      <c r="C189" s="149" t="s">
        <v>4767</v>
      </c>
      <c r="D189" s="152" t="s">
        <v>4768</v>
      </c>
      <c r="E189" s="155" t="s">
        <v>4769</v>
      </c>
      <c r="F189" s="158" t="s">
        <v>4296</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4744</v>
      </c>
      <c r="B190" s="147" t="s">
        <v>4770</v>
      </c>
      <c r="C190" s="145" t="s">
        <v>4771</v>
      </c>
      <c r="D190" s="151" t="s">
        <v>4772</v>
      </c>
      <c r="E190" s="154" t="s">
        <v>28</v>
      </c>
      <c r="F190" s="157" t="s">
        <v>28</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4744</v>
      </c>
      <c r="B191" s="148" t="s">
        <v>4770</v>
      </c>
      <c r="C191" s="149" t="s">
        <v>4773</v>
      </c>
      <c r="D191" s="152" t="s">
        <v>4774</v>
      </c>
      <c r="E191" s="155"/>
      <c r="F191" s="158" t="s">
        <v>28</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4744</v>
      </c>
      <c r="B192" s="148" t="s">
        <v>4770</v>
      </c>
      <c r="C192" s="149" t="s">
        <v>4775</v>
      </c>
      <c r="D192" s="152" t="s">
        <v>4776</v>
      </c>
      <c r="E192" s="155" t="s">
        <v>4777</v>
      </c>
      <c r="F192" s="158" t="s">
        <v>4300</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4744</v>
      </c>
      <c r="B193" s="148" t="s">
        <v>4770</v>
      </c>
      <c r="C193" s="149" t="s">
        <v>4778</v>
      </c>
      <c r="D193" s="152" t="s">
        <v>4779</v>
      </c>
      <c r="E193" s="155" t="s">
        <v>4780</v>
      </c>
      <c r="F193" s="158" t="s">
        <v>4300</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4744</v>
      </c>
      <c r="B194" s="148" t="s">
        <v>4770</v>
      </c>
      <c r="C194" s="149" t="s">
        <v>4781</v>
      </c>
      <c r="D194" s="152" t="s">
        <v>4782</v>
      </c>
      <c r="E194" s="155"/>
      <c r="F194" s="158" t="s">
        <v>28</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4744</v>
      </c>
      <c r="B195" s="148" t="s">
        <v>4770</v>
      </c>
      <c r="C195" s="149" t="s">
        <v>4783</v>
      </c>
      <c r="D195" s="152" t="s">
        <v>4784</v>
      </c>
      <c r="E195" s="155"/>
      <c r="F195" s="158" t="s">
        <v>28</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4744</v>
      </c>
      <c r="B196" s="147" t="s">
        <v>4785</v>
      </c>
      <c r="C196" s="145" t="s">
        <v>4786</v>
      </c>
      <c r="D196" s="151"/>
      <c r="E196" s="154" t="s">
        <v>28</v>
      </c>
      <c r="F196" s="157" t="s">
        <v>28</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4744</v>
      </c>
      <c r="B197" s="148" t="s">
        <v>4785</v>
      </c>
      <c r="C197" s="149" t="s">
        <v>4787</v>
      </c>
      <c r="D197" s="152" t="s">
        <v>4788</v>
      </c>
      <c r="E197" s="155"/>
      <c r="F197" s="158" t="s">
        <v>28</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4744</v>
      </c>
      <c r="B198" s="148" t="s">
        <v>4785</v>
      </c>
      <c r="C198" s="149" t="s">
        <v>4789</v>
      </c>
      <c r="D198" s="152" t="s">
        <v>4790</v>
      </c>
      <c r="E198" s="155"/>
      <c r="F198" s="158" t="s">
        <v>28</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4744</v>
      </c>
      <c r="B199" s="147" t="s">
        <v>4791</v>
      </c>
      <c r="C199" s="145" t="s">
        <v>4792</v>
      </c>
      <c r="D199" s="151" t="s">
        <v>4793</v>
      </c>
      <c r="E199" s="154" t="s">
        <v>28</v>
      </c>
      <c r="F199" s="157" t="s">
        <v>28</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4744</v>
      </c>
      <c r="B200" s="148" t="s">
        <v>4791</v>
      </c>
      <c r="C200" s="149" t="s">
        <v>4794</v>
      </c>
      <c r="D200" s="152" t="s">
        <v>4795</v>
      </c>
      <c r="E200" s="155" t="s">
        <v>4796</v>
      </c>
      <c r="F200" s="158" t="s">
        <v>4310</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4744</v>
      </c>
      <c r="B201" s="148" t="s">
        <v>4791</v>
      </c>
      <c r="C201" s="149" t="s">
        <v>4797</v>
      </c>
      <c r="D201" s="152" t="s">
        <v>4798</v>
      </c>
      <c r="E201" s="155" t="s">
        <v>4799</v>
      </c>
      <c r="F201" s="158" t="s">
        <v>4296</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4744</v>
      </c>
      <c r="B202" s="148" t="s">
        <v>4791</v>
      </c>
      <c r="C202" s="149" t="s">
        <v>4800</v>
      </c>
      <c r="D202" s="152" t="s">
        <v>4801</v>
      </c>
      <c r="E202" s="155" t="s">
        <v>4802</v>
      </c>
      <c r="F202" s="158" t="s">
        <v>4296</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4744</v>
      </c>
      <c r="B203" s="148" t="s">
        <v>4791</v>
      </c>
      <c r="C203" s="149" t="s">
        <v>4803</v>
      </c>
      <c r="D203" s="152" t="s">
        <v>4804</v>
      </c>
      <c r="E203" s="155" t="s">
        <v>4805</v>
      </c>
      <c r="F203" s="158" t="s">
        <v>4296</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4744</v>
      </c>
      <c r="B204" s="148" t="s">
        <v>4791</v>
      </c>
      <c r="C204" s="149" t="s">
        <v>4806</v>
      </c>
      <c r="D204" s="152" t="s">
        <v>4807</v>
      </c>
      <c r="E204" s="155" t="s">
        <v>4808</v>
      </c>
      <c r="F204" s="158" t="s">
        <v>4296</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4744</v>
      </c>
      <c r="B205" s="147" t="s">
        <v>4809</v>
      </c>
      <c r="C205" s="145" t="s">
        <v>4810</v>
      </c>
      <c r="D205" s="151" t="s">
        <v>4811</v>
      </c>
      <c r="E205" s="154" t="s">
        <v>28</v>
      </c>
      <c r="F205" s="157" t="s">
        <v>28</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4744</v>
      </c>
      <c r="B206" s="148" t="s">
        <v>4809</v>
      </c>
      <c r="C206" s="149" t="s">
        <v>4812</v>
      </c>
      <c r="D206" s="152" t="s">
        <v>4813</v>
      </c>
      <c r="E206" s="155" t="s">
        <v>4814</v>
      </c>
      <c r="F206" s="158" t="s">
        <v>4300</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4744</v>
      </c>
      <c r="B207" s="148" t="s">
        <v>4809</v>
      </c>
      <c r="C207" s="149" t="s">
        <v>4815</v>
      </c>
      <c r="D207" s="152" t="s">
        <v>4816</v>
      </c>
      <c r="E207" s="155" t="s">
        <v>4817</v>
      </c>
      <c r="F207" s="158" t="s">
        <v>4300</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4744</v>
      </c>
      <c r="B208" s="148" t="s">
        <v>4809</v>
      </c>
      <c r="C208" s="149" t="s">
        <v>4818</v>
      </c>
      <c r="D208" s="152" t="s">
        <v>4819</v>
      </c>
      <c r="E208" s="155"/>
      <c r="F208" s="158" t="s">
        <v>28</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4744</v>
      </c>
      <c r="B209" s="147" t="s">
        <v>4820</v>
      </c>
      <c r="C209" s="145" t="s">
        <v>4821</v>
      </c>
      <c r="D209" s="151"/>
      <c r="E209" s="154" t="s">
        <v>28</v>
      </c>
      <c r="F209" s="157" t="s">
        <v>28</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4744</v>
      </c>
      <c r="B210" s="148" t="s">
        <v>4820</v>
      </c>
      <c r="C210" s="149" t="s">
        <v>4822</v>
      </c>
      <c r="D210" s="152" t="s">
        <v>4823</v>
      </c>
      <c r="E210" s="155"/>
      <c r="F210" s="158" t="s">
        <v>28</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4824</v>
      </c>
      <c r="B211" s="146" t="s">
        <v>28</v>
      </c>
      <c r="C211" s="144" t="s">
        <v>4825</v>
      </c>
      <c r="D211" s="150" t="s">
        <v>4826</v>
      </c>
      <c r="E211" s="153" t="s">
        <v>28</v>
      </c>
      <c r="F211" s="156" t="s">
        <v>28</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4824</v>
      </c>
      <c r="B212" s="147" t="s">
        <v>4827</v>
      </c>
      <c r="C212" s="145" t="s">
        <v>4828</v>
      </c>
      <c r="D212" s="151" t="s">
        <v>4829</v>
      </c>
      <c r="E212" s="154" t="s">
        <v>28</v>
      </c>
      <c r="F212" s="157" t="s">
        <v>28</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4824</v>
      </c>
      <c r="B213" s="148" t="s">
        <v>4827</v>
      </c>
      <c r="C213" s="149" t="s">
        <v>4830</v>
      </c>
      <c r="D213" s="152" t="s">
        <v>4831</v>
      </c>
      <c r="E213" s="155"/>
      <c r="F213" s="158" t="s">
        <v>28</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4824</v>
      </c>
      <c r="B214" s="148" t="s">
        <v>4827</v>
      </c>
      <c r="C214" s="149" t="s">
        <v>4832</v>
      </c>
      <c r="D214" s="152" t="s">
        <v>4833</v>
      </c>
      <c r="E214" s="155"/>
      <c r="F214" s="158" t="s">
        <v>28</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4824</v>
      </c>
      <c r="B215" s="148" t="s">
        <v>4827</v>
      </c>
      <c r="C215" s="149" t="s">
        <v>4834</v>
      </c>
      <c r="D215" s="152" t="s">
        <v>4835</v>
      </c>
      <c r="E215" s="155" t="s">
        <v>4836</v>
      </c>
      <c r="F215" s="158" t="s">
        <v>4300</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4824</v>
      </c>
      <c r="B216" s="148" t="s">
        <v>4827</v>
      </c>
      <c r="C216" s="149" t="s">
        <v>4837</v>
      </c>
      <c r="D216" s="152" t="s">
        <v>4838</v>
      </c>
      <c r="E216" s="155" t="s">
        <v>4839</v>
      </c>
      <c r="F216" s="158" t="s">
        <v>4296</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4824</v>
      </c>
      <c r="B217" s="147" t="s">
        <v>4785</v>
      </c>
      <c r="C217" s="145" t="s">
        <v>4840</v>
      </c>
      <c r="D217" s="151"/>
      <c r="E217" s="154" t="s">
        <v>28</v>
      </c>
      <c r="F217" s="157" t="s">
        <v>28</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4824</v>
      </c>
      <c r="B218" s="148" t="s">
        <v>4785</v>
      </c>
      <c r="C218" s="149" t="s">
        <v>4841</v>
      </c>
      <c r="D218" s="152" t="s">
        <v>4842</v>
      </c>
      <c r="E218" s="155"/>
      <c r="F218" s="158" t="s">
        <v>28</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4824</v>
      </c>
      <c r="B219" s="148" t="s">
        <v>4785</v>
      </c>
      <c r="C219" s="149" t="s">
        <v>4843</v>
      </c>
      <c r="D219" s="152" t="s">
        <v>4844</v>
      </c>
      <c r="E219" s="155"/>
      <c r="F219" s="158" t="s">
        <v>28</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4824</v>
      </c>
      <c r="B220" s="147" t="s">
        <v>4845</v>
      </c>
      <c r="C220" s="145" t="s">
        <v>4846</v>
      </c>
      <c r="D220" s="151" t="s">
        <v>4847</v>
      </c>
      <c r="E220" s="154" t="s">
        <v>28</v>
      </c>
      <c r="F220" s="157" t="s">
        <v>28</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4824</v>
      </c>
      <c r="B221" s="148" t="s">
        <v>4845</v>
      </c>
      <c r="C221" s="149" t="s">
        <v>4848</v>
      </c>
      <c r="D221" s="152" t="s">
        <v>4849</v>
      </c>
      <c r="E221" s="155" t="s">
        <v>4850</v>
      </c>
      <c r="F221" s="158" t="s">
        <v>4296</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4824</v>
      </c>
      <c r="B222" s="148" t="s">
        <v>4845</v>
      </c>
      <c r="C222" s="149" t="s">
        <v>4851</v>
      </c>
      <c r="D222" s="152" t="s">
        <v>4852</v>
      </c>
      <c r="E222" s="155" t="s">
        <v>4853</v>
      </c>
      <c r="F222" s="158" t="s">
        <v>4296</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4824</v>
      </c>
      <c r="B223" s="148" t="s">
        <v>4845</v>
      </c>
      <c r="C223" s="149" t="s">
        <v>4854</v>
      </c>
      <c r="D223" s="152" t="s">
        <v>4855</v>
      </c>
      <c r="E223" s="155" t="s">
        <v>4856</v>
      </c>
      <c r="F223" s="158" t="s">
        <v>4296</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4824</v>
      </c>
      <c r="B224" s="148" t="s">
        <v>4845</v>
      </c>
      <c r="C224" s="149" t="s">
        <v>4857</v>
      </c>
      <c r="D224" s="152" t="s">
        <v>4858</v>
      </c>
      <c r="E224" s="155" t="s">
        <v>4859</v>
      </c>
      <c r="F224" s="158" t="s">
        <v>4296</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4824</v>
      </c>
      <c r="B225" s="148" t="s">
        <v>4845</v>
      </c>
      <c r="C225" s="149" t="s">
        <v>4860</v>
      </c>
      <c r="D225" s="152" t="s">
        <v>4861</v>
      </c>
      <c r="E225" s="155" t="s">
        <v>4862</v>
      </c>
      <c r="F225" s="158" t="s">
        <v>4296</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4824</v>
      </c>
      <c r="B226" s="165" t="s">
        <v>4845</v>
      </c>
      <c r="C226" s="166" t="s">
        <v>4863</v>
      </c>
      <c r="D226" s="167" t="s">
        <v>4864</v>
      </c>
      <c r="E226" s="168" t="s">
        <v>4865</v>
      </c>
      <c r="F226" s="169" t="s">
        <v>4296</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2415</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IFERROR(INDEX('Recommendations'!$J$2:$J$419, MATCH(H2,'Recommendations'!$B$2:$B$419,0))="Implemented", FALSE))</xm:f>
            <x14:dxf>
              <font>
                <color rgb="FF000000"/>
              </font>
              <fill>
                <patternFill>
                  <bgColor rgb="FF3C7D22"/>
                </patternFill>
              </fill>
            </x14:dxf>
          </x14:cfRule>
          <x14:cfRule type="expression" priority="2" id="{00000000-000E-0000-0700-000002000000}">
            <xm:f>AND(H2&lt;&gt;"", IFERROR(INDEX('Recommendations'!$J$2:$J$419, MATCH(H2,'Recommendations'!$B$2:$B$419,0))="Compensated", FALSE))</xm:f>
            <x14:dxf>
              <font>
                <color rgb="FF000000"/>
              </font>
              <fill>
                <patternFill>
                  <bgColor rgb="FFC6E0B4"/>
                </patternFill>
              </fill>
            </x14:dxf>
          </x14:cfRule>
          <x14:cfRule type="expression" priority="3" id="{00000000-000E-0000-0700-000003000000}">
            <xm:f>AND(H2&lt;&gt;"", IFERROR(INDEX('Recommendations'!$J$2:$J$419, MATCH(H2,'Recommendations'!$B$2:$B$419,0))="Testing", FALSE))</xm:f>
            <x14:dxf>
              <font>
                <color rgb="FF000000"/>
              </font>
              <fill>
                <patternFill>
                  <bgColor rgb="FFFFC000"/>
                </patternFill>
              </fill>
            </x14:dxf>
          </x14:cfRule>
          <x14:cfRule type="expression" priority="4" id="{00000000-000E-0000-0700-000004000000}">
            <xm:f>AND(H2&lt;&gt;"", IFERROR(INDEX('Recommendations'!$J$2:$J$419, MATCH(H2,'Recommendations'!$B$2:$B$419,0))="Failed", FALSE))</xm:f>
            <x14:dxf>
              <font>
                <color rgb="FF000000"/>
              </font>
              <fill>
                <patternFill>
                  <bgColor rgb="FFD82891"/>
                </patternFill>
              </fill>
            </x14:dxf>
          </x14:cfRule>
          <x14:cfRule type="expression" priority="5" id="{00000000-000E-0000-0700-000005000000}">
            <xm:f>AND(H2&lt;&gt;"", IFERROR(INDEX('Recommendations'!$J$2:$J$419, MATCH(H2,'Recommendations'!$B$2:$B$419,0))="Risk Accepted", FALSE))</xm:f>
            <x14:dxf>
              <font>
                <color rgb="FF000000"/>
              </font>
              <fill>
                <patternFill>
                  <bgColor rgb="FFD9D9D9"/>
                </patternFill>
              </fill>
            </x14:dxf>
          </x14:cfRule>
          <x14:cfRule type="expression" priority="6" id="{00000000-000E-0000-0700-000006000000}">
            <xm:f>AND(H2&lt;&gt;"", IFERROR(INDEX('Recommendations'!$J$2:$J$419, MATCH(H2,'Recommendations'!$B$2:$B$419,0))="N/A",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4283</v>
      </c>
      <c r="B1" s="204" t="s">
        <v>4866</v>
      </c>
      <c r="C1" s="204" t="s">
        <v>4867</v>
      </c>
      <c r="D1" s="204" t="s">
        <v>4868</v>
      </c>
      <c r="E1" s="204" t="s">
        <v>3592</v>
      </c>
      <c r="F1" s="204" t="s">
        <v>2651</v>
      </c>
      <c r="G1" s="204" t="s">
        <v>2652</v>
      </c>
      <c r="H1" s="204" t="s">
        <v>2653</v>
      </c>
      <c r="I1" s="204" t="s">
        <v>2654</v>
      </c>
      <c r="J1" s="204" t="s">
        <v>2655</v>
      </c>
      <c r="K1" s="204" t="s">
        <v>2656</v>
      </c>
      <c r="L1" s="204" t="s">
        <v>2657</v>
      </c>
      <c r="M1" s="204" t="s">
        <v>2658</v>
      </c>
      <c r="N1" s="204" t="s">
        <v>2659</v>
      </c>
      <c r="O1" s="204" t="s">
        <v>2660</v>
      </c>
      <c r="P1" s="204" t="s">
        <v>2661</v>
      </c>
      <c r="Q1" s="204" t="s">
        <v>2662</v>
      </c>
      <c r="R1" s="204" t="s">
        <v>2663</v>
      </c>
      <c r="S1" s="204" t="s">
        <v>2664</v>
      </c>
      <c r="T1" s="204" t="s">
        <v>2665</v>
      </c>
      <c r="U1" s="204" t="s">
        <v>2666</v>
      </c>
      <c r="V1" s="204" t="s">
        <v>2667</v>
      </c>
      <c r="W1" s="204" t="s">
        <v>2668</v>
      </c>
      <c r="X1" s="204" t="s">
        <v>2669</v>
      </c>
      <c r="Y1" s="204" t="s">
        <v>2670</v>
      </c>
      <c r="Z1" s="204" t="s">
        <v>2671</v>
      </c>
      <c r="AA1" s="204" t="s">
        <v>2672</v>
      </c>
      <c r="AB1" s="204" t="s">
        <v>2673</v>
      </c>
      <c r="AC1" s="204" t="s">
        <v>2674</v>
      </c>
      <c r="AD1" s="204" t="s">
        <v>2675</v>
      </c>
      <c r="AE1" s="204" t="s">
        <v>2676</v>
      </c>
      <c r="AF1" s="204" t="s">
        <v>2677</v>
      </c>
      <c r="AG1" s="204" t="s">
        <v>2678</v>
      </c>
      <c r="AH1" s="204" t="s">
        <v>2679</v>
      </c>
      <c r="AI1" s="204" t="s">
        <v>2680</v>
      </c>
      <c r="AJ1" s="204" t="s">
        <v>2681</v>
      </c>
      <c r="AK1" s="204" t="s">
        <v>2682</v>
      </c>
      <c r="AL1" s="204" t="s">
        <v>2683</v>
      </c>
      <c r="AM1" s="204" t="s">
        <v>2684</v>
      </c>
      <c r="AN1" s="204" t="s">
        <v>2685</v>
      </c>
      <c r="AO1" s="204" t="s">
        <v>2686</v>
      </c>
      <c r="AP1" s="204" t="s">
        <v>2687</v>
      </c>
      <c r="AQ1" s="204" t="s">
        <v>2688</v>
      </c>
      <c r="AR1" s="204" t="s">
        <v>2689</v>
      </c>
      <c r="AS1" s="204" t="s">
        <v>2690</v>
      </c>
      <c r="AT1" s="205" t="s">
        <v>2691</v>
      </c>
    </row>
    <row r="2" spans="1:46" ht="60" customHeight="1" outlineLevel="1" x14ac:dyDescent="0.35">
      <c r="A2" s="197" t="s">
        <v>2494</v>
      </c>
      <c r="B2" s="183" t="s">
        <v>4869</v>
      </c>
      <c r="C2" s="183"/>
      <c r="D2" s="186" t="s">
        <v>4870</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2494</v>
      </c>
      <c r="B3" s="184" t="s">
        <v>4869</v>
      </c>
      <c r="C3" s="185" t="s">
        <v>4871</v>
      </c>
      <c r="D3" s="187" t="s">
        <v>4872</v>
      </c>
      <c r="E3" s="187" t="s">
        <v>4873</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2494</v>
      </c>
      <c r="B4" s="184" t="s">
        <v>4869</v>
      </c>
      <c r="C4" s="185" t="s">
        <v>4874</v>
      </c>
      <c r="D4" s="187" t="s">
        <v>4875</v>
      </c>
      <c r="E4" s="187" t="s">
        <v>4876</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2494</v>
      </c>
      <c r="B5" s="184" t="s">
        <v>4869</v>
      </c>
      <c r="C5" s="185" t="s">
        <v>4877</v>
      </c>
      <c r="D5" s="187" t="s">
        <v>4878</v>
      </c>
      <c r="E5" s="187" t="s">
        <v>4879</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2494</v>
      </c>
      <c r="B6" s="184" t="s">
        <v>4869</v>
      </c>
      <c r="C6" s="185" t="s">
        <v>4880</v>
      </c>
      <c r="D6" s="187" t="s">
        <v>4881</v>
      </c>
      <c r="E6" s="187" t="s">
        <v>4882</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2494</v>
      </c>
      <c r="B7" s="184" t="s">
        <v>4869</v>
      </c>
      <c r="C7" s="185" t="s">
        <v>4883</v>
      </c>
      <c r="D7" s="187" t="s">
        <v>4884</v>
      </c>
      <c r="E7" s="187" t="s">
        <v>4885</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2494</v>
      </c>
      <c r="B8" s="184" t="s">
        <v>4869</v>
      </c>
      <c r="C8" s="185" t="s">
        <v>4886</v>
      </c>
      <c r="D8" s="187" t="s">
        <v>4887</v>
      </c>
      <c r="E8" s="187" t="s">
        <v>4888</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2494</v>
      </c>
      <c r="B9" s="184" t="s">
        <v>4869</v>
      </c>
      <c r="C9" s="185" t="s">
        <v>4889</v>
      </c>
      <c r="D9" s="187" t="s">
        <v>4890</v>
      </c>
      <c r="E9" s="187" t="s">
        <v>4891</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2494</v>
      </c>
      <c r="B10" s="184" t="s">
        <v>4869</v>
      </c>
      <c r="C10" s="185" t="s">
        <v>4892</v>
      </c>
      <c r="D10" s="187" t="s">
        <v>4893</v>
      </c>
      <c r="E10" s="187" t="s">
        <v>4894</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2494</v>
      </c>
      <c r="B11" s="184" t="s">
        <v>4869</v>
      </c>
      <c r="C11" s="185" t="s">
        <v>4895</v>
      </c>
      <c r="D11" s="187" t="s">
        <v>4896</v>
      </c>
      <c r="E11" s="187" t="s">
        <v>4897</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2494</v>
      </c>
      <c r="B12" s="184" t="s">
        <v>4869</v>
      </c>
      <c r="C12" s="185" t="s">
        <v>4898</v>
      </c>
      <c r="D12" s="187" t="s">
        <v>4899</v>
      </c>
      <c r="E12" s="187" t="s">
        <v>4900</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2494</v>
      </c>
      <c r="B13" s="184" t="s">
        <v>4869</v>
      </c>
      <c r="C13" s="185" t="s">
        <v>4901</v>
      </c>
      <c r="D13" s="187" t="s">
        <v>4902</v>
      </c>
      <c r="E13" s="187" t="s">
        <v>4903</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2494</v>
      </c>
      <c r="B14" s="184" t="s">
        <v>4869</v>
      </c>
      <c r="C14" s="185" t="s">
        <v>4904</v>
      </c>
      <c r="D14" s="187" t="s">
        <v>4905</v>
      </c>
      <c r="E14" s="187" t="s">
        <v>4906</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2494</v>
      </c>
      <c r="B15" s="184" t="s">
        <v>4869</v>
      </c>
      <c r="C15" s="185" t="s">
        <v>4907</v>
      </c>
      <c r="D15" s="187" t="s">
        <v>4908</v>
      </c>
      <c r="E15" s="187" t="s">
        <v>4909</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2494</v>
      </c>
      <c r="B16" s="184" t="s">
        <v>4869</v>
      </c>
      <c r="C16" s="185" t="s">
        <v>4910</v>
      </c>
      <c r="D16" s="187" t="s">
        <v>4911</v>
      </c>
      <c r="E16" s="187" t="s">
        <v>4912</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2494</v>
      </c>
      <c r="B17" s="184" t="s">
        <v>4869</v>
      </c>
      <c r="C17" s="185" t="s">
        <v>4913</v>
      </c>
      <c r="D17" s="187" t="s">
        <v>4914</v>
      </c>
      <c r="E17" s="187" t="s">
        <v>4915</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2494</v>
      </c>
      <c r="B18" s="184" t="s">
        <v>4869</v>
      </c>
      <c r="C18" s="185" t="s">
        <v>4916</v>
      </c>
      <c r="D18" s="187" t="s">
        <v>4917</v>
      </c>
      <c r="E18" s="187" t="s">
        <v>4918</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2494</v>
      </c>
      <c r="B19" s="183" t="s">
        <v>4919</v>
      </c>
      <c r="C19" s="183"/>
      <c r="D19" s="186" t="s">
        <v>4920</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2494</v>
      </c>
      <c r="B20" s="184" t="s">
        <v>4919</v>
      </c>
      <c r="C20" s="185" t="s">
        <v>4921</v>
      </c>
      <c r="D20" s="187" t="s">
        <v>4922</v>
      </c>
      <c r="E20" s="187" t="s">
        <v>4923</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2494</v>
      </c>
      <c r="B21" s="184" t="s">
        <v>4919</v>
      </c>
      <c r="C21" s="185" t="s">
        <v>4924</v>
      </c>
      <c r="D21" s="187" t="s">
        <v>4925</v>
      </c>
      <c r="E21" s="187" t="s">
        <v>4926</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2494</v>
      </c>
      <c r="B22" s="184" t="s">
        <v>4919</v>
      </c>
      <c r="C22" s="185" t="s">
        <v>4927</v>
      </c>
      <c r="D22" s="187" t="s">
        <v>4928</v>
      </c>
      <c r="E22" s="187" t="s">
        <v>4929</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2494</v>
      </c>
      <c r="B23" s="184" t="s">
        <v>4919</v>
      </c>
      <c r="C23" s="185" t="s">
        <v>4930</v>
      </c>
      <c r="D23" s="187" t="s">
        <v>4931</v>
      </c>
      <c r="E23" s="187" t="s">
        <v>4932</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2494</v>
      </c>
      <c r="B24" s="184" t="s">
        <v>4919</v>
      </c>
      <c r="C24" s="185" t="s">
        <v>4933</v>
      </c>
      <c r="D24" s="187" t="s">
        <v>4934</v>
      </c>
      <c r="E24" s="187" t="s">
        <v>4935</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2494</v>
      </c>
      <c r="B25" s="184" t="s">
        <v>4919</v>
      </c>
      <c r="C25" s="185" t="s">
        <v>4936</v>
      </c>
      <c r="D25" s="187" t="s">
        <v>4937</v>
      </c>
      <c r="E25" s="187" t="s">
        <v>4938</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2494</v>
      </c>
      <c r="B26" s="184" t="s">
        <v>4919</v>
      </c>
      <c r="C26" s="185" t="s">
        <v>4939</v>
      </c>
      <c r="D26" s="187" t="s">
        <v>4940</v>
      </c>
      <c r="E26" s="187" t="s">
        <v>4941</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2494</v>
      </c>
      <c r="B27" s="184" t="s">
        <v>4919</v>
      </c>
      <c r="C27" s="185" t="s">
        <v>4942</v>
      </c>
      <c r="D27" s="187" t="s">
        <v>4943</v>
      </c>
      <c r="E27" s="187" t="s">
        <v>4944</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2494</v>
      </c>
      <c r="B28" s="184" t="s">
        <v>4919</v>
      </c>
      <c r="C28" s="185" t="s">
        <v>4945</v>
      </c>
      <c r="D28" s="187" t="s">
        <v>4946</v>
      </c>
      <c r="E28" s="187" t="s">
        <v>4947</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2494</v>
      </c>
      <c r="B29" s="184" t="s">
        <v>4919</v>
      </c>
      <c r="C29" s="185" t="s">
        <v>4948</v>
      </c>
      <c r="D29" s="187" t="s">
        <v>4949</v>
      </c>
      <c r="E29" s="187" t="s">
        <v>4950</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2494</v>
      </c>
      <c r="B30" s="184" t="s">
        <v>4919</v>
      </c>
      <c r="C30" s="185" t="s">
        <v>4951</v>
      </c>
      <c r="D30" s="187" t="s">
        <v>4952</v>
      </c>
      <c r="E30" s="187" t="s">
        <v>4953</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2494</v>
      </c>
      <c r="B31" s="184" t="s">
        <v>4919</v>
      </c>
      <c r="C31" s="185" t="s">
        <v>4954</v>
      </c>
      <c r="D31" s="187" t="s">
        <v>4955</v>
      </c>
      <c r="E31" s="187" t="s">
        <v>4956</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4957</v>
      </c>
      <c r="B32" s="183"/>
      <c r="C32" s="183"/>
      <c r="D32" s="186" t="s">
        <v>4958</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4957</v>
      </c>
      <c r="B33" s="184"/>
      <c r="C33" s="185" t="s">
        <v>4959</v>
      </c>
      <c r="D33" s="187" t="s">
        <v>4960</v>
      </c>
      <c r="E33" s="187" t="s">
        <v>4961</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4957</v>
      </c>
      <c r="B34" s="184"/>
      <c r="C34" s="185" t="s">
        <v>4962</v>
      </c>
      <c r="D34" s="187" t="s">
        <v>4963</v>
      </c>
      <c r="E34" s="187" t="s">
        <v>4964</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4957</v>
      </c>
      <c r="B35" s="184"/>
      <c r="C35" s="185" t="s">
        <v>4965</v>
      </c>
      <c r="D35" s="187" t="s">
        <v>4966</v>
      </c>
      <c r="E35" s="187" t="s">
        <v>4967</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4957</v>
      </c>
      <c r="B36" s="183" t="s">
        <v>4968</v>
      </c>
      <c r="C36" s="183"/>
      <c r="D36" s="186" t="s">
        <v>4969</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4957</v>
      </c>
      <c r="B37" s="184" t="s">
        <v>4968</v>
      </c>
      <c r="C37" s="185" t="s">
        <v>4970</v>
      </c>
      <c r="D37" s="187" t="s">
        <v>4971</v>
      </c>
      <c r="E37" s="187" t="s">
        <v>4972</v>
      </c>
      <c r="F37" s="189">
        <f>IF(COUNTIF(G37:AT37,"&lt;&gt;")=0,"",SUMPRODUCT(((Recommendations[ImplStatus]="Implemented")+(Recommendations[ImplStatus]="Compensated"))*ISNUMBER(MATCH(Recommendations[Id],G37:AT37,0)))/COUNTIF(G37:AT37,"&lt;&gt;"))</f>
        <v>0</v>
      </c>
      <c r="G37" s="191" t="s">
        <v>494</v>
      </c>
      <c r="H37" s="191" t="s">
        <v>502</v>
      </c>
      <c r="I37" s="191" t="s">
        <v>505</v>
      </c>
      <c r="J37" s="191" t="s">
        <v>508</v>
      </c>
      <c r="K37" s="191" t="s">
        <v>511</v>
      </c>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4957</v>
      </c>
      <c r="B38" s="184" t="s">
        <v>4968</v>
      </c>
      <c r="C38" s="185" t="s">
        <v>4973</v>
      </c>
      <c r="D38" s="187" t="s">
        <v>4974</v>
      </c>
      <c r="E38" s="187" t="s">
        <v>4975</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4957</v>
      </c>
      <c r="B39" s="184" t="s">
        <v>4968</v>
      </c>
      <c r="C39" s="185" t="s">
        <v>4976</v>
      </c>
      <c r="D39" s="187" t="s">
        <v>4977</v>
      </c>
      <c r="E39" s="187" t="s">
        <v>4978</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4957</v>
      </c>
      <c r="B40" s="184" t="s">
        <v>4968</v>
      </c>
      <c r="C40" s="185" t="s">
        <v>4979</v>
      </c>
      <c r="D40" s="187" t="s">
        <v>4980</v>
      </c>
      <c r="E40" s="187" t="s">
        <v>4981</v>
      </c>
      <c r="F40" s="189">
        <f>IF(COUNTIF(G40:AT40,"&lt;&gt;")=0,"",SUMPRODUCT(((Recommendations[ImplStatus]="Implemented")+(Recommendations[ImplStatus]="Compensated"))*ISNUMBER(MATCH(Recommendations[Id],G40:AT40,0)))/COUNTIF(G40:AT40,"&lt;&gt;"))</f>
        <v>0</v>
      </c>
      <c r="G40" s="191" t="s">
        <v>494</v>
      </c>
      <c r="H40" s="191" t="s">
        <v>508</v>
      </c>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4957</v>
      </c>
      <c r="B41" s="184" t="s">
        <v>4968</v>
      </c>
      <c r="C41" s="185" t="s">
        <v>4982</v>
      </c>
      <c r="D41" s="187" t="s">
        <v>4983</v>
      </c>
      <c r="E41" s="187" t="s">
        <v>4984</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4957</v>
      </c>
      <c r="B42" s="184" t="s">
        <v>4968</v>
      </c>
      <c r="C42" s="185" t="s">
        <v>4985</v>
      </c>
      <c r="D42" s="187" t="s">
        <v>4986</v>
      </c>
      <c r="E42" s="187" t="s">
        <v>4987</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4957</v>
      </c>
      <c r="B43" s="184" t="s">
        <v>4968</v>
      </c>
      <c r="C43" s="185" t="s">
        <v>4988</v>
      </c>
      <c r="D43" s="187" t="s">
        <v>4989</v>
      </c>
      <c r="E43" s="187" t="s">
        <v>4990</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4957</v>
      </c>
      <c r="B44" s="184" t="s">
        <v>4968</v>
      </c>
      <c r="C44" s="185" t="s">
        <v>4991</v>
      </c>
      <c r="D44" s="187" t="s">
        <v>4992</v>
      </c>
      <c r="E44" s="187" t="s">
        <v>4993</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4957</v>
      </c>
      <c r="B45" s="184" t="s">
        <v>4968</v>
      </c>
      <c r="C45" s="185" t="s">
        <v>4994</v>
      </c>
      <c r="D45" s="187" t="s">
        <v>4995</v>
      </c>
      <c r="E45" s="187" t="s">
        <v>4996</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4957</v>
      </c>
      <c r="B46" s="184" t="s">
        <v>4968</v>
      </c>
      <c r="C46" s="185" t="s">
        <v>4997</v>
      </c>
      <c r="D46" s="187" t="s">
        <v>4998</v>
      </c>
      <c r="E46" s="187" t="s">
        <v>4999</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4957</v>
      </c>
      <c r="B47" s="184" t="s">
        <v>4968</v>
      </c>
      <c r="C47" s="185" t="s">
        <v>5000</v>
      </c>
      <c r="D47" s="187" t="s">
        <v>5001</v>
      </c>
      <c r="E47" s="187" t="s">
        <v>5002</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4957</v>
      </c>
      <c r="B48" s="184" t="s">
        <v>4968</v>
      </c>
      <c r="C48" s="185" t="s">
        <v>5003</v>
      </c>
      <c r="D48" s="187" t="s">
        <v>5004</v>
      </c>
      <c r="E48" s="187" t="s">
        <v>5005</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4957</v>
      </c>
      <c r="B49" s="184" t="s">
        <v>4968</v>
      </c>
      <c r="C49" s="185" t="s">
        <v>5006</v>
      </c>
      <c r="D49" s="187" t="s">
        <v>5007</v>
      </c>
      <c r="E49" s="187" t="s">
        <v>5008</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4957</v>
      </c>
      <c r="B50" s="184" t="s">
        <v>4968</v>
      </c>
      <c r="C50" s="185" t="s">
        <v>5009</v>
      </c>
      <c r="D50" s="187" t="s">
        <v>5010</v>
      </c>
      <c r="E50" s="187" t="s">
        <v>5011</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4957</v>
      </c>
      <c r="B51" s="183" t="s">
        <v>5012</v>
      </c>
      <c r="C51" s="183"/>
      <c r="D51" s="186" t="s">
        <v>5013</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4957</v>
      </c>
      <c r="B52" s="184" t="s">
        <v>5012</v>
      </c>
      <c r="C52" s="185" t="s">
        <v>5014</v>
      </c>
      <c r="D52" s="187" t="s">
        <v>5015</v>
      </c>
      <c r="E52" s="187" t="s">
        <v>5016</v>
      </c>
      <c r="F52" s="189" t="str">
        <f>IF(COUNTIF(G52:AT52,"&lt;&gt;")=0,"",SUMPRODUCT(((Recommendations[ImplStatus]="Implemented")+(Recommendations[ImplStatus]="Compensated"))*ISNUMBER(MATCH(Recommendations[Id],G52:AT52,0)))/COUNTIF(G52:AT52,"&lt;&gt;"))</f>
        <v/>
      </c>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4957</v>
      </c>
      <c r="B53" s="184" t="s">
        <v>5012</v>
      </c>
      <c r="C53" s="185" t="s">
        <v>5017</v>
      </c>
      <c r="D53" s="187" t="s">
        <v>5018</v>
      </c>
      <c r="E53" s="187" t="s">
        <v>5019</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4957</v>
      </c>
      <c r="B54" s="184" t="s">
        <v>5012</v>
      </c>
      <c r="C54" s="185" t="s">
        <v>5020</v>
      </c>
      <c r="D54" s="187" t="s">
        <v>5021</v>
      </c>
      <c r="E54" s="187" t="s">
        <v>5022</v>
      </c>
      <c r="F54" s="189">
        <f>IF(COUNTIF(G54:AT54,"&lt;&gt;")=0,"",SUMPRODUCT(((Recommendations[ImplStatus]="Implemented")+(Recommendations[ImplStatus]="Compensated"))*ISNUMBER(MATCH(Recommendations[Id],G54:AT54,0)))/COUNTIF(G54:AT54,"&lt;&gt;"))</f>
        <v>0</v>
      </c>
      <c r="G54" s="191" t="s">
        <v>1968</v>
      </c>
      <c r="H54" s="191" t="s">
        <v>1976</v>
      </c>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4957</v>
      </c>
      <c r="B55" s="184" t="s">
        <v>5012</v>
      </c>
      <c r="C55" s="185" t="s">
        <v>5023</v>
      </c>
      <c r="D55" s="187" t="s">
        <v>5024</v>
      </c>
      <c r="E55" s="187" t="s">
        <v>5025</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4957</v>
      </c>
      <c r="B56" s="184" t="s">
        <v>5012</v>
      </c>
      <c r="C56" s="185" t="s">
        <v>5026</v>
      </c>
      <c r="D56" s="187" t="s">
        <v>5027</v>
      </c>
      <c r="E56" s="187" t="s">
        <v>5028</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4957</v>
      </c>
      <c r="B57" s="184" t="s">
        <v>5012</v>
      </c>
      <c r="C57" s="185" t="s">
        <v>5029</v>
      </c>
      <c r="D57" s="187" t="s">
        <v>5030</v>
      </c>
      <c r="E57" s="187" t="s">
        <v>5031</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4957</v>
      </c>
      <c r="B58" s="184" t="s">
        <v>5012</v>
      </c>
      <c r="C58" s="185" t="s">
        <v>5032</v>
      </c>
      <c r="D58" s="187" t="s">
        <v>5033</v>
      </c>
      <c r="E58" s="187" t="s">
        <v>5034</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4957</v>
      </c>
      <c r="B59" s="184" t="s">
        <v>5012</v>
      </c>
      <c r="C59" s="185" t="s">
        <v>5035</v>
      </c>
      <c r="D59" s="187" t="s">
        <v>5036</v>
      </c>
      <c r="E59" s="187" t="s">
        <v>5037</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4957</v>
      </c>
      <c r="B60" s="184" t="s">
        <v>5038</v>
      </c>
      <c r="C60" s="185" t="s">
        <v>5039</v>
      </c>
      <c r="D60" s="187" t="s">
        <v>5040</v>
      </c>
      <c r="E60" s="187" t="s">
        <v>5041</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4957</v>
      </c>
      <c r="B61" s="184" t="s">
        <v>5038</v>
      </c>
      <c r="C61" s="185" t="s">
        <v>5042</v>
      </c>
      <c r="D61" s="187" t="s">
        <v>5043</v>
      </c>
      <c r="E61" s="187" t="s">
        <v>5044</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4957</v>
      </c>
      <c r="B62" s="183" t="s">
        <v>5045</v>
      </c>
      <c r="C62" s="183"/>
      <c r="D62" s="186" t="s">
        <v>5046</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4957</v>
      </c>
      <c r="B63" s="184" t="s">
        <v>5045</v>
      </c>
      <c r="C63" s="185" t="s">
        <v>5047</v>
      </c>
      <c r="D63" s="187" t="s">
        <v>5048</v>
      </c>
      <c r="E63" s="187" t="s">
        <v>5049</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4957</v>
      </c>
      <c r="B64" s="184" t="s">
        <v>5045</v>
      </c>
      <c r="C64" s="185" t="s">
        <v>5050</v>
      </c>
      <c r="D64" s="187" t="s">
        <v>5051</v>
      </c>
      <c r="E64" s="187" t="s">
        <v>5052</v>
      </c>
      <c r="F64" s="189">
        <f>IF(COUNTIF(G64:AT64,"&lt;&gt;")=0,"",SUMPRODUCT(((Recommendations[ImplStatus]="Implemented")+(Recommendations[ImplStatus]="Compensated"))*ISNUMBER(MATCH(Recommendations[Id],G64:AT64,0)))/COUNTIF(G64:AT64,"&lt;&gt;"))</f>
        <v>0</v>
      </c>
      <c r="G64" s="191" t="s">
        <v>330</v>
      </c>
      <c r="H64" s="191" t="s">
        <v>338</v>
      </c>
      <c r="I64" s="191" t="s">
        <v>346</v>
      </c>
      <c r="J64" s="191" t="s">
        <v>354</v>
      </c>
      <c r="K64" s="191" t="s">
        <v>362</v>
      </c>
      <c r="L64" s="191" t="s">
        <v>369</v>
      </c>
      <c r="M64" s="191" t="s">
        <v>377</v>
      </c>
      <c r="N64" s="191" t="s">
        <v>466</v>
      </c>
      <c r="O64" s="191" t="s">
        <v>469</v>
      </c>
      <c r="P64" s="191" t="s">
        <v>475</v>
      </c>
      <c r="Q64" s="191" t="s">
        <v>478</v>
      </c>
      <c r="R64" s="191" t="s">
        <v>481</v>
      </c>
      <c r="S64" s="191" t="s">
        <v>1512</v>
      </c>
      <c r="T64" s="191" t="s">
        <v>1519</v>
      </c>
      <c r="U64" s="191" t="s">
        <v>1761</v>
      </c>
      <c r="V64" s="191" t="s">
        <v>2052</v>
      </c>
      <c r="W64" s="191" t="s">
        <v>2060</v>
      </c>
      <c r="X64" s="191" t="s">
        <v>2063</v>
      </c>
      <c r="Y64" s="191" t="s">
        <v>2066</v>
      </c>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4957</v>
      </c>
      <c r="B65" s="184" t="s">
        <v>5045</v>
      </c>
      <c r="C65" s="185" t="s">
        <v>5053</v>
      </c>
      <c r="D65" s="187" t="s">
        <v>5054</v>
      </c>
      <c r="E65" s="187" t="s">
        <v>5055</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4957</v>
      </c>
      <c r="B66" s="184" t="s">
        <v>5045</v>
      </c>
      <c r="C66" s="185" t="s">
        <v>5056</v>
      </c>
      <c r="D66" s="187" t="s">
        <v>5057</v>
      </c>
      <c r="E66" s="187" t="s">
        <v>5058</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4957</v>
      </c>
      <c r="B67" s="184" t="s">
        <v>5045</v>
      </c>
      <c r="C67" s="185" t="s">
        <v>5059</v>
      </c>
      <c r="D67" s="187" t="s">
        <v>5060</v>
      </c>
      <c r="E67" s="187" t="s">
        <v>5061</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4957</v>
      </c>
      <c r="B68" s="184" t="s">
        <v>5045</v>
      </c>
      <c r="C68" s="185" t="s">
        <v>5062</v>
      </c>
      <c r="D68" s="187" t="s">
        <v>5063</v>
      </c>
      <c r="E68" s="187" t="s">
        <v>5064</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4957</v>
      </c>
      <c r="B69" s="184" t="s">
        <v>5045</v>
      </c>
      <c r="C69" s="185" t="s">
        <v>5065</v>
      </c>
      <c r="D69" s="187" t="s">
        <v>5066</v>
      </c>
      <c r="E69" s="187" t="s">
        <v>5067</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4957</v>
      </c>
      <c r="B70" s="184" t="s">
        <v>5045</v>
      </c>
      <c r="C70" s="185" t="s">
        <v>5068</v>
      </c>
      <c r="D70" s="187" t="s">
        <v>5069</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4957</v>
      </c>
      <c r="B71" s="184" t="s">
        <v>5045</v>
      </c>
      <c r="C71" s="185" t="s">
        <v>5070</v>
      </c>
      <c r="D71" s="187" t="s">
        <v>5071</v>
      </c>
      <c r="E71" s="187" t="s">
        <v>5072</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4957</v>
      </c>
      <c r="B72" s="184" t="s">
        <v>5045</v>
      </c>
      <c r="C72" s="185" t="s">
        <v>5073</v>
      </c>
      <c r="D72" s="187" t="s">
        <v>5074</v>
      </c>
      <c r="E72" s="187" t="s">
        <v>5075</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4957</v>
      </c>
      <c r="B73" s="184" t="s">
        <v>5045</v>
      </c>
      <c r="C73" s="185" t="s">
        <v>5076</v>
      </c>
      <c r="D73" s="187" t="s">
        <v>5077</v>
      </c>
      <c r="E73" s="187" t="s">
        <v>5078</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4957</v>
      </c>
      <c r="B74" s="184" t="s">
        <v>5045</v>
      </c>
      <c r="C74" s="185" t="s">
        <v>5079</v>
      </c>
      <c r="D74" s="187" t="s">
        <v>5080</v>
      </c>
      <c r="E74" s="187" t="s">
        <v>5081</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4957</v>
      </c>
      <c r="B75" s="184" t="s">
        <v>5045</v>
      </c>
      <c r="C75" s="185" t="s">
        <v>5082</v>
      </c>
      <c r="D75" s="187" t="s">
        <v>5083</v>
      </c>
      <c r="E75" s="187" t="s">
        <v>5084</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4957</v>
      </c>
      <c r="B76" s="184" t="s">
        <v>5045</v>
      </c>
      <c r="C76" s="185" t="s">
        <v>5085</v>
      </c>
      <c r="D76" s="187" t="s">
        <v>5086</v>
      </c>
      <c r="E76" s="187" t="s">
        <v>5087</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4957</v>
      </c>
      <c r="B77" s="184" t="s">
        <v>5045</v>
      </c>
      <c r="C77" s="185" t="s">
        <v>5088</v>
      </c>
      <c r="D77" s="187" t="s">
        <v>5089</v>
      </c>
      <c r="E77" s="187" t="s">
        <v>5090</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4957</v>
      </c>
      <c r="B78" s="184" t="s">
        <v>5045</v>
      </c>
      <c r="C78" s="185" t="s">
        <v>5091</v>
      </c>
      <c r="D78" s="187" t="s">
        <v>5092</v>
      </c>
      <c r="E78" s="187" t="s">
        <v>5093</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4957</v>
      </c>
      <c r="B79" s="183" t="s">
        <v>5045</v>
      </c>
      <c r="C79" s="183"/>
      <c r="D79" s="186" t="s">
        <v>5094</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5095</v>
      </c>
      <c r="B80" s="184"/>
      <c r="C80" s="185" t="s">
        <v>5096</v>
      </c>
      <c r="D80" s="187" t="s">
        <v>5097</v>
      </c>
      <c r="E80" s="187" t="s">
        <v>5098</v>
      </c>
      <c r="F80" s="189">
        <f>IF(COUNTIF(G80:AT80,"&lt;&gt;")=0,"",SUMPRODUCT(((Recommendations[ImplStatus]="Implemented")+(Recommendations[ImplStatus]="Compensated"))*ISNUMBER(MATCH(Recommendations[Id],G80:AT80,0)))/COUNTIF(G80:AT80,"&lt;&gt;"))</f>
        <v>0</v>
      </c>
      <c r="G80" s="191" t="s">
        <v>633</v>
      </c>
      <c r="H80" s="191" t="s">
        <v>652</v>
      </c>
      <c r="I80" s="191" t="s">
        <v>655</v>
      </c>
      <c r="J80" s="191" t="s">
        <v>695</v>
      </c>
      <c r="K80" s="191" t="s">
        <v>711</v>
      </c>
      <c r="L80" s="191" t="s">
        <v>714</v>
      </c>
      <c r="M80" s="191" t="s">
        <v>721</v>
      </c>
      <c r="N80" s="191" t="s">
        <v>728</v>
      </c>
      <c r="O80" s="191" t="s">
        <v>734</v>
      </c>
      <c r="P80" s="191" t="s">
        <v>740</v>
      </c>
      <c r="Q80" s="191" t="s">
        <v>745</v>
      </c>
      <c r="R80" s="191" t="s">
        <v>751</v>
      </c>
      <c r="S80" s="191" t="s">
        <v>754</v>
      </c>
      <c r="T80" s="191" t="s">
        <v>762</v>
      </c>
      <c r="U80" s="191" t="s">
        <v>768</v>
      </c>
      <c r="V80" s="191" t="s">
        <v>784</v>
      </c>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5095</v>
      </c>
      <c r="B81" s="184"/>
      <c r="C81" s="185" t="s">
        <v>5099</v>
      </c>
      <c r="D81" s="187" t="s">
        <v>5100</v>
      </c>
      <c r="E81" s="187" t="s">
        <v>5101</v>
      </c>
      <c r="F81" s="189">
        <f>IF(COUNTIF(G81:AT81,"&lt;&gt;")=0,"",SUMPRODUCT(((Recommendations[ImplStatus]="Implemented")+(Recommendations[ImplStatus]="Compensated"))*ISNUMBER(MATCH(Recommendations[Id],G81:AT81,0)))/COUNTIF(G81:AT81,"&lt;&gt;"))</f>
        <v>0</v>
      </c>
      <c r="G81" s="191" t="s">
        <v>389</v>
      </c>
      <c r="H81" s="191" t="s">
        <v>392</v>
      </c>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5095</v>
      </c>
      <c r="B82" s="184"/>
      <c r="C82" s="185" t="s">
        <v>5102</v>
      </c>
      <c r="D82" s="187" t="s">
        <v>5103</v>
      </c>
      <c r="E82" s="187" t="s">
        <v>5104</v>
      </c>
      <c r="F82" s="189">
        <f>IF(COUNTIF(G82:AT82,"&lt;&gt;")=0,"",SUMPRODUCT(((Recommendations[ImplStatus]="Implemented")+(Recommendations[ImplStatus]="Compensated"))*ISNUMBER(MATCH(Recommendations[Id],G82:AT82,0)))/COUNTIF(G82:AT82,"&lt;&gt;"))</f>
        <v>0</v>
      </c>
      <c r="G82" s="191" t="s">
        <v>967</v>
      </c>
      <c r="H82" s="191" t="s">
        <v>975</v>
      </c>
      <c r="I82" s="191" t="s">
        <v>983</v>
      </c>
      <c r="J82" s="191" t="s">
        <v>1187</v>
      </c>
      <c r="K82" s="191" t="s">
        <v>2388</v>
      </c>
      <c r="L82" s="191" t="s">
        <v>2396</v>
      </c>
      <c r="M82" s="191" t="s">
        <v>2404</v>
      </c>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5095</v>
      </c>
      <c r="B83" s="184"/>
      <c r="C83" s="185" t="s">
        <v>5105</v>
      </c>
      <c r="D83" s="187" t="s">
        <v>5106</v>
      </c>
      <c r="E83" s="187" t="s">
        <v>5107</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5095</v>
      </c>
      <c r="B84" s="183"/>
      <c r="C84" s="183"/>
      <c r="D84" s="186" t="s">
        <v>5108</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5109</v>
      </c>
      <c r="B85" s="184"/>
      <c r="C85" s="185" t="s">
        <v>5110</v>
      </c>
      <c r="D85" s="187" t="s">
        <v>5111</v>
      </c>
      <c r="E85" s="187" t="s">
        <v>5112</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5109</v>
      </c>
      <c r="B86" s="184"/>
      <c r="C86" s="185" t="s">
        <v>5113</v>
      </c>
      <c r="D86" s="187" t="s">
        <v>5114</v>
      </c>
      <c r="E86" s="187" t="s">
        <v>5115</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5109</v>
      </c>
      <c r="B87" s="184"/>
      <c r="C87" s="185" t="s">
        <v>5116</v>
      </c>
      <c r="D87" s="187" t="s">
        <v>5117</v>
      </c>
      <c r="E87" s="187" t="s">
        <v>5118</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5109</v>
      </c>
      <c r="B88" s="184"/>
      <c r="C88" s="185" t="s">
        <v>5119</v>
      </c>
      <c r="D88" s="187" t="s">
        <v>5120</v>
      </c>
      <c r="E88" s="187" t="s">
        <v>5121</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5109</v>
      </c>
      <c r="B89" s="184"/>
      <c r="C89" s="185" t="s">
        <v>5122</v>
      </c>
      <c r="D89" s="187" t="s">
        <v>5123</v>
      </c>
      <c r="E89" s="187" t="s">
        <v>5124</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5109</v>
      </c>
      <c r="B90" s="183" t="s">
        <v>5125</v>
      </c>
      <c r="C90" s="183"/>
      <c r="D90" s="186" t="s">
        <v>5126</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5109</v>
      </c>
      <c r="B91" s="184" t="s">
        <v>5125</v>
      </c>
      <c r="C91" s="185" t="s">
        <v>5127</v>
      </c>
      <c r="D91" s="187" t="s">
        <v>5128</v>
      </c>
      <c r="E91" s="187" t="s">
        <v>5129</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5109</v>
      </c>
      <c r="B92" s="184" t="s">
        <v>5125</v>
      </c>
      <c r="C92" s="185" t="s">
        <v>5130</v>
      </c>
      <c r="D92" s="187" t="s">
        <v>5131</v>
      </c>
      <c r="E92" s="187" t="s">
        <v>5132</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5125</v>
      </c>
      <c r="C93" s="185" t="s">
        <v>5133</v>
      </c>
      <c r="D93" s="187" t="s">
        <v>5134</v>
      </c>
      <c r="E93" s="187" t="s">
        <v>5135</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5125</v>
      </c>
      <c r="C94" s="185" t="s">
        <v>5136</v>
      </c>
      <c r="D94" s="187" t="s">
        <v>5137</v>
      </c>
      <c r="E94" s="187" t="s">
        <v>5138</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5125</v>
      </c>
      <c r="C95" s="185" t="s">
        <v>5139</v>
      </c>
      <c r="D95" s="187" t="s">
        <v>5140</v>
      </c>
      <c r="E95" s="187" t="s">
        <v>5141</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5125</v>
      </c>
      <c r="C96" s="185" t="s">
        <v>5142</v>
      </c>
      <c r="D96" s="187" t="s">
        <v>5143</v>
      </c>
      <c r="E96" s="187" t="s">
        <v>5144</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5125</v>
      </c>
      <c r="C97" s="185" t="s">
        <v>5145</v>
      </c>
      <c r="D97" s="187" t="s">
        <v>5146</v>
      </c>
      <c r="E97" s="187" t="s">
        <v>5147</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5125</v>
      </c>
      <c r="C98" s="185" t="s">
        <v>5148</v>
      </c>
      <c r="D98" s="187" t="s">
        <v>5149</v>
      </c>
      <c r="E98" s="187" t="s">
        <v>5150</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5151</v>
      </c>
      <c r="C99" s="183"/>
      <c r="D99" s="186" t="s">
        <v>5152</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5151</v>
      </c>
      <c r="C100" s="185" t="s">
        <v>5153</v>
      </c>
      <c r="D100" s="187" t="s">
        <v>5154</v>
      </c>
      <c r="E100" s="187" t="s">
        <v>5155</v>
      </c>
      <c r="F100" s="189">
        <f>IF(COUNTIF(G100:AT100,"&lt;&gt;")=0,"",SUMPRODUCT(((Recommendations[ImplStatus]="Implemented")+(Recommendations[ImplStatus]="Compensated"))*ISNUMBER(MATCH(Recommendations[Id],G100:AT100,0)))/COUNTIF(G100:AT100,"&lt;&gt;"))</f>
        <v>0</v>
      </c>
      <c r="G100" s="191" t="s">
        <v>1085</v>
      </c>
      <c r="H100" s="191" t="s">
        <v>1120</v>
      </c>
      <c r="I100" s="191" t="s">
        <v>1131</v>
      </c>
      <c r="J100" s="191" t="s">
        <v>1141</v>
      </c>
      <c r="K100" s="191" t="s">
        <v>1152</v>
      </c>
      <c r="L100" s="191" t="s">
        <v>1160</v>
      </c>
      <c r="M100" s="191" t="s">
        <v>1168</v>
      </c>
      <c r="N100" s="191" t="s">
        <v>1171</v>
      </c>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5151</v>
      </c>
      <c r="C101" s="185" t="s">
        <v>5156</v>
      </c>
      <c r="D101" s="187" t="s">
        <v>5157</v>
      </c>
      <c r="E101" s="187" t="s">
        <v>5158</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5151</v>
      </c>
      <c r="C102" s="185" t="s">
        <v>5159</v>
      </c>
      <c r="D102" s="187" t="s">
        <v>5160</v>
      </c>
      <c r="E102" s="187" t="s">
        <v>5161</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5151</v>
      </c>
      <c r="C103" s="185" t="s">
        <v>5162</v>
      </c>
      <c r="D103" s="187" t="s">
        <v>5163</v>
      </c>
      <c r="E103" s="187" t="s">
        <v>5164</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5151</v>
      </c>
      <c r="C104" s="193" t="s">
        <v>5165</v>
      </c>
      <c r="D104" s="194" t="s">
        <v>5166</v>
      </c>
      <c r="E104" s="194" t="s">
        <v>5167</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2415</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IFERROR(INDEX('Recommendations'!$J$2:$J$419, MATCH(G2,'Recommendations'!$B$2:$B$419,0))="Implemented", FALSE))</xm:f>
            <x14:dxf>
              <font>
                <color rgb="FF000000"/>
              </font>
              <fill>
                <patternFill>
                  <bgColor rgb="FF3C7D22"/>
                </patternFill>
              </fill>
            </x14:dxf>
          </x14:cfRule>
          <x14:cfRule type="expression" priority="2" id="{00000000-000E-0000-0800-000002000000}">
            <xm:f>AND(G2&lt;&gt;"", IFERROR(INDEX('Recommendations'!$J$2:$J$419, MATCH(G2,'Recommendations'!$B$2:$B$419,0))="Compensated", FALSE))</xm:f>
            <x14:dxf>
              <font>
                <color rgb="FF000000"/>
              </font>
              <fill>
                <patternFill>
                  <bgColor rgb="FFC6E0B4"/>
                </patternFill>
              </fill>
            </x14:dxf>
          </x14:cfRule>
          <x14:cfRule type="expression" priority="3" id="{00000000-000E-0000-0800-000003000000}">
            <xm:f>AND(G2&lt;&gt;"", IFERROR(INDEX('Recommendations'!$J$2:$J$419, MATCH(G2,'Recommendations'!$B$2:$B$419,0))="Testing", FALSE))</xm:f>
            <x14:dxf>
              <font>
                <color rgb="FF000000"/>
              </font>
              <fill>
                <patternFill>
                  <bgColor rgb="FFFFC000"/>
                </patternFill>
              </fill>
            </x14:dxf>
          </x14:cfRule>
          <x14:cfRule type="expression" priority="4" id="{00000000-000E-0000-0800-000004000000}">
            <xm:f>AND(G2&lt;&gt;"", IFERROR(INDEX('Recommendations'!$J$2:$J$419, MATCH(G2,'Recommendations'!$B$2:$B$419,0))="Failed", FALSE))</xm:f>
            <x14:dxf>
              <font>
                <color rgb="FF000000"/>
              </font>
              <fill>
                <patternFill>
                  <bgColor rgb="FFD82891"/>
                </patternFill>
              </fill>
            </x14:dxf>
          </x14:cfRule>
          <x14:cfRule type="expression" priority="5" id="{00000000-000E-0000-0800-000005000000}">
            <xm:f>AND(G2&lt;&gt;"", IFERROR(INDEX('Recommendations'!$J$2:$J$419, MATCH(G2,'Recommendations'!$B$2:$B$419,0))="Risk Accepted", FALSE))</xm:f>
            <x14:dxf>
              <font>
                <color rgb="FF000000"/>
              </font>
              <fill>
                <patternFill>
                  <bgColor rgb="FFD9D9D9"/>
                </patternFill>
              </fill>
            </x14:dxf>
          </x14:cfRule>
          <x14:cfRule type="expression" priority="6" id="{00000000-000E-0000-0800-000006000000}">
            <xm:f>AND(G2&lt;&gt;"", IFERROR(INDEX('Recommendations'!$J$2:$J$419, MATCH(G2,'Recommendations'!$B$2:$B$419,0))="N/A",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ASD Hardening Microsoft Windows 11 workstations - SHGIR</dc:title>
  <dc:subject>Generated on: 2026-06-08 23:30:40</dc:subject>
  <dc:creator>Anicet Fopa Tchoffo</dc:creator>
  <cp:keywords>Baseline;Hardening;ASD;ACSC;Windows</cp:keywords>
  <dc:description>Baseline Developed By: Australian Signals Directorate (ASD)</dc:description>
  <cp:lastModifiedBy>Anicet Fopa Tchoffo</cp:lastModifiedBy>
  <dcterms:modified xsi:type="dcterms:W3CDTF">2026-06-08T22:30:53Z</dcterms:modified>
  <cp:category>ASD</cp:category>
  <cp:contentStatus>Draft</cp:contentStatus>
</cp:coreProperties>
</file>